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re 8\Tesis\"/>
    </mc:Choice>
  </mc:AlternateContent>
  <xr:revisionPtr revIDLastSave="0" documentId="13_ncr:1_{801B6BFF-A169-4453-A276-50D9003A92CC}" xr6:coauthVersionLast="45" xr6:coauthVersionMax="45" xr10:uidLastSave="{00000000-0000-0000-0000-000000000000}"/>
  <bookViews>
    <workbookView xWindow="-120" yWindow="-120" windowWidth="29040" windowHeight="15840" activeTab="1" xr2:uid="{47DA20AC-A2CB-418E-8EE9-E2A37530FCCE}"/>
  </bookViews>
  <sheets>
    <sheet name="Valores" sheetId="1" r:id="rId1"/>
    <sheet name="Error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2" i="2" l="1"/>
  <c r="X62" i="2"/>
  <c r="X60" i="2"/>
  <c r="X61" i="2"/>
  <c r="X59" i="2"/>
  <c r="X37" i="2"/>
  <c r="X43" i="2" s="1"/>
  <c r="X38" i="2"/>
  <c r="X39" i="2"/>
  <c r="X40" i="2"/>
  <c r="X41" i="2"/>
  <c r="X42" i="2"/>
  <c r="X37" i="1"/>
  <c r="W65" i="2"/>
  <c r="W43" i="2"/>
  <c r="W59" i="2"/>
  <c r="T69" i="2"/>
  <c r="T70" i="2"/>
  <c r="T68" i="2"/>
  <c r="U60" i="2"/>
  <c r="U61" i="2"/>
  <c r="U59" i="2"/>
  <c r="T69" i="1"/>
  <c r="T70" i="1"/>
  <c r="T68" i="1"/>
  <c r="U60" i="1"/>
  <c r="U61" i="1"/>
  <c r="U59" i="1"/>
  <c r="V39" i="1"/>
  <c r="X38" i="1"/>
  <c r="X39" i="1"/>
  <c r="X41" i="1"/>
  <c r="X42" i="1"/>
  <c r="N29" i="1"/>
  <c r="N13" i="1"/>
  <c r="H28" i="2"/>
  <c r="H12" i="2"/>
  <c r="H28" i="1"/>
  <c r="K28" i="1" s="1"/>
  <c r="H12" i="1"/>
  <c r="K12" i="1" s="1"/>
  <c r="G10" i="1" l="1"/>
  <c r="M28" i="1"/>
  <c r="M12" i="1"/>
  <c r="M24" i="2"/>
  <c r="M25" i="2"/>
  <c r="M26" i="2"/>
  <c r="M27" i="2"/>
  <c r="M23" i="2"/>
  <c r="M28" i="2" s="1"/>
  <c r="M8" i="2"/>
  <c r="M12" i="2" s="1"/>
  <c r="H24" i="2"/>
  <c r="H25" i="2"/>
  <c r="H26" i="2"/>
  <c r="H27" i="2"/>
  <c r="H23" i="2"/>
  <c r="H8" i="2"/>
  <c r="M9" i="2"/>
  <c r="M10" i="2"/>
  <c r="M11" i="2"/>
  <c r="H9" i="2"/>
  <c r="H10" i="2"/>
  <c r="H11" i="2"/>
  <c r="H37" i="2"/>
  <c r="I37" i="2" s="1"/>
  <c r="M47" i="1"/>
  <c r="M48" i="1"/>
  <c r="M49" i="1"/>
  <c r="M50" i="1"/>
  <c r="M51" i="1"/>
  <c r="M52" i="1"/>
  <c r="M53" i="1"/>
  <c r="M54" i="1"/>
  <c r="M46" i="1"/>
  <c r="H54" i="2"/>
  <c r="I54" i="2" s="1"/>
  <c r="H53" i="2"/>
  <c r="I53" i="2" s="1"/>
  <c r="H52" i="2"/>
  <c r="H51" i="2"/>
  <c r="I51" i="2" s="1"/>
  <c r="H50" i="2"/>
  <c r="I50" i="2" s="1"/>
  <c r="H49" i="2"/>
  <c r="I49" i="2" s="1"/>
  <c r="H48" i="2"/>
  <c r="H47" i="2"/>
  <c r="H46" i="2"/>
  <c r="I38" i="2"/>
  <c r="I39" i="2"/>
  <c r="H42" i="2"/>
  <c r="I42" i="2" s="1"/>
  <c r="H41" i="2"/>
  <c r="I41" i="2" s="1"/>
  <c r="H40" i="2"/>
  <c r="I40" i="2" s="1"/>
  <c r="H39" i="2"/>
  <c r="H38" i="2"/>
  <c r="M38" i="1"/>
  <c r="M39" i="1"/>
  <c r="M40" i="1"/>
  <c r="M41" i="1"/>
  <c r="M42" i="1"/>
  <c r="M37" i="1"/>
  <c r="I47" i="2"/>
  <c r="I48" i="2"/>
  <c r="I52" i="2"/>
  <c r="I46" i="2"/>
  <c r="L37" i="1"/>
  <c r="L55" i="1"/>
  <c r="L43" i="1"/>
  <c r="L47" i="1"/>
  <c r="L48" i="1"/>
  <c r="L49" i="1"/>
  <c r="L50" i="1"/>
  <c r="L51" i="1"/>
  <c r="L52" i="1"/>
  <c r="L53" i="1"/>
  <c r="L54" i="1"/>
  <c r="L46" i="1"/>
  <c r="L38" i="1"/>
  <c r="L39" i="1"/>
  <c r="L40" i="1"/>
  <c r="L41" i="1"/>
  <c r="L42" i="1"/>
  <c r="M23" i="1"/>
  <c r="G51" i="1"/>
  <c r="V59" i="2"/>
  <c r="V37" i="2"/>
  <c r="W37" i="1"/>
  <c r="V38" i="1"/>
  <c r="V38" i="2"/>
  <c r="W38" i="2" s="1"/>
  <c r="V39" i="2"/>
  <c r="V40" i="2"/>
  <c r="V41" i="2"/>
  <c r="V42" i="2"/>
  <c r="V37" i="1"/>
  <c r="T38" i="2"/>
  <c r="T39" i="2"/>
  <c r="T40" i="2"/>
  <c r="T41" i="2"/>
  <c r="T42" i="2"/>
  <c r="T37" i="2"/>
  <c r="T60" i="2"/>
  <c r="T61" i="2"/>
  <c r="S68" i="2"/>
  <c r="S69" i="2"/>
  <c r="S70" i="2"/>
  <c r="T59" i="2"/>
  <c r="R60" i="2"/>
  <c r="R61" i="2"/>
  <c r="Q68" i="2"/>
  <c r="Q69" i="2"/>
  <c r="Q70" i="2"/>
  <c r="R59" i="2"/>
  <c r="R38" i="2"/>
  <c r="R39" i="2"/>
  <c r="R40" i="2"/>
  <c r="R41" i="2"/>
  <c r="R42" i="2"/>
  <c r="R37" i="2"/>
  <c r="U38" i="2"/>
  <c r="U37" i="2"/>
  <c r="W37" i="2" s="1"/>
  <c r="T60" i="1"/>
  <c r="V60" i="1" s="1"/>
  <c r="W60" i="1" s="1"/>
  <c r="X60" i="1" s="1"/>
  <c r="T61" i="1"/>
  <c r="V61" i="1" s="1"/>
  <c r="W61" i="1" s="1"/>
  <c r="X61" i="1" s="1"/>
  <c r="S68" i="1"/>
  <c r="S69" i="1"/>
  <c r="U69" i="1" s="1"/>
  <c r="V69" i="1" s="1"/>
  <c r="W69" i="1" s="1"/>
  <c r="S70" i="1"/>
  <c r="U70" i="1" s="1"/>
  <c r="V70" i="1" s="1"/>
  <c r="W70" i="1" s="1"/>
  <c r="T59" i="1"/>
  <c r="V59" i="1" s="1"/>
  <c r="W59" i="1" s="1"/>
  <c r="X59" i="1" s="1"/>
  <c r="T37" i="1"/>
  <c r="T38" i="1"/>
  <c r="T39" i="1"/>
  <c r="T40" i="1"/>
  <c r="T41" i="1"/>
  <c r="T42" i="1"/>
  <c r="U68" i="1"/>
  <c r="V68" i="1" s="1"/>
  <c r="W68" i="1" s="1"/>
  <c r="Q69" i="1"/>
  <c r="Q70" i="1"/>
  <c r="Q68" i="1"/>
  <c r="R41" i="1"/>
  <c r="R42" i="1"/>
  <c r="R40" i="1"/>
  <c r="R38" i="1"/>
  <c r="R39" i="1"/>
  <c r="R37" i="1"/>
  <c r="R60" i="1"/>
  <c r="R61" i="1"/>
  <c r="R59" i="1"/>
  <c r="K47" i="1"/>
  <c r="K48" i="1"/>
  <c r="K49" i="1"/>
  <c r="K50" i="1"/>
  <c r="K51" i="1"/>
  <c r="K52" i="1"/>
  <c r="K53" i="1"/>
  <c r="K54" i="1"/>
  <c r="I47" i="1"/>
  <c r="I48" i="1"/>
  <c r="I49" i="1"/>
  <c r="I50" i="1"/>
  <c r="I51" i="1"/>
  <c r="I52" i="1"/>
  <c r="I53" i="1"/>
  <c r="I54" i="1"/>
  <c r="I46" i="1"/>
  <c r="K46" i="1"/>
  <c r="K38" i="1"/>
  <c r="K39" i="1"/>
  <c r="K40" i="1"/>
  <c r="K41" i="1"/>
  <c r="K42" i="1"/>
  <c r="K37" i="1"/>
  <c r="I38" i="1"/>
  <c r="I39" i="1"/>
  <c r="I40" i="1"/>
  <c r="I41" i="1"/>
  <c r="I42" i="1"/>
  <c r="I37" i="1"/>
  <c r="H37" i="1"/>
  <c r="F48" i="2"/>
  <c r="G48" i="2" s="1"/>
  <c r="F49" i="2"/>
  <c r="G49" i="2" s="1"/>
  <c r="F50" i="2"/>
  <c r="G50" i="2" s="1"/>
  <c r="F51" i="2"/>
  <c r="G51" i="2" s="1"/>
  <c r="F52" i="2"/>
  <c r="G52" i="2" s="1"/>
  <c r="F54" i="2"/>
  <c r="G54" i="2" s="1"/>
  <c r="F37" i="2"/>
  <c r="G37" i="2" s="1"/>
  <c r="E47" i="2"/>
  <c r="F47" i="2" s="1"/>
  <c r="G47" i="2" s="1"/>
  <c r="E48" i="2"/>
  <c r="E49" i="2"/>
  <c r="E50" i="2"/>
  <c r="E51" i="2"/>
  <c r="E52" i="2"/>
  <c r="E53" i="2"/>
  <c r="F53" i="2" s="1"/>
  <c r="G53" i="2" s="1"/>
  <c r="E54" i="2"/>
  <c r="E46" i="2"/>
  <c r="F46" i="2" s="1"/>
  <c r="G46" i="2" s="1"/>
  <c r="E37" i="2"/>
  <c r="F38" i="2"/>
  <c r="G38" i="2" s="1"/>
  <c r="F39" i="2"/>
  <c r="G39" i="2" s="1"/>
  <c r="F40" i="2"/>
  <c r="G40" i="2" s="1"/>
  <c r="E42" i="2"/>
  <c r="F42" i="2" s="1"/>
  <c r="G42" i="2" s="1"/>
  <c r="U41" i="2" s="1"/>
  <c r="E41" i="2"/>
  <c r="F41" i="2" s="1"/>
  <c r="G41" i="2" s="1"/>
  <c r="U39" i="2" s="1"/>
  <c r="W39" i="2" s="1"/>
  <c r="E40" i="2"/>
  <c r="E39" i="2"/>
  <c r="E38" i="2"/>
  <c r="Q23" i="2"/>
  <c r="Q22" i="2"/>
  <c r="Q18" i="2"/>
  <c r="Q17" i="2"/>
  <c r="T16" i="2"/>
  <c r="V16" i="2" s="1"/>
  <c r="H54" i="1"/>
  <c r="H53" i="1"/>
  <c r="H52" i="1"/>
  <c r="H51" i="1"/>
  <c r="H50" i="1"/>
  <c r="H49" i="1"/>
  <c r="H48" i="1"/>
  <c r="H47" i="1"/>
  <c r="H46" i="1"/>
  <c r="H42" i="1"/>
  <c r="H41" i="1"/>
  <c r="H40" i="1"/>
  <c r="H39" i="1"/>
  <c r="H38" i="1"/>
  <c r="T16" i="1"/>
  <c r="V16" i="1" s="1"/>
  <c r="U41" i="1"/>
  <c r="U42" i="1"/>
  <c r="U40" i="1"/>
  <c r="U38" i="1"/>
  <c r="U39" i="1"/>
  <c r="U37" i="1"/>
  <c r="V40" i="1"/>
  <c r="W40" i="1" s="1"/>
  <c r="X40" i="1" s="1"/>
  <c r="V41" i="1"/>
  <c r="W41" i="1" s="1"/>
  <c r="V42" i="1"/>
  <c r="W42" i="1" s="1"/>
  <c r="W38" i="1"/>
  <c r="W39" i="1"/>
  <c r="Q18" i="1"/>
  <c r="F39" i="1"/>
  <c r="G39" i="1" s="1"/>
  <c r="F38" i="1"/>
  <c r="G38" i="1"/>
  <c r="F47" i="1"/>
  <c r="F48" i="1"/>
  <c r="F49" i="1"/>
  <c r="F50" i="1"/>
  <c r="F51" i="1"/>
  <c r="F52" i="1"/>
  <c r="G52" i="1" s="1"/>
  <c r="F53" i="1"/>
  <c r="G53" i="1" s="1"/>
  <c r="F54" i="1"/>
  <c r="G54" i="1" s="1"/>
  <c r="F46" i="1"/>
  <c r="G46" i="1" s="1"/>
  <c r="F40" i="1"/>
  <c r="F41" i="1"/>
  <c r="G41" i="1" s="1"/>
  <c r="F42" i="1"/>
  <c r="F37" i="1"/>
  <c r="G37" i="1" s="1"/>
  <c r="G50" i="1"/>
  <c r="G49" i="1"/>
  <c r="G48" i="1"/>
  <c r="G47" i="1"/>
  <c r="G40" i="1"/>
  <c r="G42" i="1"/>
  <c r="U68" i="2" l="1"/>
  <c r="W42" i="2"/>
  <c r="U42" i="2"/>
  <c r="V61" i="2"/>
  <c r="W61" i="2" s="1"/>
  <c r="W41" i="2"/>
  <c r="V68" i="2"/>
  <c r="U70" i="2"/>
  <c r="U69" i="2"/>
  <c r="V60" i="2"/>
  <c r="W60" i="2" s="1"/>
  <c r="X43" i="1"/>
  <c r="W43" i="1" s="1"/>
  <c r="X65" i="1"/>
  <c r="W65" i="1" s="1"/>
  <c r="U40" i="2"/>
  <c r="W40" i="2" s="1"/>
  <c r="I43" i="2"/>
  <c r="I55" i="2"/>
  <c r="N27" i="1"/>
  <c r="M27" i="1"/>
  <c r="L27" i="1"/>
  <c r="K27" i="1"/>
  <c r="M26" i="1"/>
  <c r="N26" i="1" s="1"/>
  <c r="K26" i="1"/>
  <c r="L26" i="1" s="1"/>
  <c r="M25" i="1"/>
  <c r="N25" i="1" s="1"/>
  <c r="K25" i="1"/>
  <c r="L25" i="1" s="1"/>
  <c r="M24" i="1"/>
  <c r="N24" i="1" s="1"/>
  <c r="K24" i="1"/>
  <c r="L24" i="1" s="1"/>
  <c r="N23" i="1"/>
  <c r="K23" i="1"/>
  <c r="L23" i="1" s="1"/>
  <c r="N9" i="1"/>
  <c r="N10" i="1"/>
  <c r="N11" i="1"/>
  <c r="N8" i="1"/>
  <c r="V69" i="2" l="1"/>
  <c r="V70" i="2"/>
  <c r="L10" i="1"/>
  <c r="L11" i="1"/>
  <c r="L8" i="1"/>
  <c r="L9" i="1"/>
  <c r="Q17" i="1" l="1"/>
  <c r="E54" i="1"/>
  <c r="E53" i="1"/>
  <c r="E52" i="1"/>
  <c r="E51" i="1"/>
  <c r="E50" i="1"/>
  <c r="E49" i="1"/>
  <c r="E48" i="1"/>
  <c r="E47" i="1"/>
  <c r="E46" i="1"/>
  <c r="E38" i="1"/>
  <c r="E39" i="1"/>
  <c r="E40" i="1"/>
  <c r="E41" i="1"/>
  <c r="E42" i="1"/>
  <c r="E37" i="1"/>
  <c r="K10" i="1"/>
  <c r="Q23" i="1"/>
  <c r="Q22" i="1"/>
  <c r="H27" i="1"/>
  <c r="I27" i="1" s="1"/>
  <c r="H26" i="1"/>
  <c r="I26" i="1" s="1"/>
  <c r="H25" i="1"/>
  <c r="I25" i="1" s="1"/>
  <c r="H24" i="1"/>
  <c r="I24" i="1" s="1"/>
  <c r="H23" i="1"/>
  <c r="I23" i="1" s="1"/>
  <c r="H9" i="1"/>
  <c r="I9" i="1" s="1"/>
  <c r="H10" i="1"/>
  <c r="I10" i="1" s="1"/>
  <c r="H11" i="1"/>
  <c r="I11" i="1" s="1"/>
  <c r="H8" i="1"/>
  <c r="K8" i="1" s="1"/>
  <c r="D27" i="1"/>
  <c r="G27" i="1" s="1"/>
  <c r="D26" i="1"/>
  <c r="G26" i="1" s="1"/>
  <c r="D25" i="1"/>
  <c r="G25" i="1" s="1"/>
  <c r="D24" i="1"/>
  <c r="G24" i="1" s="1"/>
  <c r="D23" i="1"/>
  <c r="G23" i="1" s="1"/>
  <c r="K11" i="1" l="1"/>
  <c r="K9" i="1"/>
  <c r="M8" i="1"/>
  <c r="I8" i="1"/>
  <c r="M11" i="1"/>
  <c r="M10" i="1"/>
  <c r="M9" i="1"/>
  <c r="D9" i="1"/>
  <c r="G9" i="1" s="1"/>
  <c r="D10" i="1"/>
  <c r="D11" i="1"/>
  <c r="G11" i="1" s="1"/>
  <c r="D8" i="1"/>
  <c r="G8" i="1" s="1"/>
</calcChain>
</file>

<file path=xl/sharedStrings.xml><?xml version="1.0" encoding="utf-8"?>
<sst xmlns="http://schemas.openxmlformats.org/spreadsheetml/2006/main" count="221" uniqueCount="67">
  <si>
    <t>[&lt;SpectralAxis [621.2] nm&gt;, &lt;SpectralAxis [667.2] nm&gt;, &lt;SpectralAxis [715.12] nm&gt;, &lt;SpectralAxis [790.04] nm&gt;]</t>
  </si>
  <si>
    <t>[array([2.77958894]), &lt;Quantity [1.11611301] erg / (Angstrom cm2 s)&gt;, &lt;Quantity [1.15124714] erg / (Angstrom cm2 s)&gt;, array([1.85757472])]</t>
  </si>
  <si>
    <t>Obs</t>
  </si>
  <si>
    <t>Teo</t>
  </si>
  <si>
    <t>Elemento</t>
  </si>
  <si>
    <t>Lyalpha</t>
  </si>
  <si>
    <t>OI</t>
  </si>
  <si>
    <t>C IV</t>
  </si>
  <si>
    <t>O IV</t>
  </si>
  <si>
    <t>HB89 0000-263</t>
  </si>
  <si>
    <t>[&lt;SpectralAxis [623.46, 634.2 ] nm&gt;, &lt;SpectralAxis [794.52] nm&gt;, &lt;SpectralAxis [895.16] nm&gt;, &lt;SpectralAxis [978.54] nm&gt;]</t>
  </si>
  <si>
    <t>[array([7.17916345, 2.01298096]), array([2.59543122]), &lt;Quantity [0.05743389] erg / (Angstrom cm2 s)&gt;, array([2.22808309])]</t>
  </si>
  <si>
    <t>PSS J01221+0347</t>
  </si>
  <si>
    <t>Lyalph</t>
  </si>
  <si>
    <t>N V</t>
  </si>
  <si>
    <t>N III</t>
  </si>
  <si>
    <t>C III</t>
  </si>
  <si>
    <t>Teo Calc</t>
  </si>
  <si>
    <t xml:space="preserve">Teo </t>
  </si>
  <si>
    <t>Dif</t>
  </si>
  <si>
    <t>z teo</t>
  </si>
  <si>
    <t>Z calc</t>
  </si>
  <si>
    <t>c</t>
  </si>
  <si>
    <t>z dif</t>
  </si>
  <si>
    <t>vr</t>
  </si>
  <si>
    <t>Vr</t>
  </si>
  <si>
    <t>vr dif</t>
  </si>
  <si>
    <t xml:space="preserve">Vr rel </t>
  </si>
  <si>
    <t>Vr Teo</t>
  </si>
  <si>
    <t>Linea</t>
  </si>
  <si>
    <t>Ajuste</t>
  </si>
  <si>
    <t>Lambda</t>
  </si>
  <si>
    <t>sigma</t>
  </si>
  <si>
    <t>FWHM</t>
  </si>
  <si>
    <t>PSS J0121+0347</t>
  </si>
  <si>
    <t>G</t>
  </si>
  <si>
    <t>f</t>
  </si>
  <si>
    <t>(LambL)</t>
  </si>
  <si>
    <t>FWHM^2</t>
  </si>
  <si>
    <t>Rblr</t>
  </si>
  <si>
    <t>M</t>
  </si>
  <si>
    <t>Vr rel dif %</t>
  </si>
  <si>
    <t>FWHMinst</t>
  </si>
  <si>
    <t>FWHMobs</t>
  </si>
  <si>
    <t>FWHM obs</t>
  </si>
  <si>
    <t>FWHM'</t>
  </si>
  <si>
    <t>dl</t>
  </si>
  <si>
    <t>Pi</t>
  </si>
  <si>
    <t>Flujo lam</t>
  </si>
  <si>
    <t>Masa sol</t>
  </si>
  <si>
    <t>z</t>
  </si>
  <si>
    <t>Parámetros iniciales HB89 0000-263</t>
  </si>
  <si>
    <t>Linea Central</t>
  </si>
  <si>
    <t>Ley potencia</t>
  </si>
  <si>
    <t>Amplitud</t>
  </si>
  <si>
    <t>c0</t>
  </si>
  <si>
    <t>c1</t>
  </si>
  <si>
    <t>c2</t>
  </si>
  <si>
    <t>c3</t>
  </si>
  <si>
    <t>Parámetros iniciales PSS J0121+0347</t>
  </si>
  <si>
    <t>Flujo lam Cont</t>
  </si>
  <si>
    <t>Flujo Lam Norm</t>
  </si>
  <si>
    <t>Flujo Lam</t>
  </si>
  <si>
    <t>Pss J0121+0347</t>
  </si>
  <si>
    <t>Vr rel</t>
  </si>
  <si>
    <t>Log M</t>
  </si>
  <si>
    <t>LOG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</si>
</sst>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75" formatCode="0.000E+00"/>
    <numFmt numFmtId="177" formatCode="0.0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/>
    <xf numFmtId="164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/>
    <xf numFmtId="0" fontId="1" fillId="0" borderId="8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0" fillId="0" borderId="1" xfId="0" applyNumberFormat="1" applyBorder="1"/>
    <xf numFmtId="11" fontId="0" fillId="0" borderId="1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8" xfId="0" applyFill="1" applyBorder="1"/>
    <xf numFmtId="0" fontId="0" fillId="2" borderId="8" xfId="0" applyFill="1" applyBorder="1"/>
    <xf numFmtId="175" fontId="0" fillId="0" borderId="1" xfId="0" applyNumberFormat="1" applyBorder="1"/>
    <xf numFmtId="177" fontId="0" fillId="0" borderId="0" xfId="0" applyNumberFormat="1"/>
    <xf numFmtId="175" fontId="0" fillId="0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38100</xdr:rowOff>
    </xdr:from>
    <xdr:to>
      <xdr:col>6</xdr:col>
      <xdr:colOff>649</xdr:colOff>
      <xdr:row>76</xdr:row>
      <xdr:rowOff>19579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8A7432-EBC4-4C36-B99A-DF42EE6F8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06100"/>
          <a:ext cx="4648849" cy="3791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602F-EDB9-4E54-92F7-F314D5FCF5C7}">
  <dimension ref="A1:X70"/>
  <sheetViews>
    <sheetView topLeftCell="C35" workbookViewId="0">
      <selection activeCell="X38" sqref="X38"/>
    </sheetView>
  </sheetViews>
  <sheetFormatPr baseColWidth="10" defaultRowHeight="15" x14ac:dyDescent="0.25"/>
  <cols>
    <col min="3" max="3" width="12.5703125" bestFit="1" customWidth="1"/>
    <col min="9" max="9" width="13.7109375" bestFit="1" customWidth="1"/>
    <col min="10" max="10" width="14.85546875" bestFit="1" customWidth="1"/>
    <col min="14" max="14" width="12" bestFit="1" customWidth="1"/>
    <col min="15" max="15" width="12.5703125" bestFit="1" customWidth="1"/>
    <col min="16" max="16" width="12.140625" bestFit="1" customWidth="1"/>
    <col min="17" max="17" width="11" bestFit="1" customWidth="1"/>
    <col min="20" max="20" width="12" bestFit="1" customWidth="1"/>
    <col min="22" max="22" width="12" bestFit="1" customWidth="1"/>
    <col min="24" max="24" width="11.85546875" bestFit="1" customWidth="1"/>
    <col min="25" max="25" width="11" bestFit="1" customWidth="1"/>
  </cols>
  <sheetData>
    <row r="1" spans="1:22" x14ac:dyDescent="0.25">
      <c r="A1" s="1" t="s">
        <v>0</v>
      </c>
    </row>
    <row r="2" spans="1:22" x14ac:dyDescent="0.25">
      <c r="A2" s="1" t="s">
        <v>1</v>
      </c>
    </row>
    <row r="6" spans="1:22" x14ac:dyDescent="0.25">
      <c r="A6" s="16" t="s">
        <v>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22" x14ac:dyDescent="0.25">
      <c r="A7" s="2"/>
      <c r="B7" s="6" t="s">
        <v>20</v>
      </c>
      <c r="C7" s="6" t="s">
        <v>2</v>
      </c>
      <c r="D7" s="6" t="s">
        <v>17</v>
      </c>
      <c r="E7" s="6" t="s">
        <v>4</v>
      </c>
      <c r="F7" s="6" t="s">
        <v>18</v>
      </c>
      <c r="G7" s="7" t="s">
        <v>19</v>
      </c>
      <c r="H7" s="7" t="s">
        <v>21</v>
      </c>
      <c r="I7" s="7" t="s">
        <v>23</v>
      </c>
      <c r="J7" s="7" t="s">
        <v>28</v>
      </c>
      <c r="K7" s="10" t="s">
        <v>25</v>
      </c>
      <c r="L7" s="10" t="s">
        <v>26</v>
      </c>
      <c r="M7" s="7" t="s">
        <v>27</v>
      </c>
      <c r="N7" s="7" t="s">
        <v>41</v>
      </c>
    </row>
    <row r="8" spans="1:22" x14ac:dyDescent="0.25">
      <c r="A8" s="2">
        <v>1</v>
      </c>
      <c r="B8" s="2">
        <v>4.1254400000000002</v>
      </c>
      <c r="C8" s="2">
        <v>621.20000000000005</v>
      </c>
      <c r="D8" s="2">
        <f>C8/(1+B8)</f>
        <v>121.199350689892</v>
      </c>
      <c r="E8" s="2" t="s">
        <v>5</v>
      </c>
      <c r="F8" s="2">
        <v>121.56699999999999</v>
      </c>
      <c r="G8" s="5">
        <f>D8-F8</f>
        <v>-0.36764931010799273</v>
      </c>
      <c r="H8" s="5">
        <f>(ABS(C8-F8)/F8)</f>
        <v>4.109939374994859</v>
      </c>
      <c r="I8" s="5">
        <f>H8-B8</f>
        <v>-1.5500625005141266E-2</v>
      </c>
      <c r="J8" s="5">
        <v>277677</v>
      </c>
      <c r="K8" s="11">
        <f>H8*$Q$16/1000</f>
        <v>1232128.8274606925</v>
      </c>
      <c r="L8" s="11">
        <f>((ABS(K8-J8))/J8)*100</f>
        <v>343.72736217284563</v>
      </c>
      <c r="M8" s="5">
        <f>((((H8+1)^2) -1)/(((H8+1)^2) +1))*$Q$16/1000</f>
        <v>277676.92219017993</v>
      </c>
      <c r="N8" s="5">
        <f>((ABS(J8-M8))/J8)*100</f>
        <v>2.8021701497808174E-5</v>
      </c>
    </row>
    <row r="9" spans="1:22" x14ac:dyDescent="0.25">
      <c r="A9" s="2">
        <v>2</v>
      </c>
      <c r="B9" s="2">
        <v>4.1254400000000002</v>
      </c>
      <c r="C9" s="2">
        <v>667.2</v>
      </c>
      <c r="D9" s="2">
        <f t="shared" ref="D9:D11" si="0">C9/(1+B9)</f>
        <v>130.1741899232066</v>
      </c>
      <c r="E9" s="2" t="s">
        <v>6</v>
      </c>
      <c r="F9" s="2">
        <v>130.21680000000001</v>
      </c>
      <c r="G9" s="5">
        <f t="shared" ref="G9:G11" si="1">D9-F9</f>
        <v>-4.261007679340878E-2</v>
      </c>
      <c r="H9" s="5">
        <f t="shared" ref="H9:H11" si="2">(ABS(C9-F9)/F9)</f>
        <v>4.1237628324455828</v>
      </c>
      <c r="I9" s="5">
        <f t="shared" ref="I9:I11" si="3">H9-B9</f>
        <v>-1.6771675544173803E-3</v>
      </c>
      <c r="J9" s="5">
        <v>277677</v>
      </c>
      <c r="K9" s="11">
        <f>H9*$Q$16/1000</f>
        <v>1236272.9957479034</v>
      </c>
      <c r="L9" s="11">
        <f>((ABS(K9-J9))/J9)*100</f>
        <v>345.21980421421415</v>
      </c>
      <c r="M9" s="5">
        <f>((((H9+1)^2) -1)/(((H9+1)^2) +1))*$Q$16/1000</f>
        <v>277791.71996562363</v>
      </c>
      <c r="N9" s="5">
        <f t="shared" ref="N9:N11" si="4">((ABS(J9-M9))/J9)*100</f>
        <v>4.1314176407708771E-2</v>
      </c>
    </row>
    <row r="10" spans="1:22" x14ac:dyDescent="0.25">
      <c r="A10" s="2">
        <v>3</v>
      </c>
      <c r="B10" s="2">
        <v>4.1254400000000002</v>
      </c>
      <c r="C10" s="2">
        <v>715.12</v>
      </c>
      <c r="D10" s="2">
        <f t="shared" si="0"/>
        <v>139.52363114191172</v>
      </c>
      <c r="E10" s="3" t="s">
        <v>8</v>
      </c>
      <c r="F10" s="2">
        <v>139.72319999999999</v>
      </c>
      <c r="G10" s="5">
        <f t="shared" si="1"/>
        <v>-0.19956885808826996</v>
      </c>
      <c r="H10" s="5">
        <f t="shared" si="2"/>
        <v>4.1181192529229218</v>
      </c>
      <c r="I10" s="5">
        <f t="shared" si="3"/>
        <v>-7.3207470770784155E-3</v>
      </c>
      <c r="J10" s="5">
        <v>277677</v>
      </c>
      <c r="K10" s="11">
        <f>H10*$Q$16/1000</f>
        <v>1234581.0931708866</v>
      </c>
      <c r="L10" s="11">
        <f t="shared" ref="L10:L11" si="5">((ABS(K10-J10))/J10)*100</f>
        <v>344.61049823027713</v>
      </c>
      <c r="M10" s="5">
        <f>((((H10+1)^2) -1)/(((H10+1)^2) +1))*$Q$16/1000</f>
        <v>277744.95934177353</v>
      </c>
      <c r="N10" s="5">
        <f t="shared" si="4"/>
        <v>2.4474242293575078E-2</v>
      </c>
    </row>
    <row r="11" spans="1:22" x14ac:dyDescent="0.25">
      <c r="A11" s="2">
        <v>4</v>
      </c>
      <c r="B11" s="2">
        <v>4.1254400000000002</v>
      </c>
      <c r="C11" s="2">
        <v>793.04</v>
      </c>
      <c r="D11" s="2">
        <f t="shared" si="0"/>
        <v>154.72622838234375</v>
      </c>
      <c r="E11" s="3" t="s">
        <v>7</v>
      </c>
      <c r="F11" s="2">
        <v>154.81870000000001</v>
      </c>
      <c r="G11" s="5">
        <f t="shared" si="1"/>
        <v>-9.2471617656258331E-2</v>
      </c>
      <c r="H11" s="5">
        <f t="shared" si="2"/>
        <v>4.1223786273880343</v>
      </c>
      <c r="I11" s="5">
        <f t="shared" si="3"/>
        <v>-3.061372611965929E-3</v>
      </c>
      <c r="J11" s="5">
        <v>277677</v>
      </c>
      <c r="K11" s="11">
        <f>H11*$Q$16/1000</f>
        <v>1235858.0215113249</v>
      </c>
      <c r="L11" s="11">
        <f t="shared" si="5"/>
        <v>345.07035927042028</v>
      </c>
      <c r="M11" s="5">
        <f>((((H11+1)^2) -1)/(((H11+1)^2) +1))*$Q$16/1000</f>
        <v>277780.26455526345</v>
      </c>
      <c r="N11" s="5">
        <f t="shared" si="4"/>
        <v>3.7188731966799352E-2</v>
      </c>
    </row>
    <row r="12" spans="1:22" x14ac:dyDescent="0.25">
      <c r="H12" s="29">
        <f>AVERAGE(H8:H11)</f>
        <v>4.1185500219378497</v>
      </c>
      <c r="K12" s="30">
        <f>H12*$Q$16/1000</f>
        <v>1234710.2344727018</v>
      </c>
      <c r="M12" s="29">
        <f>AVERAGE(M8:M11)</f>
        <v>277748.46651321009</v>
      </c>
    </row>
    <row r="13" spans="1:22" x14ac:dyDescent="0.25">
      <c r="N13">
        <f>(M12/Q16)*1000</f>
        <v>0.9264691592515315</v>
      </c>
    </row>
    <row r="14" spans="1:22" x14ac:dyDescent="0.25">
      <c r="P14" t="s">
        <v>49</v>
      </c>
      <c r="Q14" s="22">
        <v>1.99E+30</v>
      </c>
    </row>
    <row r="15" spans="1:22" x14ac:dyDescent="0.25">
      <c r="P15" t="s">
        <v>42</v>
      </c>
      <c r="Q15">
        <v>0.13</v>
      </c>
    </row>
    <row r="16" spans="1:22" x14ac:dyDescent="0.25">
      <c r="A16" s="1" t="s">
        <v>10</v>
      </c>
      <c r="P16" t="s">
        <v>22</v>
      </c>
      <c r="Q16" s="8">
        <v>299792458</v>
      </c>
      <c r="T16" s="22">
        <f>(538.2/Q17)*Q16*24*(1000000000000)*3600/Q14</f>
        <v>104958916.49322714</v>
      </c>
      <c r="U16" s="22">
        <v>105000000</v>
      </c>
      <c r="V16" s="22">
        <f>U16/T16</f>
        <v>1.0003914246463808</v>
      </c>
    </row>
    <row r="17" spans="1:17" x14ac:dyDescent="0.25">
      <c r="A17" s="1" t="s">
        <v>11</v>
      </c>
      <c r="P17" t="s">
        <v>35</v>
      </c>
      <c r="Q17">
        <f>0.000000000066743</f>
        <v>6.6742999999999994E-11</v>
      </c>
    </row>
    <row r="18" spans="1:17" x14ac:dyDescent="0.25">
      <c r="P18" t="s">
        <v>47</v>
      </c>
      <c r="Q18">
        <f>PI()</f>
        <v>3.1415926535897931</v>
      </c>
    </row>
    <row r="20" spans="1:17" x14ac:dyDescent="0.25">
      <c r="P20">
        <v>2.366E-2</v>
      </c>
    </row>
    <row r="21" spans="1:17" x14ac:dyDescent="0.25">
      <c r="A21" s="16" t="s">
        <v>12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7" x14ac:dyDescent="0.25">
      <c r="A22" s="6"/>
      <c r="B22" s="6" t="s">
        <v>20</v>
      </c>
      <c r="C22" s="6" t="s">
        <v>2</v>
      </c>
      <c r="D22" s="6" t="s">
        <v>3</v>
      </c>
      <c r="E22" s="6" t="s">
        <v>4</v>
      </c>
      <c r="F22" s="6" t="s">
        <v>18</v>
      </c>
      <c r="G22" s="7" t="s">
        <v>19</v>
      </c>
      <c r="H22" s="7" t="s">
        <v>21</v>
      </c>
      <c r="I22" s="7" t="s">
        <v>23</v>
      </c>
      <c r="J22" s="7" t="s">
        <v>28</v>
      </c>
      <c r="K22" s="10" t="s">
        <v>25</v>
      </c>
      <c r="L22" s="10" t="s">
        <v>26</v>
      </c>
      <c r="M22" s="7" t="s">
        <v>27</v>
      </c>
      <c r="N22" s="7" t="s">
        <v>41</v>
      </c>
      <c r="P22" t="s">
        <v>24</v>
      </c>
      <c r="Q22">
        <f>P20*$Q$16/1000</f>
        <v>7093.0895562800006</v>
      </c>
    </row>
    <row r="23" spans="1:17" x14ac:dyDescent="0.25">
      <c r="A23" s="2">
        <v>1</v>
      </c>
      <c r="B23" s="2">
        <v>4.12521</v>
      </c>
      <c r="C23" s="2">
        <v>623.46</v>
      </c>
      <c r="D23" s="2">
        <f>C23/(1+B23)</f>
        <v>121.64574719865138</v>
      </c>
      <c r="E23" s="2" t="s">
        <v>13</v>
      </c>
      <c r="F23" s="2">
        <v>121.56699999999999</v>
      </c>
      <c r="G23" s="5">
        <f>D23-F23</f>
        <v>7.874719865138502E-2</v>
      </c>
      <c r="H23" s="5">
        <f>(ABS(C23-F23)/F23)</f>
        <v>4.1285299464492837</v>
      </c>
      <c r="I23" s="5">
        <f>H23-B23</f>
        <v>3.3199464492836839E-3</v>
      </c>
      <c r="J23" s="5">
        <v>277802</v>
      </c>
      <c r="K23" s="11">
        <f>H23*$Q$16/1000</f>
        <v>1237702.1405726392</v>
      </c>
      <c r="L23" s="11">
        <f>((ABS(K23-J23))/J23)*100</f>
        <v>345.53392004832187</v>
      </c>
      <c r="M23" s="5">
        <f>((((H23+1)^2) -1)/(((H23+1)^2) +1))*$Q$16/1000</f>
        <v>277831.1041810434</v>
      </c>
      <c r="N23" s="5">
        <f>((ABS(J23-M23))/J23)*100</f>
        <v>1.0476591616833657E-2</v>
      </c>
      <c r="P23" t="s">
        <v>24</v>
      </c>
      <c r="Q23">
        <f>((((P20+1)^2) -1)/(((P20+1)^2) +1))*$Q$16/1000</f>
        <v>7009.2012442830392</v>
      </c>
    </row>
    <row r="24" spans="1:17" x14ac:dyDescent="0.25">
      <c r="A24" s="2">
        <v>2</v>
      </c>
      <c r="B24" s="2">
        <v>4.12521</v>
      </c>
      <c r="C24" s="2">
        <v>634.20000000000005</v>
      </c>
      <c r="D24" s="2">
        <f t="shared" ref="D24:D26" si="6">C24/(1+B24)</f>
        <v>123.74127108937977</v>
      </c>
      <c r="E24" s="2" t="s">
        <v>14</v>
      </c>
      <c r="F24" s="2">
        <v>123.88209999999999</v>
      </c>
      <c r="G24" s="5">
        <f t="shared" ref="G24:G26" si="7">D24-F24</f>
        <v>-0.14082891062022895</v>
      </c>
      <c r="H24" s="5">
        <f t="shared" ref="H24:H26" si="8">(ABS(C24-F24)/F24)</f>
        <v>4.1193836720559309</v>
      </c>
      <c r="I24" s="5">
        <f t="shared" ref="I24:I26" si="9">H24-B24</f>
        <v>-5.8263279440691207E-3</v>
      </c>
      <c r="J24" s="5">
        <v>277802</v>
      </c>
      <c r="K24" s="11">
        <f>H24*$Q$16/1000</f>
        <v>1234960.1564907134</v>
      </c>
      <c r="L24" s="11">
        <f>((ABS(K24-J24))/J24)*100</f>
        <v>344.54689184768768</v>
      </c>
      <c r="M24" s="5">
        <f>((((H24+1)^2) -1)/(((H24+1)^2) +1))*$Q$16/1000</f>
        <v>277755.44863871805</v>
      </c>
      <c r="N24" s="5">
        <f t="shared" ref="N24:N27" si="10">((ABS(J24-M24))/J24)*100</f>
        <v>1.675702884858591E-2</v>
      </c>
    </row>
    <row r="25" spans="1:17" x14ac:dyDescent="0.25">
      <c r="A25" s="2">
        <v>3</v>
      </c>
      <c r="B25" s="2">
        <v>4.12521</v>
      </c>
      <c r="C25" s="2">
        <v>794.52</v>
      </c>
      <c r="D25" s="2">
        <f t="shared" si="6"/>
        <v>155.02194056438663</v>
      </c>
      <c r="E25" s="4" t="s">
        <v>7</v>
      </c>
      <c r="F25" s="2">
        <v>155.0772</v>
      </c>
      <c r="G25" s="5">
        <f t="shared" si="7"/>
        <v>-5.5259435613379537E-2</v>
      </c>
      <c r="H25" s="5">
        <f t="shared" si="8"/>
        <v>4.1233837082433782</v>
      </c>
      <c r="I25" s="5">
        <f t="shared" si="9"/>
        <v>-1.8262917566218562E-3</v>
      </c>
      <c r="J25" s="5">
        <v>277802</v>
      </c>
      <c r="K25" s="11">
        <f>H25*$Q$16/1000</f>
        <v>1236159.3371714372</v>
      </c>
      <c r="L25" s="11">
        <f t="shared" ref="L25:L27" si="11">((ABS(K25-J25))/J25)*100</f>
        <v>344.9785592513507</v>
      </c>
      <c r="M25" s="5">
        <f>((((H25+1)^2) -1)/(((H25+1)^2) +1))*$Q$16/1000</f>
        <v>277788.58328593906</v>
      </c>
      <c r="N25" s="5">
        <f t="shared" si="10"/>
        <v>4.8295959211723432E-3</v>
      </c>
    </row>
    <row r="26" spans="1:17" x14ac:dyDescent="0.25">
      <c r="A26" s="2">
        <v>4</v>
      </c>
      <c r="B26" s="2">
        <v>4.12521</v>
      </c>
      <c r="C26" s="2">
        <v>895.16</v>
      </c>
      <c r="D26" s="2">
        <f t="shared" si="6"/>
        <v>174.65820912704064</v>
      </c>
      <c r="E26" s="4" t="s">
        <v>15</v>
      </c>
      <c r="F26" s="2">
        <v>174.6823</v>
      </c>
      <c r="G26" s="5">
        <f t="shared" si="7"/>
        <v>-2.4090872959362741E-2</v>
      </c>
      <c r="H26" s="5">
        <f t="shared" si="8"/>
        <v>4.1245031694682286</v>
      </c>
      <c r="I26" s="5">
        <f t="shared" si="9"/>
        <v>-7.0683053177145183E-4</v>
      </c>
      <c r="J26" s="5">
        <v>277802</v>
      </c>
      <c r="K26" s="11">
        <f>H26*$Q$16/1000</f>
        <v>1236494.9432036707</v>
      </c>
      <c r="L26" s="11">
        <f t="shared" si="11"/>
        <v>345.09936688852878</v>
      </c>
      <c r="M26" s="5">
        <f>((((H26+1)^2) -1)/(((H26+1)^2) +1))*$Q$16/1000</f>
        <v>277797.8432265842</v>
      </c>
      <c r="N26" s="5">
        <f t="shared" si="10"/>
        <v>1.4963079516351866E-3</v>
      </c>
    </row>
    <row r="27" spans="1:17" x14ac:dyDescent="0.25">
      <c r="A27" s="2">
        <v>5</v>
      </c>
      <c r="B27" s="2">
        <v>4.12521</v>
      </c>
      <c r="C27" s="2">
        <v>978.54</v>
      </c>
      <c r="D27" s="2">
        <f t="shared" ref="D27" si="12">C27/(1+B27)</f>
        <v>190.92681080384997</v>
      </c>
      <c r="E27" s="4" t="s">
        <v>16</v>
      </c>
      <c r="F27" s="2">
        <v>190.8734</v>
      </c>
      <c r="G27" s="5">
        <f t="shared" ref="G27" si="13">D27-F27</f>
        <v>5.3410803849970989E-2</v>
      </c>
      <c r="H27" s="5">
        <f t="shared" ref="H27" si="14">(ABS(C27-F27)/F27)</f>
        <v>4.1266441526163415</v>
      </c>
      <c r="I27" s="5">
        <f t="shared" ref="I27" si="15">H27-B27</f>
        <v>1.4341526163414997E-3</v>
      </c>
      <c r="J27" s="5">
        <v>277802</v>
      </c>
      <c r="K27" s="11">
        <f>H27*$Q$16/1000</f>
        <v>1237136.7938041801</v>
      </c>
      <c r="L27" s="11">
        <f t="shared" si="11"/>
        <v>345.33041295749496</v>
      </c>
      <c r="M27" s="5">
        <f>((((H27+1)^2) -1)/(((H27+1)^2) +1))*$Q$16/1000</f>
        <v>277815.53690925025</v>
      </c>
      <c r="N27" s="5">
        <f t="shared" si="10"/>
        <v>4.872862416487816E-3</v>
      </c>
    </row>
    <row r="28" spans="1:17" x14ac:dyDescent="0.25">
      <c r="H28" s="29">
        <f>AVERAGE(H23:H27)</f>
        <v>4.1244889297666329</v>
      </c>
      <c r="K28" s="30">
        <f>H28*$Q$16/1000</f>
        <v>1236490.6742485282</v>
      </c>
      <c r="M28" s="29">
        <f>AVERAGE(M23:M27)</f>
        <v>277797.70324830699</v>
      </c>
    </row>
    <row r="29" spans="1:17" x14ac:dyDescent="0.25">
      <c r="N29">
        <f>(M28/Q16)*1000</f>
        <v>0.92663339532146272</v>
      </c>
    </row>
    <row r="35" spans="1:24" x14ac:dyDescent="0.25">
      <c r="A35" s="17" t="s">
        <v>9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O35" s="16" t="s">
        <v>9</v>
      </c>
      <c r="P35" s="16"/>
      <c r="Q35" s="16"/>
      <c r="R35" s="16"/>
      <c r="S35" s="16"/>
      <c r="T35" s="16"/>
      <c r="U35" s="16"/>
      <c r="V35" s="16"/>
    </row>
    <row r="36" spans="1:24" x14ac:dyDescent="0.25">
      <c r="A36" s="6" t="s">
        <v>29</v>
      </c>
      <c r="B36" s="6" t="s">
        <v>30</v>
      </c>
      <c r="C36" s="6" t="s">
        <v>31</v>
      </c>
      <c r="D36" s="6" t="s">
        <v>32</v>
      </c>
      <c r="E36" s="6" t="s">
        <v>43</v>
      </c>
      <c r="F36" s="6" t="s">
        <v>33</v>
      </c>
      <c r="G36" s="12" t="s">
        <v>45</v>
      </c>
      <c r="H36" s="12" t="s">
        <v>50</v>
      </c>
      <c r="I36" s="12" t="s">
        <v>60</v>
      </c>
      <c r="J36" s="7" t="s">
        <v>61</v>
      </c>
      <c r="K36" s="27" t="s">
        <v>62</v>
      </c>
      <c r="L36" s="7" t="s">
        <v>64</v>
      </c>
      <c r="O36" s="12" t="s">
        <v>29</v>
      </c>
      <c r="P36" s="12" t="s">
        <v>30</v>
      </c>
      <c r="Q36" s="12" t="s">
        <v>36</v>
      </c>
      <c r="R36" s="12" t="s">
        <v>48</v>
      </c>
      <c r="S36" s="12" t="s">
        <v>46</v>
      </c>
      <c r="T36" s="12" t="s">
        <v>37</v>
      </c>
      <c r="U36" s="12" t="s">
        <v>38</v>
      </c>
      <c r="V36" s="12" t="s">
        <v>39</v>
      </c>
      <c r="W36" s="12" t="s">
        <v>40</v>
      </c>
      <c r="X36" s="23" t="s">
        <v>65</v>
      </c>
    </row>
    <row r="37" spans="1:24" x14ac:dyDescent="0.25">
      <c r="A37" s="2">
        <v>1</v>
      </c>
      <c r="B37" s="2">
        <v>1</v>
      </c>
      <c r="C37" s="9">
        <v>628.77928752000003</v>
      </c>
      <c r="D37" s="2">
        <v>15.415129759999999</v>
      </c>
      <c r="E37" s="2">
        <f>2*((2*LN(2))^0.5)*D37</f>
        <v>36.299856555601124</v>
      </c>
      <c r="F37" s="2">
        <f>(((E37)^2)-(($Q$15)^2))^0.5</f>
        <v>36.299623771565706</v>
      </c>
      <c r="G37" s="2">
        <f>F37*$Q$16/(C37*1000)</f>
        <v>17307.111813231873</v>
      </c>
      <c r="H37" s="2">
        <f>(C37-F8)/F8</f>
        <v>4.1722859618152954</v>
      </c>
      <c r="I37" s="26">
        <f>(($Q$48)*((C37/$O$48)^$P$48))+(($R$48)+($S$48*((C37-$O$48)^1))+($T$48*((C37-$O$48)^2))+($U$48*((C37-$O$48)^3)))</f>
        <v>2.1788273029864196E-16</v>
      </c>
      <c r="J37" s="2">
        <v>2.77958894</v>
      </c>
      <c r="K37" s="28">
        <f>J37*I37</f>
        <v>6.056244273551081E-16</v>
      </c>
      <c r="L37" s="5">
        <f>((((H37+1)^2) -1)/(((H37+1)^2) +1))*$Q$16/1000</f>
        <v>278187.77348243148</v>
      </c>
      <c r="M37">
        <f>$J$23-L37</f>
        <v>-385.77348243148299</v>
      </c>
      <c r="O37" s="21" t="s">
        <v>7</v>
      </c>
      <c r="P37" s="21">
        <v>1</v>
      </c>
      <c r="Q37" s="5">
        <v>0.85</v>
      </c>
      <c r="R37" s="25">
        <f>$K$41</f>
        <v>2.5668770828832656E-16</v>
      </c>
      <c r="S37" s="5">
        <v>37178.400000000001</v>
      </c>
      <c r="T37" s="25">
        <f>1350*4*$Q$18*((S37*3.086E+24)^2)*R37*(1+$B$8)</f>
        <v>2.9380088102381924E+47</v>
      </c>
      <c r="U37" s="5">
        <f>($G$41/1000)^2</f>
        <v>239.33001002147492</v>
      </c>
      <c r="V37" s="25">
        <f>107.2*24*3600*$Q$16*((T37*1E-46)^0.55)</f>
        <v>1.782208178670459E+16</v>
      </c>
      <c r="W37" s="25">
        <f>(V37*Q37*U37*1000000000000)/($Q$17*$Q$14)</f>
        <v>27297050109.207035</v>
      </c>
      <c r="X37">
        <f>LOG10(W37)</f>
        <v>10.436115716985293</v>
      </c>
    </row>
    <row r="38" spans="1:24" x14ac:dyDescent="0.25">
      <c r="A38" s="2">
        <v>1</v>
      </c>
      <c r="B38" s="2">
        <v>2</v>
      </c>
      <c r="C38" s="9">
        <v>621.14356024000006</v>
      </c>
      <c r="D38" s="2">
        <v>0.88356287</v>
      </c>
      <c r="E38" s="2">
        <f t="shared" ref="E38:E42" si="16">2*((2*LN(2))^0.5)*D38</f>
        <v>2.080631557321075</v>
      </c>
      <c r="F38" s="2">
        <f>(((E38)^2)-((0.2)^2))^0.5</f>
        <v>2.0709967835127898</v>
      </c>
      <c r="G38" s="2">
        <f t="shared" ref="G38:H42" si="17">F38*$Q$16/(C38*1000)</f>
        <v>999.55832432602074</v>
      </c>
      <c r="H38" s="2">
        <f>(C38-F8)/F8</f>
        <v>4.1094751062377135</v>
      </c>
      <c r="I38" s="26">
        <f t="shared" ref="I38:I42" si="18">(($Q$48)*((C38/$O$48)^$P$48))+(($R$48)+($S$48*((C38-$O$48)^1))+($T$48*((C38-$O$48)^2))+($U$48*((C38-$O$48)^3)))</f>
        <v>2.2327323176323679E-16</v>
      </c>
      <c r="J38" s="2">
        <v>2.77958894</v>
      </c>
      <c r="K38" s="28">
        <f t="shared" ref="K38:K42" si="19">J38*I38</f>
        <v>6.206078056071497E-16</v>
      </c>
      <c r="L38" s="5">
        <f t="shared" ref="L38:L42" si="20">((((H38+1)^2) -1)/(((H38+1)^2) +1))*$Q$16/1000</f>
        <v>277673.05125664355</v>
      </c>
      <c r="M38">
        <f t="shared" ref="M38:M42" si="21">$J$23-L38</f>
        <v>128.94874335645</v>
      </c>
      <c r="O38" s="21"/>
      <c r="P38" s="21"/>
      <c r="Q38" s="5">
        <v>1</v>
      </c>
      <c r="R38" s="25">
        <f t="shared" ref="R38:R39" si="22">$K$41</f>
        <v>2.5668770828832656E-16</v>
      </c>
      <c r="S38" s="5">
        <v>37178.400000000001</v>
      </c>
      <c r="T38" s="25">
        <f t="shared" ref="T38:T42" si="23">1350*4*$Q$18*((S38*3.086E+24)^2)*R38*(1+$B$8)</f>
        <v>2.9380088102381924E+47</v>
      </c>
      <c r="U38" s="5">
        <f t="shared" ref="U38:U39" si="24">($G$41/1000)^2</f>
        <v>239.33001002147492</v>
      </c>
      <c r="V38" s="25">
        <f>107.2*24*3600*$Q$16*((T38*1E-46)^0.55)</f>
        <v>1.782208178670459E+16</v>
      </c>
      <c r="W38" s="25">
        <f t="shared" ref="W38:W42" si="25">(V38*Q38*U38*1000000000000)/($Q$17*$Q$14)</f>
        <v>32114176599.067097</v>
      </c>
      <c r="X38">
        <f t="shared" ref="X38:X42" si="26">LOG10(W38)</f>
        <v>10.506696791271001</v>
      </c>
    </row>
    <row r="39" spans="1:24" x14ac:dyDescent="0.25">
      <c r="A39" s="2">
        <v>2</v>
      </c>
      <c r="B39" s="2">
        <v>1</v>
      </c>
      <c r="C39" s="2">
        <v>667.19850106000001</v>
      </c>
      <c r="D39" s="2">
        <v>24.153185300000001</v>
      </c>
      <c r="E39" s="2">
        <f t="shared" si="16"/>
        <v>56.876404895786862</v>
      </c>
      <c r="F39" s="2">
        <f t="shared" ref="F38:F42" si="27">(((E39)^2)-(($Q$15)^2))^0.5</f>
        <v>56.876256327834092</v>
      </c>
      <c r="G39" s="2">
        <f t="shared" si="17"/>
        <v>25556.22151319261</v>
      </c>
      <c r="H39" s="2">
        <f>(C39-F9)/F9</f>
        <v>4.1237513213348809</v>
      </c>
      <c r="I39" s="26">
        <f t="shared" si="18"/>
        <v>1.9350825483036262E-16</v>
      </c>
      <c r="J39" s="2">
        <v>1.1161130100000001</v>
      </c>
      <c r="K39" s="28">
        <f t="shared" si="19"/>
        <v>2.1597708075856307E-16</v>
      </c>
      <c r="L39" s="5">
        <f t="shared" si="20"/>
        <v>277791.62473833078</v>
      </c>
      <c r="M39">
        <f t="shared" si="21"/>
        <v>10.3752616692218</v>
      </c>
      <c r="O39" s="21"/>
      <c r="P39" s="21"/>
      <c r="Q39" s="5">
        <v>1.1200000000000001</v>
      </c>
      <c r="R39" s="25">
        <f t="shared" si="22"/>
        <v>2.5668770828832656E-16</v>
      </c>
      <c r="S39" s="5">
        <v>37178.400000000001</v>
      </c>
      <c r="T39" s="25">
        <f t="shared" si="23"/>
        <v>2.9380088102381924E+47</v>
      </c>
      <c r="U39" s="5">
        <f t="shared" si="24"/>
        <v>239.33001002147492</v>
      </c>
      <c r="V39" s="25">
        <f>107.2*24*3600*$Q$16*((T39*1E-46)^0.55)</f>
        <v>1.782208178670459E+16</v>
      </c>
      <c r="W39" s="25">
        <f t="shared" si="25"/>
        <v>35967877790.955154</v>
      </c>
      <c r="X39">
        <f t="shared" si="26"/>
        <v>10.555914813941182</v>
      </c>
    </row>
    <row r="40" spans="1:24" x14ac:dyDescent="0.25">
      <c r="A40" s="2">
        <v>3</v>
      </c>
      <c r="B40" s="2">
        <v>1</v>
      </c>
      <c r="C40" s="2">
        <v>715.11327686000004</v>
      </c>
      <c r="D40" s="2">
        <v>24.644248659999999</v>
      </c>
      <c r="E40" s="2">
        <f t="shared" si="16"/>
        <v>58.03277073929511</v>
      </c>
      <c r="F40" s="2">
        <f t="shared" si="27"/>
        <v>58.032625131727293</v>
      </c>
      <c r="G40" s="2">
        <f t="shared" si="17"/>
        <v>24328.653788704734</v>
      </c>
      <c r="H40" s="2">
        <f t="shared" ref="H40:H41" si="28">(C40-F10)/F10</f>
        <v>4.1180711353590533</v>
      </c>
      <c r="I40" s="26">
        <f t="shared" si="18"/>
        <v>1.6843409683435082E-16</v>
      </c>
      <c r="J40" s="2">
        <v>1.1512471399999999</v>
      </c>
      <c r="K40" s="28">
        <f t="shared" si="19"/>
        <v>1.9390927225902943E-16</v>
      </c>
      <c r="L40" s="5">
        <f t="shared" si="20"/>
        <v>277744.56002477027</v>
      </c>
      <c r="M40">
        <f t="shared" si="21"/>
        <v>57.439975229732227</v>
      </c>
      <c r="O40" s="21"/>
      <c r="P40" s="21">
        <v>2</v>
      </c>
      <c r="Q40" s="5">
        <v>0.85</v>
      </c>
      <c r="R40" s="25">
        <f>$K$42</f>
        <v>2.5623436702808825E-16</v>
      </c>
      <c r="S40" s="5">
        <v>37178.400000000001</v>
      </c>
      <c r="T40" s="25">
        <f t="shared" si="23"/>
        <v>2.9328199345202771E+47</v>
      </c>
      <c r="U40" s="5">
        <f>($G$42/1000)^2</f>
        <v>2.2908772946611031</v>
      </c>
      <c r="V40" s="5">
        <f t="shared" ref="V38:V42" si="29">107.2*24*3600*$Q$16*((T40*1E-46)^0.55)</f>
        <v>1.7804763138574452E+16</v>
      </c>
      <c r="W40" s="25">
        <f t="shared" si="25"/>
        <v>261034646.50562268</v>
      </c>
      <c r="X40">
        <f t="shared" si="26"/>
        <v>8.4166981540340782</v>
      </c>
    </row>
    <row r="41" spans="1:24" x14ac:dyDescent="0.25">
      <c r="A41" s="2">
        <v>4</v>
      </c>
      <c r="B41" s="2">
        <v>1</v>
      </c>
      <c r="C41" s="2">
        <v>789.38076594999995</v>
      </c>
      <c r="D41" s="2">
        <v>17.298518260000002</v>
      </c>
      <c r="E41" s="2">
        <f t="shared" si="16"/>
        <v>40.734897547981902</v>
      </c>
      <c r="F41" s="2">
        <f t="shared" si="27"/>
        <v>40.734690108611133</v>
      </c>
      <c r="G41" s="2">
        <f t="shared" si="17"/>
        <v>15470.294438745337</v>
      </c>
      <c r="H41" s="2">
        <f>(C41-F11)/F11</f>
        <v>4.0987430197385706</v>
      </c>
      <c r="I41" s="26">
        <f t="shared" si="18"/>
        <v>1.3818432471363875E-16</v>
      </c>
      <c r="J41" s="2">
        <v>1.8575747199999999</v>
      </c>
      <c r="K41" s="28">
        <f t="shared" si="19"/>
        <v>2.5668770828832656E-16</v>
      </c>
      <c r="L41" s="5">
        <f t="shared" si="20"/>
        <v>277583.28994871036</v>
      </c>
      <c r="M41">
        <f t="shared" si="21"/>
        <v>218.71005128964316</v>
      </c>
      <c r="O41" s="21"/>
      <c r="P41" s="21"/>
      <c r="Q41" s="5">
        <v>1</v>
      </c>
      <c r="R41" s="25">
        <f t="shared" ref="R41:R42" si="30">$K$42</f>
        <v>2.5623436702808825E-16</v>
      </c>
      <c r="S41" s="5">
        <v>37178.400000000001</v>
      </c>
      <c r="T41" s="25">
        <f t="shared" si="23"/>
        <v>2.9328199345202771E+47</v>
      </c>
      <c r="U41" s="5">
        <f t="shared" ref="U41:U42" si="31">($G$42/1000)^2</f>
        <v>2.2908772946611031</v>
      </c>
      <c r="V41" s="5">
        <f t="shared" si="29"/>
        <v>1.7804763138574452E+16</v>
      </c>
      <c r="W41" s="25">
        <f t="shared" si="25"/>
        <v>307099584.12426198</v>
      </c>
      <c r="X41">
        <f t="shared" si="26"/>
        <v>8.4872792283197853</v>
      </c>
    </row>
    <row r="42" spans="1:24" x14ac:dyDescent="0.25">
      <c r="A42" s="2">
        <v>4</v>
      </c>
      <c r="B42" s="2">
        <v>2</v>
      </c>
      <c r="C42" s="2">
        <v>790.07664</v>
      </c>
      <c r="D42" s="2">
        <v>1.69481473</v>
      </c>
      <c r="E42" s="2">
        <f t="shared" si="16"/>
        <v>3.9909836988177165</v>
      </c>
      <c r="F42" s="2">
        <f t="shared" si="27"/>
        <v>3.9888658644066664</v>
      </c>
      <c r="G42" s="2">
        <f t="shared" si="17"/>
        <v>1513.5644336007315</v>
      </c>
      <c r="H42" s="2">
        <f>(C42-F11)/F11</f>
        <v>4.1032377871665373</v>
      </c>
      <c r="I42" s="26">
        <f t="shared" si="18"/>
        <v>1.3794027463298395E-16</v>
      </c>
      <c r="J42" s="2">
        <v>1.8575747199999999</v>
      </c>
      <c r="K42" s="28">
        <f t="shared" si="19"/>
        <v>2.5623436702808825E-16</v>
      </c>
      <c r="L42" s="5">
        <f t="shared" si="20"/>
        <v>277620.9489304187</v>
      </c>
      <c r="M42">
        <f t="shared" si="21"/>
        <v>181.05106958129909</v>
      </c>
      <c r="O42" s="21"/>
      <c r="P42" s="21"/>
      <c r="Q42" s="5">
        <v>1.1200000000000001</v>
      </c>
      <c r="R42" s="25">
        <f t="shared" si="30"/>
        <v>2.5623436702808825E-16</v>
      </c>
      <c r="S42" s="5">
        <v>37178.400000000001</v>
      </c>
      <c r="T42" s="25">
        <f t="shared" si="23"/>
        <v>2.9328199345202771E+47</v>
      </c>
      <c r="U42" s="5">
        <f t="shared" si="31"/>
        <v>2.2908772946611031</v>
      </c>
      <c r="V42" s="5">
        <f t="shared" si="29"/>
        <v>1.7804763138574452E+16</v>
      </c>
      <c r="W42" s="25">
        <f t="shared" si="25"/>
        <v>343951534.21917343</v>
      </c>
      <c r="X42">
        <f t="shared" si="26"/>
        <v>8.5364972509899673</v>
      </c>
    </row>
    <row r="43" spans="1:24" x14ac:dyDescent="0.25">
      <c r="L43" s="5">
        <f>AVERAGE(L37:L42)</f>
        <v>277766.8747302175</v>
      </c>
      <c r="W43" s="32">
        <f>10^X43</f>
        <v>3089349140.8314552</v>
      </c>
      <c r="X43">
        <f>AVERAGE(X37:X42)</f>
        <v>9.4898669925902173</v>
      </c>
    </row>
    <row r="44" spans="1:24" x14ac:dyDescent="0.25">
      <c r="A44" s="19" t="s">
        <v>34</v>
      </c>
      <c r="B44" s="20"/>
      <c r="C44" s="20"/>
      <c r="D44" s="20"/>
      <c r="E44" s="20"/>
      <c r="F44" s="20"/>
      <c r="G44" s="20"/>
    </row>
    <row r="45" spans="1:24" x14ac:dyDescent="0.25">
      <c r="A45" s="6" t="s">
        <v>29</v>
      </c>
      <c r="B45" s="6" t="s">
        <v>30</v>
      </c>
      <c r="C45" s="6" t="s">
        <v>31</v>
      </c>
      <c r="D45" s="6" t="s">
        <v>32</v>
      </c>
      <c r="E45" s="6" t="s">
        <v>44</v>
      </c>
      <c r="F45" s="12" t="s">
        <v>33</v>
      </c>
      <c r="G45" s="12" t="s">
        <v>45</v>
      </c>
      <c r="H45" s="12" t="s">
        <v>50</v>
      </c>
      <c r="I45" s="12" t="s">
        <v>60</v>
      </c>
      <c r="J45" s="7" t="s">
        <v>61</v>
      </c>
      <c r="K45" s="27" t="s">
        <v>62</v>
      </c>
      <c r="L45" s="7" t="s">
        <v>64</v>
      </c>
    </row>
    <row r="46" spans="1:24" x14ac:dyDescent="0.25">
      <c r="A46" s="2">
        <v>1</v>
      </c>
      <c r="B46" s="2">
        <v>1</v>
      </c>
      <c r="C46" s="9">
        <v>626.31831610999996</v>
      </c>
      <c r="D46" s="2">
        <v>10.01592131</v>
      </c>
      <c r="E46" s="2">
        <f>2*((2*LN(2))^0.5)*D46</f>
        <v>23.585692270240642</v>
      </c>
      <c r="F46" s="2">
        <f>(((E46)^2)-(($Q$15)^2))^0.5</f>
        <v>23.585333999468595</v>
      </c>
      <c r="G46" s="2">
        <f>F46*$Q$16/(C46*1000)</f>
        <v>11289.315784930417</v>
      </c>
      <c r="H46" s="2">
        <f>(C46-F23)/F23</f>
        <v>4.1520422163087023</v>
      </c>
      <c r="I46" s="26">
        <f>(($Q$53)*((C46/$O$53)^$P$53))+(($R$53)+($S$53*((C46-$O$53)^1))+($T$53*((C46-$O$53)^2))+($U$53*((C46-$O$53)^3)))</f>
        <v>6.5874226072874166E-17</v>
      </c>
      <c r="J46" s="2">
        <v>7.1791634499999999</v>
      </c>
      <c r="K46" s="28">
        <f>J46*I46</f>
        <v>4.7292183611941528E-16</v>
      </c>
      <c r="L46" s="5">
        <f>((((H46+1)^2) -1)/(((H46+1)^2) +1))*$Q$16/1000</f>
        <v>278023.83501985623</v>
      </c>
      <c r="M46">
        <f>$J$23-L46</f>
        <v>-221.8350198562257</v>
      </c>
      <c r="O46" s="16" t="s">
        <v>51</v>
      </c>
      <c r="P46" s="16"/>
      <c r="Q46" s="16"/>
      <c r="R46" s="16"/>
      <c r="S46" s="16"/>
      <c r="T46" s="16"/>
      <c r="U46" s="16"/>
    </row>
    <row r="47" spans="1:24" x14ac:dyDescent="0.25">
      <c r="A47" s="2">
        <v>1</v>
      </c>
      <c r="B47" s="2">
        <v>2</v>
      </c>
      <c r="C47" s="9">
        <v>623.44126802999995</v>
      </c>
      <c r="D47" s="2">
        <v>0.86011512000000001</v>
      </c>
      <c r="E47" s="2">
        <f t="shared" ref="E47:E54" si="32">2*((2*LN(2))^0.5)*D47</f>
        <v>2.0254163256102005</v>
      </c>
      <c r="F47" s="2">
        <f t="shared" ref="F47:F54" si="33">(((E47)^2)-(($Q$15)^2))^0.5</f>
        <v>2.0212400382063298</v>
      </c>
      <c r="G47" s="2">
        <f t="shared" ref="G47:H54" si="34">F47*$Q$16/(C47*1000)</f>
        <v>971.94804119500668</v>
      </c>
      <c r="H47" s="2">
        <f>(C47-F23)/F23</f>
        <v>4.1283758588268196</v>
      </c>
      <c r="I47" s="26">
        <f t="shared" ref="I47:I54" si="35">(($Q$53)*((C47/$O$53)^$P$53))+(($R$53)+($S$53*((C47-$O$53)^1))+($T$53*((C47-$O$53)^2))+($U$53*((C47-$O$53)^3)))</f>
        <v>6.6483882642899442E-17</v>
      </c>
      <c r="J47" s="2">
        <v>7.1791634499999999</v>
      </c>
      <c r="K47" s="28">
        <f t="shared" ref="K47:K54" si="36">J47*I47</f>
        <v>4.7729866028399311E-16</v>
      </c>
      <c r="L47" s="5">
        <f t="shared" ref="L47:L54" si="37">((((H47+1)^2) -1)/(((H47+1)^2) +1))*$Q$16/1000</f>
        <v>277829.83279692545</v>
      </c>
      <c r="M47">
        <f t="shared" ref="M47:M54" si="38">$J$23-L47</f>
        <v>-27.832796925446019</v>
      </c>
      <c r="O47" s="12" t="s">
        <v>52</v>
      </c>
      <c r="P47" s="12" t="s">
        <v>53</v>
      </c>
      <c r="Q47" s="12" t="s">
        <v>54</v>
      </c>
      <c r="R47" s="12" t="s">
        <v>55</v>
      </c>
      <c r="S47" s="12" t="s">
        <v>56</v>
      </c>
      <c r="T47" s="12" t="s">
        <v>57</v>
      </c>
      <c r="U47" s="12" t="s">
        <v>58</v>
      </c>
    </row>
    <row r="48" spans="1:24" x14ac:dyDescent="0.25">
      <c r="A48" s="2">
        <v>2</v>
      </c>
      <c r="B48" s="2">
        <v>1</v>
      </c>
      <c r="C48" s="2">
        <v>630.31238128999996</v>
      </c>
      <c r="D48" s="2">
        <v>2.0007401200000001</v>
      </c>
      <c r="E48" s="2">
        <f t="shared" si="32"/>
        <v>4.7113829394736273</v>
      </c>
      <c r="F48" s="2">
        <f t="shared" si="33"/>
        <v>4.7095890693735862</v>
      </c>
      <c r="G48" s="2">
        <f t="shared" si="34"/>
        <v>2239.9992847797798</v>
      </c>
      <c r="H48" s="2">
        <f>(C48-F24)/F24</f>
        <v>4.0880020704363265</v>
      </c>
      <c r="I48" s="26">
        <f t="shared" si="35"/>
        <v>6.5041661818824169E-17</v>
      </c>
      <c r="J48" s="2">
        <v>2.0129809600000002</v>
      </c>
      <c r="K48" s="28">
        <f t="shared" si="36"/>
        <v>1.3092762684805204E-16</v>
      </c>
      <c r="L48" s="5">
        <f t="shared" si="37"/>
        <v>277492.91341283976</v>
      </c>
      <c r="M48">
        <f t="shared" si="38"/>
        <v>309.08658716024365</v>
      </c>
      <c r="O48" s="2">
        <v>656.3</v>
      </c>
      <c r="P48" s="2">
        <v>-2</v>
      </c>
      <c r="Q48" s="26">
        <v>2E-16</v>
      </c>
      <c r="R48" s="26">
        <v>-9.9999999999999995E-21</v>
      </c>
      <c r="S48" s="26">
        <v>-1E-22</v>
      </c>
      <c r="T48" s="26">
        <v>-9.9999999999999992E-25</v>
      </c>
      <c r="U48" s="26">
        <v>-1E-26</v>
      </c>
    </row>
    <row r="49" spans="1:24" x14ac:dyDescent="0.25">
      <c r="A49" s="2">
        <v>3</v>
      </c>
      <c r="B49" s="2">
        <v>1</v>
      </c>
      <c r="C49" s="2">
        <v>794.17199042000004</v>
      </c>
      <c r="D49" s="2">
        <v>3.1228301900000002</v>
      </c>
      <c r="E49" s="2">
        <f t="shared" si="32"/>
        <v>7.3537031286398085</v>
      </c>
      <c r="F49" s="2">
        <f t="shared" si="33"/>
        <v>7.3525539579228463</v>
      </c>
      <c r="G49" s="2">
        <f t="shared" si="34"/>
        <v>2775.5199757896276</v>
      </c>
      <c r="H49" s="2">
        <f>(C49-F25)/F25</f>
        <v>4.1211396028558678</v>
      </c>
      <c r="I49" s="26">
        <f t="shared" si="35"/>
        <v>4.0906747939249698E-17</v>
      </c>
      <c r="J49" s="2">
        <v>2.59543122</v>
      </c>
      <c r="K49" s="28">
        <f t="shared" si="36"/>
        <v>1.0617065071019933E-16</v>
      </c>
      <c r="L49" s="5">
        <f t="shared" si="37"/>
        <v>277770.00313675072</v>
      </c>
      <c r="M49">
        <f t="shared" si="38"/>
        <v>31.996863249281887</v>
      </c>
    </row>
    <row r="50" spans="1:24" x14ac:dyDescent="0.25">
      <c r="A50" s="2">
        <v>3</v>
      </c>
      <c r="B50" s="2">
        <v>2</v>
      </c>
      <c r="C50" s="2">
        <v>794.564615</v>
      </c>
      <c r="D50" s="2">
        <v>0.36459503599999998</v>
      </c>
      <c r="E50" s="2">
        <f t="shared" si="32"/>
        <v>0.85855569909158058</v>
      </c>
      <c r="F50" s="2">
        <f t="shared" si="33"/>
        <v>0.8486565197078455</v>
      </c>
      <c r="G50" s="2">
        <f t="shared" si="34"/>
        <v>320.20155345193723</v>
      </c>
      <c r="H50" s="2">
        <f>(C50-F25)/F25</f>
        <v>4.1236714036621764</v>
      </c>
      <c r="I50" s="26">
        <f t="shared" si="35"/>
        <v>4.0865890374564161E-17</v>
      </c>
      <c r="J50" s="2">
        <v>2.59543122</v>
      </c>
      <c r="K50" s="28">
        <f t="shared" si="36"/>
        <v>1.0606460771124132E-16</v>
      </c>
      <c r="L50" s="5">
        <f t="shared" si="37"/>
        <v>277790.9635912393</v>
      </c>
      <c r="M50">
        <f t="shared" si="38"/>
        <v>11.036408760701306</v>
      </c>
    </row>
    <row r="51" spans="1:24" x14ac:dyDescent="0.25">
      <c r="A51" s="2">
        <v>4</v>
      </c>
      <c r="B51" s="2">
        <v>1</v>
      </c>
      <c r="C51" s="2">
        <v>896.18624284999999</v>
      </c>
      <c r="D51" s="2">
        <v>12.85434426</v>
      </c>
      <c r="E51" s="2">
        <f t="shared" si="32"/>
        <v>30.269667529176523</v>
      </c>
      <c r="F51" s="2">
        <f t="shared" si="33"/>
        <v>30.269388370544981</v>
      </c>
      <c r="G51" s="2">
        <f>F51*$Q$16/(C51*1000)</f>
        <v>10125.723770210958</v>
      </c>
      <c r="H51" s="2">
        <f>(C51-F26)/F26</f>
        <v>4.1303780798054524</v>
      </c>
      <c r="I51" s="26">
        <f t="shared" si="35"/>
        <v>3.1948456958108056E-17</v>
      </c>
      <c r="J51" s="2">
        <v>5.7433890000000001E-2</v>
      </c>
      <c r="K51" s="28">
        <f t="shared" si="36"/>
        <v>1.8349241626017127E-18</v>
      </c>
      <c r="L51" s="5">
        <f t="shared" si="37"/>
        <v>277846.34472502477</v>
      </c>
      <c r="M51">
        <f t="shared" si="38"/>
        <v>-44.344725024770014</v>
      </c>
      <c r="O51" s="16" t="s">
        <v>59</v>
      </c>
      <c r="P51" s="16"/>
      <c r="Q51" s="16"/>
      <c r="R51" s="16"/>
      <c r="S51" s="16"/>
      <c r="T51" s="16"/>
      <c r="U51" s="16"/>
    </row>
    <row r="52" spans="1:24" x14ac:dyDescent="0.25">
      <c r="A52" s="2">
        <v>4</v>
      </c>
      <c r="B52" s="2">
        <v>2</v>
      </c>
      <c r="C52" s="2">
        <v>895.02265499999999</v>
      </c>
      <c r="D52" s="2">
        <v>1.2670503799999999</v>
      </c>
      <c r="E52" s="2">
        <f t="shared" si="32"/>
        <v>2.9836756328880814</v>
      </c>
      <c r="F52" s="2">
        <f t="shared" si="33"/>
        <v>2.9808422102302048</v>
      </c>
      <c r="G52" s="2">
        <f t="shared" si="34"/>
        <v>998.44848409459064</v>
      </c>
      <c r="H52" s="2">
        <f>(C52-F26)/F26</f>
        <v>4.1237169135052607</v>
      </c>
      <c r="I52" s="26">
        <f t="shared" si="35"/>
        <v>3.2034850741781608E-17</v>
      </c>
      <c r="J52" s="2">
        <v>5.7433890000000001E-2</v>
      </c>
      <c r="K52" s="28">
        <f t="shared" si="36"/>
        <v>1.8398860936699032E-18</v>
      </c>
      <c r="L52" s="5">
        <f t="shared" si="37"/>
        <v>277791.34009105002</v>
      </c>
      <c r="M52">
        <f t="shared" si="38"/>
        <v>10.659908949979581</v>
      </c>
      <c r="O52" s="12" t="s">
        <v>52</v>
      </c>
      <c r="P52" s="12" t="s">
        <v>53</v>
      </c>
      <c r="Q52" s="12" t="s">
        <v>54</v>
      </c>
      <c r="R52" s="12" t="s">
        <v>55</v>
      </c>
      <c r="S52" s="12" t="s">
        <v>56</v>
      </c>
      <c r="T52" s="12" t="s">
        <v>57</v>
      </c>
      <c r="U52" s="12" t="s">
        <v>58</v>
      </c>
    </row>
    <row r="53" spans="1:24" x14ac:dyDescent="0.25">
      <c r="A53" s="2">
        <v>5</v>
      </c>
      <c r="B53" s="2">
        <v>1</v>
      </c>
      <c r="C53" s="2">
        <v>979.55527858000005</v>
      </c>
      <c r="D53" s="2">
        <v>11.08785179</v>
      </c>
      <c r="E53" s="2">
        <f t="shared" si="32"/>
        <v>26.109895651424292</v>
      </c>
      <c r="F53" s="2">
        <f t="shared" si="33"/>
        <v>26.109572017332365</v>
      </c>
      <c r="G53" s="2">
        <f t="shared" si="34"/>
        <v>7990.8229209392412</v>
      </c>
      <c r="H53" s="2">
        <f>(C53-F27)/F27</f>
        <v>4.1319632729337883</v>
      </c>
      <c r="I53" s="26">
        <f t="shared" si="35"/>
        <v>2.6449231042693902E-17</v>
      </c>
      <c r="J53" s="2">
        <v>2.2280830900000002</v>
      </c>
      <c r="K53" s="28">
        <f t="shared" si="36"/>
        <v>5.893108442972935E-17</v>
      </c>
      <c r="L53" s="5">
        <f t="shared" si="37"/>
        <v>277859.40446872363</v>
      </c>
      <c r="M53">
        <f t="shared" si="38"/>
        <v>-57.404468723630998</v>
      </c>
      <c r="O53" s="2">
        <v>656.3</v>
      </c>
      <c r="P53" s="2">
        <v>-2</v>
      </c>
      <c r="Q53" s="26">
        <v>6.0000000000000001E-17</v>
      </c>
      <c r="R53" s="26">
        <v>-9.9999999999999995E-21</v>
      </c>
      <c r="S53" s="26">
        <v>-1E-22</v>
      </c>
      <c r="T53" s="26">
        <v>-9.9999999999999992E-25</v>
      </c>
      <c r="U53" s="26">
        <v>-1E-26</v>
      </c>
    </row>
    <row r="54" spans="1:24" x14ac:dyDescent="0.25">
      <c r="A54" s="2">
        <v>5</v>
      </c>
      <c r="B54" s="2">
        <v>2</v>
      </c>
      <c r="C54" s="2">
        <v>978.49772700000005</v>
      </c>
      <c r="D54" s="2">
        <v>0.83148100899999999</v>
      </c>
      <c r="E54" s="2">
        <f t="shared" si="32"/>
        <v>1.9579881470557592</v>
      </c>
      <c r="F54" s="2">
        <f t="shared" si="33"/>
        <v>1.9536677261015611</v>
      </c>
      <c r="G54" s="2">
        <f t="shared" si="34"/>
        <v>598.56536562323333</v>
      </c>
      <c r="H54" s="2">
        <f>(C54-F27)/F27</f>
        <v>4.1264226812117348</v>
      </c>
      <c r="I54" s="26">
        <f t="shared" si="35"/>
        <v>2.6511574948855055E-17</v>
      </c>
      <c r="J54" s="2">
        <v>2.2280830900000002</v>
      </c>
      <c r="K54" s="28">
        <f t="shared" si="36"/>
        <v>5.9069991832811564E-17</v>
      </c>
      <c r="L54" s="5">
        <f t="shared" si="37"/>
        <v>277813.70758540329</v>
      </c>
      <c r="M54">
        <f t="shared" si="38"/>
        <v>-11.707585403288249</v>
      </c>
    </row>
    <row r="55" spans="1:24" x14ac:dyDescent="0.25">
      <c r="L55" s="5">
        <f>AVERAGE(L46:L54)</f>
        <v>277802.03831420146</v>
      </c>
    </row>
    <row r="57" spans="1:24" x14ac:dyDescent="0.25">
      <c r="O57" s="16" t="s">
        <v>63</v>
      </c>
      <c r="P57" s="16"/>
      <c r="Q57" s="16"/>
      <c r="R57" s="16"/>
      <c r="S57" s="16"/>
      <c r="T57" s="16"/>
      <c r="U57" s="16"/>
      <c r="V57" s="16"/>
    </row>
    <row r="58" spans="1:24" x14ac:dyDescent="0.25">
      <c r="O58" s="12" t="s">
        <v>29</v>
      </c>
      <c r="P58" s="12" t="s">
        <v>30</v>
      </c>
      <c r="Q58" s="12" t="s">
        <v>36</v>
      </c>
      <c r="R58" s="12" t="s">
        <v>48</v>
      </c>
      <c r="S58" s="12" t="s">
        <v>46</v>
      </c>
      <c r="T58" s="12" t="s">
        <v>37</v>
      </c>
      <c r="U58" s="12" t="s">
        <v>38</v>
      </c>
      <c r="V58" s="12" t="s">
        <v>39</v>
      </c>
      <c r="W58" s="12" t="s">
        <v>40</v>
      </c>
      <c r="X58" t="s">
        <v>65</v>
      </c>
    </row>
    <row r="59" spans="1:24" x14ac:dyDescent="0.25">
      <c r="O59" s="21" t="s">
        <v>7</v>
      </c>
      <c r="P59" s="21">
        <v>1</v>
      </c>
      <c r="Q59" s="5">
        <v>0.85</v>
      </c>
      <c r="R59" s="25">
        <f>$K$49</f>
        <v>1.0617065071019933E-16</v>
      </c>
      <c r="S59" s="5">
        <v>37178.400000000001</v>
      </c>
      <c r="T59" s="25">
        <f>1350*4*$Q$18*((S59*3.086E+24)^2)*R59*(1+$B$23)</f>
        <v>1.2151587297788736E+47</v>
      </c>
      <c r="U59" s="5">
        <f>($G$49/1000)^2</f>
        <v>7.7035111360072541</v>
      </c>
      <c r="V59" s="5">
        <f>107.2*24*3600*$Q$16*((T59*1E-46)^0.55)</f>
        <v>1.096673595029295E+16</v>
      </c>
      <c r="W59" s="31">
        <f>(V59*Q59*U59*1000000000000)/($Q$17*$Q$14)</f>
        <v>540662473.93661082</v>
      </c>
      <c r="X59">
        <f>LOG10(W59)</f>
        <v>8.732926227301121</v>
      </c>
    </row>
    <row r="60" spans="1:24" x14ac:dyDescent="0.25">
      <c r="O60" s="21"/>
      <c r="P60" s="21"/>
      <c r="Q60" s="5">
        <v>1</v>
      </c>
      <c r="R60" s="25">
        <f t="shared" ref="R60:R61" si="39">$K$49</f>
        <v>1.0617065071019933E-16</v>
      </c>
      <c r="S60" s="5">
        <v>37178.400000000001</v>
      </c>
      <c r="T60" s="25">
        <f t="shared" ref="T60:T64" si="40">1350*4*$Q$18*((S60*3.086E+24)^2)*R60*(1+$B$23)</f>
        <v>1.2151587297788736E+47</v>
      </c>
      <c r="U60" s="5">
        <f t="shared" ref="U60:U61" si="41">($G$49/1000)^2</f>
        <v>7.7035111360072541</v>
      </c>
      <c r="V60" s="5">
        <f t="shared" ref="V60:V65" si="42">107.2*24*3600*$Q$16*((T60*1E-46)^0.55)</f>
        <v>1.096673595029295E+16</v>
      </c>
      <c r="W60" s="31">
        <f t="shared" ref="W60:W64" si="43">(V60*Q60*U60*1000000000000)/($Q$17*$Q$14)</f>
        <v>636073498.74895394</v>
      </c>
      <c r="X60">
        <f t="shared" ref="X60:X64" si="44">LOG10(W60)</f>
        <v>8.8035073015868281</v>
      </c>
    </row>
    <row r="61" spans="1:24" x14ac:dyDescent="0.25">
      <c r="O61" s="21"/>
      <c r="P61" s="21"/>
      <c r="Q61" s="5">
        <v>1.1200000000000001</v>
      </c>
      <c r="R61" s="25">
        <f t="shared" si="39"/>
        <v>1.0617065071019933E-16</v>
      </c>
      <c r="S61" s="5">
        <v>37178.400000000001</v>
      </c>
      <c r="T61" s="25">
        <f t="shared" si="40"/>
        <v>1.2151587297788736E+47</v>
      </c>
      <c r="U61" s="5">
        <f t="shared" si="41"/>
        <v>7.7035111360072541</v>
      </c>
      <c r="V61" s="5">
        <f t="shared" si="42"/>
        <v>1.096673595029295E+16</v>
      </c>
      <c r="W61" s="31">
        <f t="shared" si="43"/>
        <v>712402318.59882855</v>
      </c>
      <c r="X61">
        <f t="shared" si="44"/>
        <v>8.8527253242570101</v>
      </c>
    </row>
    <row r="62" spans="1:24" x14ac:dyDescent="0.25">
      <c r="O62" s="21"/>
    </row>
    <row r="63" spans="1:24" x14ac:dyDescent="0.25">
      <c r="O63" s="21"/>
    </row>
    <row r="64" spans="1:24" x14ac:dyDescent="0.25">
      <c r="O64" s="21"/>
    </row>
    <row r="65" spans="15:24" x14ac:dyDescent="0.25">
      <c r="V65" s="5"/>
      <c r="W65" s="33">
        <f>10^X65</f>
        <v>625729001.65804815</v>
      </c>
      <c r="X65">
        <f>AVERAGE(X59:X64)</f>
        <v>8.7963862843816525</v>
      </c>
    </row>
    <row r="68" spans="15:24" x14ac:dyDescent="0.25">
      <c r="O68" s="21">
        <v>2</v>
      </c>
      <c r="P68" s="5">
        <v>0.85</v>
      </c>
      <c r="Q68" s="25">
        <f>$K$50</f>
        <v>1.0606460771124132E-16</v>
      </c>
      <c r="R68" s="5">
        <v>37178.400000000001</v>
      </c>
      <c r="S68" s="25">
        <f>1350*4*$Q$18*((R68*3.086E+24)^2)*Q68*(1+$B$23)</f>
        <v>1.2139450320662402E+47</v>
      </c>
      <c r="T68" s="5">
        <f>($G$50/1000)^2</f>
        <v>0.10252903483303381</v>
      </c>
      <c r="U68" s="5">
        <f>107.2*24*3600*$Q$16*((S68*1E-46)^0.55)</f>
        <v>1.0960710143070722E+16</v>
      </c>
      <c r="V68" s="25">
        <f>(U68*P68*T68*1000000000000)/($Q$17*$Q$14)</f>
        <v>7191933.9083806761</v>
      </c>
      <c r="W68">
        <f>LOG10(V68)</f>
        <v>6.8568456877132897</v>
      </c>
    </row>
    <row r="69" spans="15:24" x14ac:dyDescent="0.25">
      <c r="O69" s="21"/>
      <c r="P69" s="5">
        <v>1</v>
      </c>
      <c r="Q69" s="25">
        <f t="shared" ref="Q69:Q70" si="45">$K$50</f>
        <v>1.0606460771124132E-16</v>
      </c>
      <c r="R69" s="5">
        <v>37178.400000000001</v>
      </c>
      <c r="S69" s="25">
        <f>1350*4*$Q$18*((R69*3.086E+24)^2)*Q69*(1+$B$23)</f>
        <v>1.2139450320662402E+47</v>
      </c>
      <c r="T69" s="5">
        <f t="shared" ref="T69:T70" si="46">($G$50/1000)^2</f>
        <v>0.10252903483303381</v>
      </c>
      <c r="U69" s="5">
        <f>107.2*24*3600*$Q$16*((S69*1E-46)^0.55)</f>
        <v>1.0960710143070722E+16</v>
      </c>
      <c r="V69" s="25">
        <f>(U69*P69*T69*1000000000000)/($Q$17*$Q$14)</f>
        <v>8461098.7157419715</v>
      </c>
      <c r="W69">
        <f>LOG10(V69)</f>
        <v>6.9274267619989969</v>
      </c>
    </row>
    <row r="70" spans="15:24" x14ac:dyDescent="0.25">
      <c r="O70" s="21"/>
      <c r="P70" s="5">
        <v>1.1200000000000001</v>
      </c>
      <c r="Q70" s="25">
        <f t="shared" si="45"/>
        <v>1.0606460771124132E-16</v>
      </c>
      <c r="R70" s="5">
        <v>37178.400000000001</v>
      </c>
      <c r="S70" s="25">
        <f>1350*4*$Q$18*((R70*3.086E+24)^2)*Q70*(1+$B$23)</f>
        <v>1.2139450320662402E+47</v>
      </c>
      <c r="T70" s="5">
        <f t="shared" si="46"/>
        <v>0.10252903483303381</v>
      </c>
      <c r="U70" s="5">
        <f>107.2*24*3600*$Q$16*((S70*1E-46)^0.55)</f>
        <v>1.0960710143070722E+16</v>
      </c>
      <c r="V70" s="25">
        <f>(U70*P70*T70*1000000000000)/($Q$17*$Q$14)</f>
        <v>9476430.5616310108</v>
      </c>
      <c r="W70">
        <f>LOG10(V70)</f>
        <v>6.9766447846691788</v>
      </c>
    </row>
  </sheetData>
  <mergeCells count="14">
    <mergeCell ref="O59:O64"/>
    <mergeCell ref="P59:P61"/>
    <mergeCell ref="O68:O70"/>
    <mergeCell ref="A44:G44"/>
    <mergeCell ref="O37:O42"/>
    <mergeCell ref="P37:P39"/>
    <mergeCell ref="P40:P42"/>
    <mergeCell ref="O35:V35"/>
    <mergeCell ref="O46:U46"/>
    <mergeCell ref="O51:U51"/>
    <mergeCell ref="A35:K35"/>
    <mergeCell ref="O57:V57"/>
    <mergeCell ref="A6:N6"/>
    <mergeCell ref="A21:N2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6CB3-4BE3-47D0-B25F-E99E2478D8AC}">
  <dimension ref="A1:X70"/>
  <sheetViews>
    <sheetView tabSelected="1" topLeftCell="B34" workbookViewId="0">
      <selection activeCell="X43" sqref="X43"/>
    </sheetView>
  </sheetViews>
  <sheetFormatPr baseColWidth="10" defaultRowHeight="15" x14ac:dyDescent="0.25"/>
  <cols>
    <col min="3" max="3" width="12.5703125" bestFit="1" customWidth="1"/>
    <col min="21" max="21" width="12" bestFit="1" customWidth="1"/>
  </cols>
  <sheetData>
    <row r="1" spans="1:22" x14ac:dyDescent="0.25">
      <c r="A1" s="1" t="s">
        <v>0</v>
      </c>
    </row>
    <row r="2" spans="1:22" x14ac:dyDescent="0.25">
      <c r="A2" s="1" t="s">
        <v>1</v>
      </c>
    </row>
    <row r="6" spans="1:22" x14ac:dyDescent="0.25">
      <c r="A6" s="13" t="s">
        <v>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22" x14ac:dyDescent="0.25">
      <c r="A7" s="2"/>
      <c r="B7" s="12" t="s">
        <v>20</v>
      </c>
      <c r="C7" s="12" t="s">
        <v>2</v>
      </c>
      <c r="D7" s="12" t="s">
        <v>17</v>
      </c>
      <c r="E7" s="12" t="s">
        <v>4</v>
      </c>
      <c r="F7" s="12" t="s">
        <v>18</v>
      </c>
      <c r="G7" s="7" t="s">
        <v>19</v>
      </c>
      <c r="H7" s="7" t="s">
        <v>21</v>
      </c>
      <c r="I7" s="7" t="s">
        <v>23</v>
      </c>
      <c r="J7" s="7" t="s">
        <v>28</v>
      </c>
      <c r="K7" s="10" t="s">
        <v>25</v>
      </c>
      <c r="L7" s="10" t="s">
        <v>26</v>
      </c>
      <c r="M7" s="7" t="s">
        <v>27</v>
      </c>
      <c r="N7" s="7" t="s">
        <v>41</v>
      </c>
    </row>
    <row r="8" spans="1:22" x14ac:dyDescent="0.25">
      <c r="A8" s="2">
        <v>1</v>
      </c>
      <c r="B8" s="2">
        <v>4.1254400000000002</v>
      </c>
      <c r="C8" s="2">
        <v>0.1</v>
      </c>
      <c r="D8" s="2"/>
      <c r="E8" s="2" t="s">
        <v>5</v>
      </c>
      <c r="F8" s="2">
        <v>121.56699999999999</v>
      </c>
      <c r="G8" s="5"/>
      <c r="H8" s="5">
        <f>C8/F8</f>
        <v>8.2259165727541195E-4</v>
      </c>
      <c r="I8" s="5"/>
      <c r="J8" s="5">
        <v>277677</v>
      </c>
      <c r="K8" s="11"/>
      <c r="L8" s="11"/>
      <c r="M8" s="5">
        <f>(((4*Valores!H8)+4)/((((Valores!H8)^2)+(2*Valores!H8)+(2))^2))*Errores!H8*$Q$16/1000</f>
        <v>6.8576335946456934</v>
      </c>
      <c r="N8" s="5"/>
    </row>
    <row r="9" spans="1:22" x14ac:dyDescent="0.25">
      <c r="A9" s="2">
        <v>2</v>
      </c>
      <c r="B9" s="2">
        <v>4.1254400000000002</v>
      </c>
      <c r="C9" s="2">
        <v>0.1</v>
      </c>
      <c r="D9" s="2"/>
      <c r="E9" s="2" t="s">
        <v>6</v>
      </c>
      <c r="F9" s="2">
        <v>130.21680000000001</v>
      </c>
      <c r="G9" s="5"/>
      <c r="H9" s="5">
        <f t="shared" ref="H9:H11" si="0">C9/F9</f>
        <v>7.6795006481498551E-4</v>
      </c>
      <c r="I9" s="5"/>
      <c r="J9" s="5">
        <v>277677</v>
      </c>
      <c r="K9" s="11"/>
      <c r="L9" s="11"/>
      <c r="M9" s="5">
        <f>(((4*Valores!H9)+4)/((((Valores!H9)^2)+(2*Valores!H9)+(2))^2))*Errores!H9*$Q$16/1000</f>
        <v>6.3529552647179885</v>
      </c>
      <c r="N9" s="5"/>
    </row>
    <row r="10" spans="1:22" x14ac:dyDescent="0.25">
      <c r="A10" s="2">
        <v>3</v>
      </c>
      <c r="B10" s="2">
        <v>4.1254400000000002</v>
      </c>
      <c r="C10" s="2">
        <v>0.01</v>
      </c>
      <c r="D10" s="2"/>
      <c r="E10" s="3" t="s">
        <v>8</v>
      </c>
      <c r="F10" s="2">
        <v>139.72319999999999</v>
      </c>
      <c r="G10" s="5"/>
      <c r="H10" s="5">
        <f t="shared" si="0"/>
        <v>7.1570075692512053E-5</v>
      </c>
      <c r="I10" s="5"/>
      <c r="J10" s="5">
        <v>277677</v>
      </c>
      <c r="K10" s="11"/>
      <c r="L10" s="11"/>
      <c r="M10" s="5">
        <f>(((4*Valores!H10)+4)/((((Valores!H10)^2)+(2*Valores!H10)+(2))^2))*Errores!H10*$Q$16/1000</f>
        <v>0.59393623835746723</v>
      </c>
      <c r="N10" s="5"/>
    </row>
    <row r="11" spans="1:22" x14ac:dyDescent="0.25">
      <c r="A11" s="2">
        <v>4</v>
      </c>
      <c r="B11" s="2">
        <v>4.1254400000000002</v>
      </c>
      <c r="C11" s="2">
        <v>0.01</v>
      </c>
      <c r="D11" s="2"/>
      <c r="E11" s="3" t="s">
        <v>7</v>
      </c>
      <c r="F11" s="2">
        <v>154.81870000000001</v>
      </c>
      <c r="G11" s="5"/>
      <c r="H11" s="5">
        <f t="shared" si="0"/>
        <v>6.4591680462373086E-5</v>
      </c>
      <c r="I11" s="5"/>
      <c r="J11" s="5">
        <v>277677</v>
      </c>
      <c r="K11" s="11"/>
      <c r="L11" s="11"/>
      <c r="M11" s="5">
        <f>(((4*Valores!H11)+4)/((((Valores!H11)^2)+(2*Valores!H11)+(2))^2))*Errores!H11*$Q$16/1000</f>
        <v>0.53475419351876119</v>
      </c>
      <c r="N11" s="5"/>
    </row>
    <row r="12" spans="1:22" x14ac:dyDescent="0.25">
      <c r="H12" s="29">
        <f>AVERAGE(H8:H11)</f>
        <v>4.3167586956132064E-4</v>
      </c>
      <c r="M12">
        <f>AVERAGE(M8:M11)</f>
        <v>3.5848198228099775</v>
      </c>
    </row>
    <row r="14" spans="1:22" x14ac:dyDescent="0.25">
      <c r="P14" t="s">
        <v>49</v>
      </c>
      <c r="Q14" s="22">
        <v>1.99E+30</v>
      </c>
    </row>
    <row r="15" spans="1:22" x14ac:dyDescent="0.25">
      <c r="P15" t="s">
        <v>42</v>
      </c>
      <c r="Q15">
        <v>0.13</v>
      </c>
    </row>
    <row r="16" spans="1:22" x14ac:dyDescent="0.25">
      <c r="A16" s="1" t="s">
        <v>10</v>
      </c>
      <c r="P16" t="s">
        <v>22</v>
      </c>
      <c r="Q16" s="8">
        <v>299792458</v>
      </c>
      <c r="T16" s="22">
        <f>(538.2/Q17)*Q16*24*(1000000000000)*3600/Q14</f>
        <v>104958916.49322714</v>
      </c>
      <c r="U16" s="22">
        <v>105000000</v>
      </c>
      <c r="V16" s="22">
        <f>U16/T16</f>
        <v>1.0003914246463808</v>
      </c>
    </row>
    <row r="17" spans="1:17" x14ac:dyDescent="0.25">
      <c r="A17" s="1" t="s">
        <v>11</v>
      </c>
      <c r="P17" t="s">
        <v>35</v>
      </c>
      <c r="Q17">
        <f>0.000000000066743</f>
        <v>6.6742999999999994E-11</v>
      </c>
    </row>
    <row r="18" spans="1:17" x14ac:dyDescent="0.25">
      <c r="P18" t="s">
        <v>47</v>
      </c>
      <c r="Q18">
        <f>PI()</f>
        <v>3.1415926535897931</v>
      </c>
    </row>
    <row r="20" spans="1:17" x14ac:dyDescent="0.25">
      <c r="P20">
        <v>2.366E-2</v>
      </c>
    </row>
    <row r="21" spans="1:17" x14ac:dyDescent="0.25">
      <c r="A21" s="13" t="s">
        <v>12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  <row r="22" spans="1:17" x14ac:dyDescent="0.25">
      <c r="A22" s="12"/>
      <c r="B22" s="12" t="s">
        <v>20</v>
      </c>
      <c r="C22" s="12" t="s">
        <v>2</v>
      </c>
      <c r="D22" s="12" t="s">
        <v>3</v>
      </c>
      <c r="E22" s="12" t="s">
        <v>4</v>
      </c>
      <c r="F22" s="12" t="s">
        <v>18</v>
      </c>
      <c r="G22" s="7" t="s">
        <v>19</v>
      </c>
      <c r="H22" s="7" t="s">
        <v>21</v>
      </c>
      <c r="I22" s="7" t="s">
        <v>23</v>
      </c>
      <c r="J22" s="7" t="s">
        <v>28</v>
      </c>
      <c r="K22" s="10" t="s">
        <v>25</v>
      </c>
      <c r="L22" s="10" t="s">
        <v>26</v>
      </c>
      <c r="M22" s="7" t="s">
        <v>27</v>
      </c>
      <c r="N22" s="7" t="s">
        <v>41</v>
      </c>
      <c r="P22" t="s">
        <v>24</v>
      </c>
      <c r="Q22">
        <f>P20*$Q$16/1000</f>
        <v>7093.0895562800006</v>
      </c>
    </row>
    <row r="23" spans="1:17" x14ac:dyDescent="0.25">
      <c r="A23" s="2">
        <v>1</v>
      </c>
      <c r="B23" s="2">
        <v>4.12521</v>
      </c>
      <c r="C23" s="2">
        <v>0.01</v>
      </c>
      <c r="D23" s="2"/>
      <c r="E23" s="2" t="s">
        <v>13</v>
      </c>
      <c r="F23" s="2">
        <v>121.56699999999999</v>
      </c>
      <c r="G23" s="5"/>
      <c r="H23" s="5">
        <f>C23/F23</f>
        <v>8.2259165727541201E-5</v>
      </c>
      <c r="I23" s="5"/>
      <c r="J23" s="5">
        <v>277802</v>
      </c>
      <c r="K23" s="11"/>
      <c r="L23" s="11"/>
      <c r="M23" s="5">
        <f>(((4*Valores!H23)+4)/((((Valores!H23)^2)+(2*Valores!H23)+(2))^2))*Errores!H23*$Q$16/1000</f>
        <v>0.67869509616951895</v>
      </c>
      <c r="N23" s="5"/>
      <c r="P23" t="s">
        <v>24</v>
      </c>
      <c r="Q23">
        <f>((((P20+1)^2) -1)/(((P20+1)^2) +1))*$Q$16/1000</f>
        <v>7009.2012442830392</v>
      </c>
    </row>
    <row r="24" spans="1:17" x14ac:dyDescent="0.25">
      <c r="A24" s="2">
        <v>2</v>
      </c>
      <c r="B24" s="2">
        <v>4.12521</v>
      </c>
      <c r="C24" s="2">
        <v>0.1</v>
      </c>
      <c r="D24" s="2"/>
      <c r="E24" s="2" t="s">
        <v>14</v>
      </c>
      <c r="F24" s="2">
        <v>123.88209999999999</v>
      </c>
      <c r="G24" s="5"/>
      <c r="H24" s="5">
        <f t="shared" ref="H24:H27" si="1">C24/F24</f>
        <v>8.0721912205233858E-4</v>
      </c>
      <c r="I24" s="5"/>
      <c r="J24" s="5">
        <v>277802</v>
      </c>
      <c r="K24" s="11"/>
      <c r="L24" s="11"/>
      <c r="M24" s="5">
        <f>(((4*Valores!H24)+4)/((((Valores!H24)^2)+(2*Valores!H24)+(2))^2))*Errores!H24*$Q$16/1000</f>
        <v>6.694123641689214</v>
      </c>
      <c r="N24" s="5"/>
    </row>
    <row r="25" spans="1:17" x14ac:dyDescent="0.25">
      <c r="A25" s="2">
        <v>3</v>
      </c>
      <c r="B25" s="2">
        <v>4.12521</v>
      </c>
      <c r="C25" s="2">
        <v>0.01</v>
      </c>
      <c r="D25" s="2"/>
      <c r="E25" s="4" t="s">
        <v>7</v>
      </c>
      <c r="F25" s="2">
        <v>155.0772</v>
      </c>
      <c r="G25" s="5"/>
      <c r="H25" s="5">
        <f t="shared" si="1"/>
        <v>6.4484011834105854E-5</v>
      </c>
      <c r="I25" s="5"/>
      <c r="J25" s="5">
        <v>277802</v>
      </c>
      <c r="K25" s="11"/>
      <c r="L25" s="11"/>
      <c r="M25" s="5">
        <f>(((4*Valores!H25)+4)/((((Valores!H25)^2)+(2*Valores!H25)+(2))^2))*Errores!H25*$Q$16/1000</f>
        <v>0.53356404461143769</v>
      </c>
      <c r="N25" s="5"/>
    </row>
    <row r="26" spans="1:17" x14ac:dyDescent="0.25">
      <c r="A26" s="2">
        <v>4</v>
      </c>
      <c r="B26" s="2">
        <v>4.12521</v>
      </c>
      <c r="C26" s="2">
        <v>0.01</v>
      </c>
      <c r="D26" s="2"/>
      <c r="E26" s="4" t="s">
        <v>15</v>
      </c>
      <c r="F26" s="2">
        <v>174.6823</v>
      </c>
      <c r="G26" s="5"/>
      <c r="H26" s="5">
        <f t="shared" si="1"/>
        <v>5.7246784591226475E-5</v>
      </c>
      <c r="I26" s="5"/>
      <c r="J26" s="5">
        <v>277802</v>
      </c>
      <c r="K26" s="11"/>
      <c r="L26" s="11"/>
      <c r="M26" s="5">
        <f>(((4*Valores!H26)+4)/((((Valores!H26)^2)+(2*Valores!H26)+(2))^2))*Errores!H26*$Q$16/1000</f>
        <v>0.47338542393939897</v>
      </c>
      <c r="N26" s="5"/>
    </row>
    <row r="27" spans="1:17" x14ac:dyDescent="0.25">
      <c r="A27" s="2">
        <v>5</v>
      </c>
      <c r="B27" s="2">
        <v>4.12521</v>
      </c>
      <c r="C27" s="2">
        <v>0.01</v>
      </c>
      <c r="D27" s="2"/>
      <c r="E27" s="4" t="s">
        <v>16</v>
      </c>
      <c r="F27" s="2">
        <v>190.8734</v>
      </c>
      <c r="G27" s="5"/>
      <c r="H27" s="5">
        <f t="shared" si="1"/>
        <v>5.239074695583565E-5</v>
      </c>
      <c r="I27" s="5"/>
      <c r="J27" s="5">
        <v>277802</v>
      </c>
      <c r="K27" s="11"/>
      <c r="L27" s="11"/>
      <c r="M27" s="5">
        <f>(((4*Valores!H27)+4)/((((Valores!H27)^2)+(2*Valores!H27)+(2))^2))*Errores!H27*$Q$16/1000</f>
        <v>0.43271381276258475</v>
      </c>
      <c r="N27" s="5"/>
    </row>
    <row r="28" spans="1:17" x14ac:dyDescent="0.25">
      <c r="H28" s="29">
        <f>AVERAGE(H23:H27)</f>
        <v>2.1271996623220953E-4</v>
      </c>
      <c r="M28">
        <f>AVERAGE(M23:M27)</f>
        <v>1.7624964038344306</v>
      </c>
    </row>
    <row r="35" spans="1:24" x14ac:dyDescent="0.25">
      <c r="A35" s="17" t="s">
        <v>9</v>
      </c>
      <c r="B35" s="18"/>
      <c r="C35" s="18"/>
      <c r="D35" s="18"/>
      <c r="E35" s="18"/>
      <c r="F35" s="18"/>
      <c r="G35" s="18"/>
      <c r="O35" s="16" t="s">
        <v>9</v>
      </c>
      <c r="P35" s="16"/>
      <c r="Q35" s="16"/>
      <c r="R35" s="16"/>
      <c r="S35" s="16"/>
      <c r="T35" s="16"/>
      <c r="U35" s="16"/>
      <c r="V35" s="16"/>
    </row>
    <row r="36" spans="1:24" x14ac:dyDescent="0.25">
      <c r="A36" s="12" t="s">
        <v>29</v>
      </c>
      <c r="B36" s="12" t="s">
        <v>30</v>
      </c>
      <c r="C36" s="12" t="s">
        <v>31</v>
      </c>
      <c r="D36" s="12" t="s">
        <v>32</v>
      </c>
      <c r="E36" s="12" t="s">
        <v>43</v>
      </c>
      <c r="F36" s="12" t="s">
        <v>33</v>
      </c>
      <c r="G36" s="12" t="s">
        <v>45</v>
      </c>
      <c r="H36" s="12" t="s">
        <v>50</v>
      </c>
      <c r="I36" s="7" t="s">
        <v>64</v>
      </c>
      <c r="O36" s="12" t="s">
        <v>29</v>
      </c>
      <c r="P36" s="12" t="s">
        <v>30</v>
      </c>
      <c r="Q36" s="12" t="s">
        <v>36</v>
      </c>
      <c r="R36" s="12" t="s">
        <v>48</v>
      </c>
      <c r="S36" s="12" t="s">
        <v>46</v>
      </c>
      <c r="T36" s="12" t="s">
        <v>37</v>
      </c>
      <c r="U36" s="12" t="s">
        <v>38</v>
      </c>
      <c r="V36" s="12" t="s">
        <v>39</v>
      </c>
      <c r="W36" s="12" t="s">
        <v>40</v>
      </c>
      <c r="X36" s="23" t="s">
        <v>66</v>
      </c>
    </row>
    <row r="37" spans="1:24" x14ac:dyDescent="0.25">
      <c r="A37" s="2">
        <v>1</v>
      </c>
      <c r="B37" s="2">
        <v>1</v>
      </c>
      <c r="C37" s="9">
        <v>0.16820167</v>
      </c>
      <c r="D37" s="2">
        <v>0.20508913000000001</v>
      </c>
      <c r="E37" s="2">
        <f>2*((2*LN(2))^0.5)*D37</f>
        <v>0.48294799434195823</v>
      </c>
      <c r="F37" s="2">
        <f>(1/2)*(((Valores!E37^2)-($Q$15^2))^(-1/2))*E37</f>
        <v>6.6522451772662999E-3</v>
      </c>
      <c r="G37" s="2">
        <f>(((($Q$16*F37)/(Valores!C37*1000))^2)+((($Q$16*Valores!F37/1000)*((Valores!C37)^(-2))*(Errores!C37))^2))^0.5</f>
        <v>5.6119619295566219</v>
      </c>
      <c r="H37" s="24">
        <f>C37/Valores!$F$8</f>
        <v>1.3836129048179194E-3</v>
      </c>
      <c r="I37" s="5">
        <f>(((4*Valores!H37)+4)/((((Valores!H37)^2)+(2*Valores!H37)+(2))^2))*H37*$Q$16/1000</f>
        <v>11.142234302878693</v>
      </c>
      <c r="O37" s="21" t="s">
        <v>7</v>
      </c>
      <c r="P37" s="21">
        <v>1</v>
      </c>
      <c r="Q37" s="5">
        <v>0.65</v>
      </c>
      <c r="R37" s="25">
        <f>Valores!R37</f>
        <v>2.5668770828832656E-16</v>
      </c>
      <c r="S37" s="5">
        <v>37178.400000000001</v>
      </c>
      <c r="T37" s="25">
        <f>1350*4*$Q$18*((S37*3.086E+24)^2)*(1+$B$8)*0.0000000000000000001</f>
        <v>1.1445849237697233E+44</v>
      </c>
      <c r="U37" s="5">
        <f>($G$41/1000)^2</f>
        <v>3.5353351446833019E-5</v>
      </c>
      <c r="V37" s="25">
        <f>107.2*24*3600*$Q$16*(0.55)*((Valores!T37*1E-46)^(1-0.55))*Errores!T37*1E-46</f>
        <v>80013604210710.906</v>
      </c>
      <c r="W37" s="25">
        <f>((((V37*Q37*Valores!U37*1000000000000)/($Q$17*$Q$14))^2)+(((Valores!V37*Q37*U37*1000000000000)/($Q$17*$Q$14))^2))^0.5</f>
        <v>93716389.65981923</v>
      </c>
      <c r="X37" s="22">
        <f>(1/(LOG10(10)*Valores!W37))*W37</f>
        <v>3.4332057597758372E-3</v>
      </c>
    </row>
    <row r="38" spans="1:24" x14ac:dyDescent="0.25">
      <c r="A38" s="2">
        <v>1</v>
      </c>
      <c r="B38" s="2">
        <v>2</v>
      </c>
      <c r="C38" s="9">
        <v>7.1046369999999998E-2</v>
      </c>
      <c r="D38" s="2">
        <v>7.1046369999999998E-2</v>
      </c>
      <c r="E38" s="2">
        <f t="shared" ref="E38:E42" si="2">2*((2*LN(2))^0.5)*D38</f>
        <v>0.16730141620268549</v>
      </c>
      <c r="F38" s="2">
        <f>(1/2)*(((Valores!E38^2)-($Q$15^2))^(-1/2))*E38</f>
        <v>4.0283186399993912E-2</v>
      </c>
      <c r="G38" s="2">
        <f>(((($Q$16*F38)/(Valores!C38*1000))^2)+((($Q$16*Valores!F38/1000)*((Valores!C38)^(-2))*(Errores!C38))^2))^0.5</f>
        <v>19.442855139767094</v>
      </c>
      <c r="H38" s="24">
        <f>C38/Valores!$F$8</f>
        <v>5.8442151241702104E-4</v>
      </c>
      <c r="I38" s="5">
        <f>(((4*Valores!H38)+4)/((((Valores!H38)^2)+(2*Valores!H38)+(2))^2))*H38*$Q$16/1000</f>
        <v>4.8733626214308075</v>
      </c>
      <c r="O38" s="21"/>
      <c r="P38" s="21"/>
      <c r="Q38" s="5">
        <v>1</v>
      </c>
      <c r="R38" s="25">
        <f>Valores!R38</f>
        <v>2.5668770828832656E-16</v>
      </c>
      <c r="S38" s="5">
        <v>37178.400000000001</v>
      </c>
      <c r="T38" s="25">
        <f t="shared" ref="T38:T42" si="3">1350*4*$Q$18*((S38*3.086E+24)^2)*(1+$B$8)*0.0000000000000000001</f>
        <v>1.1445849237697233E+44</v>
      </c>
      <c r="U38" s="5">
        <f t="shared" ref="U38:U39" si="4">($G$41/1000)^2</f>
        <v>3.5353351446833019E-5</v>
      </c>
      <c r="V38" s="25">
        <f>107.2*24*3600*$Q$16*(0.55)*((Valores!T38*1E-46)^(1-0.55))*Errores!T38*1E-46</f>
        <v>80013604210710.906</v>
      </c>
      <c r="W38" s="25">
        <f>((((V38*Q38*Valores!U38*1000000000000)/($Q$17*$Q$14))^2)+(((Valores!V38*Q38*U38*1000000000000)/($Q$17*$Q$14))^2))^0.5</f>
        <v>144179061.01510647</v>
      </c>
      <c r="X38" s="22">
        <f>(1/(LOG10(10)*Valores!W38))*W38</f>
        <v>4.4895767627837861E-3</v>
      </c>
    </row>
    <row r="39" spans="1:24" x14ac:dyDescent="0.25">
      <c r="A39" s="2">
        <v>2</v>
      </c>
      <c r="B39" s="2">
        <v>1</v>
      </c>
      <c r="C39" s="2">
        <v>0.43067702000000002</v>
      </c>
      <c r="D39" s="2">
        <v>2.6430015999999998</v>
      </c>
      <c r="E39" s="2">
        <f t="shared" si="2"/>
        <v>6.2237931467288705</v>
      </c>
      <c r="F39" s="2">
        <f>(1/2)*(((Valores!E39^2)-($Q$15^2))^(-1/2))*E39</f>
        <v>5.4713456445295891E-2</v>
      </c>
      <c r="G39" s="2">
        <f>(((($Q$16*F39)/(Valores!C39*1000))^2)+((($Q$16*Valores!F39/1000)*((Valores!C39)^(-2))*(Errores!C39))^2))^0.5</f>
        <v>29.606242182076471</v>
      </c>
      <c r="H39" s="24">
        <f>C39/Valores!F9</f>
        <v>3.3073844542332478E-3</v>
      </c>
      <c r="I39" s="5">
        <f>(((4*Valores!H39)+4)/((((Valores!H39)^2)+(2*Valores!H39)+(2))^2))*H39*$Q$16/1000</f>
        <v>27.36089380158527</v>
      </c>
      <c r="O39" s="21"/>
      <c r="P39" s="21"/>
      <c r="Q39" s="5">
        <v>1.1200000000000001</v>
      </c>
      <c r="R39" s="25">
        <f>Valores!R39</f>
        <v>2.5668770828832656E-16</v>
      </c>
      <c r="S39" s="5">
        <v>37178.400000000001</v>
      </c>
      <c r="T39" s="25">
        <f t="shared" si="3"/>
        <v>1.1445849237697233E+44</v>
      </c>
      <c r="U39" s="5">
        <f t="shared" si="4"/>
        <v>3.5353351446833019E-5</v>
      </c>
      <c r="V39" s="25">
        <f>107.2*24*3600*$Q$16*(0.55)*((Valores!T39*1E-46)^(1-0.55))*Errores!T39*1E-46</f>
        <v>80013604210710.906</v>
      </c>
      <c r="W39" s="25">
        <f>((((V39*Q39*Valores!U39*1000000000000)/($Q$17*$Q$14))^2)+(((Valores!V39*Q39*U39*1000000000000)/($Q$17*$Q$14))^2))^0.5</f>
        <v>161480548.33691928</v>
      </c>
      <c r="X39" s="22">
        <f>(1/(LOG10(10)*Valores!W39))*W39</f>
        <v>4.4895767627837861E-3</v>
      </c>
    </row>
    <row r="40" spans="1:24" x14ac:dyDescent="0.25">
      <c r="A40" s="2">
        <v>3</v>
      </c>
      <c r="B40" s="2">
        <v>1</v>
      </c>
      <c r="C40" s="2">
        <v>0.22364208999999999</v>
      </c>
      <c r="D40" s="2">
        <v>0.67804681</v>
      </c>
      <c r="E40" s="2">
        <f t="shared" si="2"/>
        <v>1.5966782196572915</v>
      </c>
      <c r="F40" s="2">
        <f>(1/2)*(((Valores!E40^2)-($Q$15^2))^(-1/2))*E40</f>
        <v>1.3756729219409066E-2</v>
      </c>
      <c r="G40" s="2">
        <f>(((($Q$16*F40)/(Valores!C40*1000))^2)+((($Q$16*Valores!F40/1000)*((Valores!C40)^(-2))*(Errores!C40))^2))^0.5</f>
        <v>9.5471805890031458</v>
      </c>
      <c r="H40" s="24">
        <f>C40/Valores!F10</f>
        <v>1.6006081309331594E-3</v>
      </c>
      <c r="I40" s="5">
        <f>(((4*Valores!H40)+4)/((((Valores!H40)^2)+(2*Valores!H40)+(2))^2))*H40*$Q$16/1000</f>
        <v>13.283270440439336</v>
      </c>
      <c r="O40" s="21"/>
      <c r="P40" s="21">
        <v>2</v>
      </c>
      <c r="Q40" s="5">
        <v>0.65</v>
      </c>
      <c r="R40" s="25">
        <f>Valores!R40</f>
        <v>2.5623436702808825E-16</v>
      </c>
      <c r="S40" s="5">
        <v>37178.400000000001</v>
      </c>
      <c r="T40" s="25">
        <f t="shared" si="3"/>
        <v>1.1445849237697233E+44</v>
      </c>
      <c r="U40" s="5">
        <f>($G$42/1000)^2</f>
        <v>4.3511818825813794E-4</v>
      </c>
      <c r="V40" s="25">
        <f>107.2*24*3600*$Q$16*(0.55)*((Valores!T40*1E-46)^(1-0.55))*Errores!T40*1E-46</f>
        <v>79949982170295.656</v>
      </c>
      <c r="W40" s="25">
        <f>((((V40*Q40*Valores!U40*1000000000000)/($Q$17*$Q$14))^2)+(((Valores!V40*Q40*U40*1000000000000)/($Q$17*$Q$14))^2))^0.5</f>
        <v>897145.57062712312</v>
      </c>
      <c r="X40" s="22">
        <f>(1/(LOG10(10)*Valores!W40))*W40</f>
        <v>3.4368831212135613E-3</v>
      </c>
    </row>
    <row r="41" spans="1:24" x14ac:dyDescent="0.25">
      <c r="A41" s="2">
        <v>4</v>
      </c>
      <c r="B41" s="2">
        <v>1</v>
      </c>
      <c r="C41" s="2">
        <v>0.19226983</v>
      </c>
      <c r="D41" s="2">
        <v>0.41899246000000001</v>
      </c>
      <c r="E41" s="2">
        <f t="shared" si="2"/>
        <v>0.98665184352482826</v>
      </c>
      <c r="F41" s="2">
        <f>(1/2)*(((Valores!E41^2)-($Q$15^2))^(-1/2))*E41</f>
        <v>1.2110707616703513E-2</v>
      </c>
      <c r="G41" s="2">
        <f>(((($Q$16*F41)/(Valores!C41*1000))^2)+((($Q$16*Valores!F41/1000)*((Valores!C41)^(-2))*(Errores!C41))^2))^0.5</f>
        <v>5.945868435042355</v>
      </c>
      <c r="H41" s="24">
        <f>C41/Valores!$F$11</f>
        <v>1.2419031421914794E-3</v>
      </c>
      <c r="I41" s="5">
        <f>(((4*Valores!H41)+4)/((((Valores!H41)^2)+(2*Valores!H41)+(2))^2))*H41*$Q$16/1000</f>
        <v>10.418248864710252</v>
      </c>
      <c r="O41" s="21"/>
      <c r="P41" s="21"/>
      <c r="Q41" s="5">
        <v>1</v>
      </c>
      <c r="R41" s="25">
        <f>Valores!R41</f>
        <v>2.5623436702808825E-16</v>
      </c>
      <c r="S41" s="5">
        <v>37178.400000000001</v>
      </c>
      <c r="T41" s="25">
        <f t="shared" si="3"/>
        <v>1.1445849237697233E+44</v>
      </c>
      <c r="U41" s="5">
        <f t="shared" ref="U41:U42" si="5">($G$42/1000)^2</f>
        <v>4.3511818825813794E-4</v>
      </c>
      <c r="V41" s="25">
        <f>107.2*24*3600*$Q$16*(0.55)*((Valores!T41*1E-46)^(1-0.55))*Errores!T41*1E-46</f>
        <v>79949982170295.656</v>
      </c>
      <c r="W41" s="25">
        <f>((((V41*Q41*Valores!U41*1000000000000)/($Q$17*$Q$14))^2)+(((Valores!V41*Q41*U41*1000000000000)/($Q$17*$Q$14))^2))^0.5</f>
        <v>1380223.9548109586</v>
      </c>
      <c r="X41" s="22">
        <f>(1/(LOG10(10)*Valores!W41))*W41</f>
        <v>4.494385620048503E-3</v>
      </c>
    </row>
    <row r="42" spans="1:24" x14ac:dyDescent="0.25">
      <c r="A42" s="2">
        <v>4</v>
      </c>
      <c r="B42" s="2">
        <v>2</v>
      </c>
      <c r="C42" s="2">
        <v>0.18621314</v>
      </c>
      <c r="D42" s="2">
        <v>0.18621314</v>
      </c>
      <c r="E42" s="2">
        <f t="shared" si="2"/>
        <v>0.43849843472015448</v>
      </c>
      <c r="F42" s="2">
        <f>(1/2)*(((Valores!E42^2)-($Q$15^2))^(-1/2))*E42</f>
        <v>5.4965302121707228E-2</v>
      </c>
      <c r="G42" s="2">
        <f>(((($Q$16*F42)/(Valores!C42*1000))^2)+((($Q$16*Valores!F42/1000)*((Valores!C42)^(-2))*(Errores!C42))^2))^0.5</f>
        <v>20.859486768809486</v>
      </c>
      <c r="H42" s="24">
        <f>C42/Valores!$F$11</f>
        <v>1.2027819636775143E-3</v>
      </c>
      <c r="I42" s="5">
        <f>(((4*Valores!H42)+4)/((((Valores!H42)^2)+(2*Valores!H42)+(2))^2))*H42*$Q$16/1000</f>
        <v>10.064738981636774</v>
      </c>
      <c r="O42" s="21"/>
      <c r="P42" s="21"/>
      <c r="Q42" s="5">
        <v>1.1200000000000001</v>
      </c>
      <c r="R42" s="25">
        <f>Valores!R42</f>
        <v>2.5623436702808825E-16</v>
      </c>
      <c r="S42" s="5">
        <v>37178.400000000001</v>
      </c>
      <c r="T42" s="25">
        <f t="shared" si="3"/>
        <v>1.1445849237697233E+44</v>
      </c>
      <c r="U42" s="5">
        <f t="shared" si="5"/>
        <v>4.3511818825813794E-4</v>
      </c>
      <c r="V42" s="25">
        <f>107.2*24*3600*$Q$16*(0.55)*((Valores!T42*1E-46)^(1-0.55))*Errores!T42*1E-46</f>
        <v>79949982170295.656</v>
      </c>
      <c r="W42" s="25">
        <f>((((V42*Q42*Valores!U42*1000000000000)/($Q$17*$Q$14))^2)+(((Valores!V42*Q42*U42*1000000000000)/($Q$17*$Q$14))^2))^0.5</f>
        <v>1545850.8293882736</v>
      </c>
      <c r="X42" s="22">
        <f>(1/(LOG10(10)*Valores!W42))*W42</f>
        <v>4.494385620048503E-3</v>
      </c>
    </row>
    <row r="43" spans="1:24" x14ac:dyDescent="0.25">
      <c r="I43" s="5">
        <f>AVERAGE(I37:I42)</f>
        <v>12.857124835446855</v>
      </c>
      <c r="W43" s="22">
        <f>AVERAGE(W37:W42)</f>
        <v>67199869.894445226</v>
      </c>
      <c r="X43">
        <f>AVERAGE(X37:X42)</f>
        <v>4.1396689411089963E-3</v>
      </c>
    </row>
    <row r="44" spans="1:24" x14ac:dyDescent="0.25">
      <c r="A44" s="17" t="s">
        <v>34</v>
      </c>
      <c r="B44" s="18"/>
      <c r="C44" s="18"/>
      <c r="D44" s="18"/>
      <c r="E44" s="18"/>
      <c r="F44" s="18"/>
      <c r="G44" s="18"/>
    </row>
    <row r="45" spans="1:24" x14ac:dyDescent="0.25">
      <c r="A45" s="12" t="s">
        <v>29</v>
      </c>
      <c r="B45" s="12" t="s">
        <v>30</v>
      </c>
      <c r="C45" s="12" t="s">
        <v>31</v>
      </c>
      <c r="D45" s="12" t="s">
        <v>32</v>
      </c>
      <c r="E45" s="12" t="s">
        <v>44</v>
      </c>
      <c r="F45" s="12" t="s">
        <v>33</v>
      </c>
      <c r="G45" s="12" t="s">
        <v>45</v>
      </c>
      <c r="H45" s="12" t="s">
        <v>50</v>
      </c>
      <c r="I45" s="7" t="s">
        <v>64</v>
      </c>
    </row>
    <row r="46" spans="1:24" x14ac:dyDescent="0.25">
      <c r="A46" s="2">
        <v>1</v>
      </c>
      <c r="B46" s="2">
        <v>1</v>
      </c>
      <c r="C46" s="9">
        <v>0.24263424</v>
      </c>
      <c r="D46" s="2">
        <v>0.27559127999999999</v>
      </c>
      <c r="E46" s="2">
        <f>2*((2*LN(2))^0.5)*D46</f>
        <v>0.64896787037973691</v>
      </c>
      <c r="F46" s="2">
        <f>(1/2)*(((Valores!E46^2)-($Q$15^2))^(-1/2))*E46</f>
        <v>1.3757868987447006E-2</v>
      </c>
      <c r="G46" s="2">
        <f>(((($Q$16*F46)/(Valores!C46*1000))^2)+((($Q$16*Valores!F46/1000)*((Valores!C46)^(-2))*(Errores!C46))^2))^0.5</f>
        <v>7.9052841613633236</v>
      </c>
      <c r="H46" s="24">
        <f>C46/Valores!$F$23</f>
        <v>1.9958890159336006E-3</v>
      </c>
      <c r="I46" s="5">
        <f>(((4*Valores!H46)+4)/((((Valores!H46)^2)+(2*Valores!H46)+(2))^2))*H46*$Q$16/1000</f>
        <v>16.253878671224221</v>
      </c>
      <c r="O46" s="16" t="s">
        <v>51</v>
      </c>
      <c r="P46" s="16"/>
      <c r="Q46" s="16"/>
      <c r="R46" s="16"/>
      <c r="S46" s="16"/>
      <c r="T46" s="16"/>
      <c r="U46" s="16"/>
    </row>
    <row r="47" spans="1:24" x14ac:dyDescent="0.25">
      <c r="A47" s="2">
        <v>1</v>
      </c>
      <c r="B47" s="2">
        <v>2</v>
      </c>
      <c r="C47" s="9">
        <v>2.5243970000000001E-2</v>
      </c>
      <c r="D47" s="2">
        <v>2.5243970000000001E-2</v>
      </c>
      <c r="E47" s="2">
        <f t="shared" ref="E47:E54" si="6">2*((2*LN(2))^0.5)*D47</f>
        <v>5.9445006572159939E-2</v>
      </c>
      <c r="F47" s="2">
        <f>(1/2)*(((Valores!E47^2)-($Q$15^2))^(-1/2))*E47</f>
        <v>1.4705083376666157E-2</v>
      </c>
      <c r="G47" s="2">
        <f>(((($Q$16*F47)/(Valores!C47*1000))^2)+((($Q$16*Valores!F47/1000)*((Valores!C47)^(-2))*(Errores!C47))^2))^0.5</f>
        <v>7.0713018122284907</v>
      </c>
      <c r="H47" s="24">
        <f>C47/Valores!$F$23</f>
        <v>2.0765479118510781E-4</v>
      </c>
      <c r="I47" s="5">
        <f>(((4*Valores!H47)+4)/((((Valores!H47)^2)+(2*Valores!H47)+(2))^2))*H47*$Q$16/1000</f>
        <v>1.7134427600247184</v>
      </c>
      <c r="O47" s="12" t="s">
        <v>52</v>
      </c>
      <c r="P47" s="12" t="s">
        <v>53</v>
      </c>
      <c r="Q47" s="12" t="s">
        <v>54</v>
      </c>
      <c r="R47" s="12" t="s">
        <v>55</v>
      </c>
      <c r="S47" s="12" t="s">
        <v>56</v>
      </c>
      <c r="T47" s="12" t="s">
        <v>57</v>
      </c>
      <c r="U47" s="12" t="s">
        <v>58</v>
      </c>
    </row>
    <row r="48" spans="1:24" x14ac:dyDescent="0.25">
      <c r="A48" s="2">
        <v>2</v>
      </c>
      <c r="B48" s="2">
        <v>1</v>
      </c>
      <c r="C48" s="2">
        <v>0.20486024</v>
      </c>
      <c r="D48" s="2">
        <v>0.20486024</v>
      </c>
      <c r="E48" s="2">
        <f t="shared" si="6"/>
        <v>0.48240899958185107</v>
      </c>
      <c r="F48" s="2">
        <f>(1/2)*(((Valores!E48^2)-($Q$15^2))^(-1/2))*E48</f>
        <v>5.1215614831339774E-2</v>
      </c>
      <c r="G48" s="2">
        <f>(((($Q$16*F48)/(Valores!C48*1000))^2)+((($Q$16*Valores!F48/1000)*((Valores!C48)^(-2))*(Errores!C48))^2))^0.5</f>
        <v>24.370314403744469</v>
      </c>
      <c r="H48" s="24">
        <f>C48/Valores!F24</f>
        <v>1.6536710307623135E-3</v>
      </c>
      <c r="I48" s="5">
        <f>(((4*Valores!H48)+4)/((((Valores!H48)^2)+(2*Valores!H48)+(2))^2))*H48*$Q$16/1000</f>
        <v>13.95621599953688</v>
      </c>
      <c r="O48" s="2">
        <v>656.3</v>
      </c>
      <c r="P48" s="2">
        <v>-2</v>
      </c>
      <c r="Q48" s="26">
        <v>2E-16</v>
      </c>
      <c r="R48" s="26">
        <v>-9.9999999999999995E-21</v>
      </c>
      <c r="S48" s="26">
        <v>-1E-22</v>
      </c>
      <c r="T48" s="26">
        <v>-9.9999999999999992E-25</v>
      </c>
      <c r="U48" s="26">
        <v>-1E-26</v>
      </c>
    </row>
    <row r="49" spans="1:24" x14ac:dyDescent="0.25">
      <c r="A49" s="2">
        <v>3</v>
      </c>
      <c r="B49" s="2">
        <v>1</v>
      </c>
      <c r="C49" s="2">
        <v>2.320378E-2</v>
      </c>
      <c r="D49" s="2">
        <v>3.4641869999999998E-2</v>
      </c>
      <c r="E49" s="2">
        <f t="shared" si="6"/>
        <v>8.1575369873356285E-2</v>
      </c>
      <c r="F49" s="2">
        <f>(1/2)*(((Valores!E49^2)-($Q$15^2))^(-1/2))*E49</f>
        <v>5.5474172879379979E-3</v>
      </c>
      <c r="G49" s="2">
        <f>(((($Q$16*F49)/(Valores!C49*1000))^2)+((($Q$16*Valores!F49/1000)*((Valores!C49)^(-2))*(Errores!C49))^2))^0.5</f>
        <v>2.0956674524785024</v>
      </c>
      <c r="H49" s="24">
        <f>C49/Valores!$F$25</f>
        <v>1.4962728241159888E-4</v>
      </c>
      <c r="I49" s="5">
        <f>(((4*Valores!H49)+4)/((((Valores!H49)^2)+(2*Valores!H49)+(2))^2))*H49*$Q$16/1000</f>
        <v>1.2396188089631299</v>
      </c>
    </row>
    <row r="50" spans="1:24" x14ac:dyDescent="0.25">
      <c r="A50" s="2">
        <v>3</v>
      </c>
      <c r="B50" s="2">
        <v>2</v>
      </c>
      <c r="C50" s="2">
        <v>5.3580719999999998E-2</v>
      </c>
      <c r="D50" s="2">
        <v>5.3580719999999998E-2</v>
      </c>
      <c r="E50" s="2">
        <f t="shared" si="6"/>
        <v>0.12617295348319069</v>
      </c>
      <c r="F50" s="2">
        <f>(1/2)*(((Valores!E50^2)-($Q$15^2))^(-1/2))*E50</f>
        <v>7.4336878674205201E-2</v>
      </c>
      <c r="G50" s="2">
        <f>(((($Q$16*F50)/(Valores!C50*1000))^2)+((($Q$16*Valores!F50/1000)*((Valores!C50)^(-2))*(Errores!C50))^2))^0.5</f>
        <v>28.047614707603469</v>
      </c>
      <c r="H50" s="24">
        <f>C50/Valores!$F$25</f>
        <v>3.4550997825599116E-4</v>
      </c>
      <c r="I50" s="5">
        <f>(((4*Valores!H50)+4)/((((Valores!H50)^2)+(2*Valores!H50)+(2))^2))*H50*$Q$16/1000</f>
        <v>2.8584165749861468</v>
      </c>
    </row>
    <row r="51" spans="1:24" x14ac:dyDescent="0.25">
      <c r="A51" s="2">
        <v>4</v>
      </c>
      <c r="B51" s="2">
        <v>1</v>
      </c>
      <c r="C51" s="2">
        <v>0.10527572</v>
      </c>
      <c r="D51" s="2">
        <v>0.24136272</v>
      </c>
      <c r="E51" s="2">
        <f t="shared" si="6"/>
        <v>0.5683657711791924</v>
      </c>
      <c r="F51" s="2">
        <f>(1/2)*(((Valores!E51^2)-($Q$15^2))^(-1/2))*E51</f>
        <v>9.3884581383260942E-3</v>
      </c>
      <c r="G51" s="2">
        <f>(((($Q$16*F51)/(Valores!C51*1000))^2)+((($Q$16*Valores!F51/1000)*((Valores!C51)^(-2))*(Errores!C51))^2))^0.5</f>
        <v>3.3583342529255225</v>
      </c>
      <c r="H51" s="24">
        <f>C51/Valores!$F$26</f>
        <v>6.0266964655262731E-4</v>
      </c>
      <c r="I51" s="5">
        <f>(((4*Valores!H51)+4)/((((Valores!H51)^2)+(2*Valores!H51)+(2))^2))*H51*$Q$16/1000</f>
        <v>4.9673323704384051</v>
      </c>
      <c r="O51" s="16" t="s">
        <v>59</v>
      </c>
      <c r="P51" s="16"/>
      <c r="Q51" s="16"/>
      <c r="R51" s="16"/>
      <c r="S51" s="16"/>
      <c r="T51" s="16"/>
      <c r="U51" s="16"/>
    </row>
    <row r="52" spans="1:24" x14ac:dyDescent="0.25">
      <c r="A52" s="2">
        <v>4</v>
      </c>
      <c r="B52" s="2">
        <v>2</v>
      </c>
      <c r="C52" s="2">
        <v>0.19107389999999999</v>
      </c>
      <c r="D52" s="2">
        <v>0.19107389999999999</v>
      </c>
      <c r="E52" s="2">
        <f t="shared" si="6"/>
        <v>0.44994464980223908</v>
      </c>
      <c r="F52" s="2">
        <f>(1/2)*(((Valores!E52^2)-($Q$15^2))^(-1/2))*E52</f>
        <v>7.5472738586771879E-2</v>
      </c>
      <c r="G52" s="2">
        <f>(((($Q$16*F52)/(Valores!C52*1000))^2)+((($Q$16*Valores!F52/1000)*((Valores!C52)^(-2))*(Errores!C52))^2))^0.5</f>
        <v>25.280881956787677</v>
      </c>
      <c r="H52" s="24">
        <f>C52/Valores!$F$26</f>
        <v>1.0938366394305547E-3</v>
      </c>
      <c r="I52" s="5">
        <f>(((4*Valores!H52)+4)/((((Valores!H52)^2)+(2*Valores!H52)+(2))^2))*H52*$Q$16/1000</f>
        <v>9.0491208353291164</v>
      </c>
      <c r="O52" s="12" t="s">
        <v>52</v>
      </c>
      <c r="P52" s="12" t="s">
        <v>53</v>
      </c>
      <c r="Q52" s="12" t="s">
        <v>54</v>
      </c>
      <c r="R52" s="12" t="s">
        <v>55</v>
      </c>
      <c r="S52" s="12" t="s">
        <v>56</v>
      </c>
      <c r="T52" s="12" t="s">
        <v>57</v>
      </c>
      <c r="U52" s="12" t="s">
        <v>58</v>
      </c>
    </row>
    <row r="53" spans="1:24" x14ac:dyDescent="0.25">
      <c r="A53" s="2">
        <v>5</v>
      </c>
      <c r="B53" s="2">
        <v>1</v>
      </c>
      <c r="C53" s="2">
        <v>0.27734196999999999</v>
      </c>
      <c r="D53" s="2">
        <v>0.58016670999999997</v>
      </c>
      <c r="E53" s="2">
        <f t="shared" si="6"/>
        <v>1.3661881981676576</v>
      </c>
      <c r="F53" s="2">
        <f>(1/2)*(((Valores!E53^2)-($Q$15^2))^(-1/2))*E53</f>
        <v>2.6162592731522723E-2</v>
      </c>
      <c r="G53" s="2">
        <f>(((($Q$16*F53)/(Valores!C53*1000))^2)+((($Q$16*Valores!F53/1000)*((Valores!C53)^(-2))*(Errores!C53))^2))^0.5</f>
        <v>8.3205473482237888</v>
      </c>
      <c r="H53" s="24">
        <f>C53/Valores!$F$27</f>
        <v>1.453015297050296E-3</v>
      </c>
      <c r="I53" s="5">
        <f>(((4*Valores!H53)+4)/((((Valores!H53)^2)+(2*Valores!H53)+(2))^2))*H53*$Q$16/1000</f>
        <v>11.965510175065216</v>
      </c>
      <c r="O53" s="2">
        <v>656.3</v>
      </c>
      <c r="P53" s="2">
        <v>-2</v>
      </c>
      <c r="Q53" s="26">
        <v>6.0000000000000001E-17</v>
      </c>
      <c r="R53" s="26">
        <v>-9.9999999999999995E-21</v>
      </c>
      <c r="S53" s="26">
        <v>-1E-22</v>
      </c>
      <c r="T53" s="26">
        <v>-9.9999999999999992E-25</v>
      </c>
      <c r="U53" s="26">
        <v>-1E-26</v>
      </c>
    </row>
    <row r="54" spans="1:24" x14ac:dyDescent="0.25">
      <c r="A54" s="2">
        <v>5</v>
      </c>
      <c r="B54" s="2">
        <v>2</v>
      </c>
      <c r="C54" s="2">
        <v>0.29016303999999998</v>
      </c>
      <c r="D54" s="2">
        <v>0.29016303999999998</v>
      </c>
      <c r="E54" s="2">
        <f t="shared" si="6"/>
        <v>0.68328174291911714</v>
      </c>
      <c r="F54" s="2">
        <f>(1/2)*(((Valores!E54^2)-($Q$15^2))^(-1/2))*E54</f>
        <v>0.17487153362628585</v>
      </c>
      <c r="G54" s="2">
        <f>(((($Q$16*F54)/(Valores!C54*1000))^2)+((($Q$16*Valores!F54/1000)*((Valores!C54)^(-2))*(Errores!C54))^2))^0.5</f>
        <v>53.577492467413286</v>
      </c>
      <c r="H54" s="24">
        <f>C54/Valores!$F$27</f>
        <v>1.5201858404576016E-3</v>
      </c>
      <c r="I54" s="5">
        <f>(((4*Valores!H54)+4)/((((Valores!H54)^2)+(2*Valores!H54)+(2))^2))*H54*$Q$16/1000</f>
        <v>12.557303365362822</v>
      </c>
    </row>
    <row r="55" spans="1:24" x14ac:dyDescent="0.25">
      <c r="I55" s="5">
        <f>AVERAGE(I46:I54)</f>
        <v>8.2845377289922961</v>
      </c>
    </row>
    <row r="57" spans="1:24" x14ac:dyDescent="0.25">
      <c r="O57" s="16" t="s">
        <v>63</v>
      </c>
      <c r="P57" s="16"/>
      <c r="Q57" s="16"/>
      <c r="R57" s="16"/>
      <c r="S57" s="16"/>
      <c r="T57" s="16"/>
      <c r="U57" s="16"/>
      <c r="V57" s="16"/>
    </row>
    <row r="58" spans="1:24" x14ac:dyDescent="0.25">
      <c r="O58" s="12" t="s">
        <v>29</v>
      </c>
      <c r="P58" s="12" t="s">
        <v>30</v>
      </c>
      <c r="Q58" s="12" t="s">
        <v>36</v>
      </c>
      <c r="R58" s="12" t="s">
        <v>48</v>
      </c>
      <c r="S58" s="12" t="s">
        <v>46</v>
      </c>
      <c r="T58" s="12" t="s">
        <v>37</v>
      </c>
      <c r="U58" s="12" t="s">
        <v>38</v>
      </c>
      <c r="V58" s="12" t="s">
        <v>39</v>
      </c>
      <c r="W58" s="12" t="s">
        <v>40</v>
      </c>
    </row>
    <row r="59" spans="1:24" x14ac:dyDescent="0.25">
      <c r="O59" s="21" t="s">
        <v>7</v>
      </c>
      <c r="P59" s="21">
        <v>1</v>
      </c>
      <c r="Q59" s="5">
        <v>0.65</v>
      </c>
      <c r="R59" s="25">
        <f>Valores!R59</f>
        <v>1.0617065071019933E-16</v>
      </c>
      <c r="S59" s="5">
        <v>37178.400000000001</v>
      </c>
      <c r="T59" s="25">
        <f>1350*4*$Q$18*((S59*3.086E+24)^2)*(1+$B$23)*0.0000000000000000001</f>
        <v>1.1445335614413246E+44</v>
      </c>
      <c r="U59" s="5">
        <f>($G$49/1000)^2</f>
        <v>4.3918220713777362E-6</v>
      </c>
      <c r="V59" s="25">
        <f>107.2*24*3600*$Q$16*(0.55)*((Valores!T59*1E-46)^(1-0.55))*Errores!T59*1E-46</f>
        <v>53778081804891.539</v>
      </c>
      <c r="W59" s="25">
        <f>((((V59*Q59*Valores!U59*1000000000000)/($Q$17*$Q$14))^2)+(((Valores!V59*Q59*U59*1000000000000)/($Q$17*$Q$14))^2))^0.5</f>
        <v>2027442.6660138774</v>
      </c>
      <c r="X59" s="22">
        <f>(1/(LOG10(10)*Valores!W59))*W59</f>
        <v>3.7499230365516029E-3</v>
      </c>
    </row>
    <row r="60" spans="1:24" x14ac:dyDescent="0.25">
      <c r="O60" s="21"/>
      <c r="P60" s="21"/>
      <c r="Q60" s="5">
        <v>1</v>
      </c>
      <c r="R60" s="25">
        <f>Valores!R60</f>
        <v>1.0617065071019933E-16</v>
      </c>
      <c r="S60" s="5">
        <v>37178.400000000001</v>
      </c>
      <c r="T60" s="25">
        <f t="shared" ref="T60:T64" si="7">1350*4*$Q$18*((S60*3.086E+24)^2)*(1+$B$23)*0.0000000000000000001</f>
        <v>1.1445335614413246E+44</v>
      </c>
      <c r="U60" s="5">
        <f t="shared" ref="U60:U61" si="8">($G$49/1000)^2</f>
        <v>4.3918220713777362E-6</v>
      </c>
      <c r="V60" s="25">
        <f>107.2*24*3600*$Q$16*(0.55)*((Valores!T60*1E-46)^(1-0.55))*Errores!T60*1E-46</f>
        <v>53778081804891.539</v>
      </c>
      <c r="W60" s="25">
        <f>((((V60*Q60*Valores!U60*1000000000000)/($Q$17*$Q$14))^2)+(((Valores!V60*Q60*U60*1000000000000)/($Q$17*$Q$14))^2))^0.5</f>
        <v>3119142.5630982732</v>
      </c>
      <c r="X60" s="22">
        <f>(1/(LOG10(10)*Valores!W60))*W60</f>
        <v>4.9037455093367118E-3</v>
      </c>
    </row>
    <row r="61" spans="1:24" x14ac:dyDescent="0.25">
      <c r="O61" s="21"/>
      <c r="P61" s="21"/>
      <c r="Q61" s="5">
        <v>1.1200000000000001</v>
      </c>
      <c r="R61" s="25">
        <f>Valores!R61</f>
        <v>1.0617065071019933E-16</v>
      </c>
      <c r="S61" s="5">
        <v>37178.400000000001</v>
      </c>
      <c r="T61" s="25">
        <f t="shared" si="7"/>
        <v>1.1445335614413246E+44</v>
      </c>
      <c r="U61" s="5">
        <f t="shared" si="8"/>
        <v>4.3918220713777362E-6</v>
      </c>
      <c r="V61" s="25">
        <f>107.2*24*3600*$Q$16*(0.55)*((Valores!T61*1E-46)^(1-0.55))*Errores!T61*1E-46</f>
        <v>53778081804891.539</v>
      </c>
      <c r="W61" s="25">
        <f>((((V61*Q61*Valores!U61*1000000000000)/($Q$17*$Q$14))^2)+(((Valores!V61*Q61*U61*1000000000000)/($Q$17*$Q$14))^2))^0.5</f>
        <v>3493439.670670066</v>
      </c>
      <c r="X61" s="22">
        <f>(1/(LOG10(10)*Valores!W61))*W61</f>
        <v>4.9037455093367101E-3</v>
      </c>
    </row>
    <row r="62" spans="1:24" x14ac:dyDescent="0.25">
      <c r="O62" s="21"/>
      <c r="W62" s="22">
        <f>AVERAGE(W59:W61)</f>
        <v>2880008.2999274055</v>
      </c>
      <c r="X62" s="22">
        <f>AVERAGE(X59:X61)</f>
        <v>4.5191380184083424E-3</v>
      </c>
    </row>
    <row r="63" spans="1:24" x14ac:dyDescent="0.25">
      <c r="O63" s="21"/>
    </row>
    <row r="64" spans="1:24" x14ac:dyDescent="0.25">
      <c r="O64" s="21"/>
    </row>
    <row r="65" spans="15:23" x14ac:dyDescent="0.25">
      <c r="W65" s="22">
        <f>AVERAGE(W59:W61)</f>
        <v>2880008.2999274055</v>
      </c>
    </row>
    <row r="68" spans="15:23" x14ac:dyDescent="0.25">
      <c r="O68" s="21">
        <v>2</v>
      </c>
      <c r="P68" s="5">
        <v>0.65</v>
      </c>
      <c r="Q68" s="25">
        <f>Valores!Q68</f>
        <v>1.0606460771124132E-16</v>
      </c>
      <c r="R68" s="5">
        <v>37178.400000000001</v>
      </c>
      <c r="S68" s="25">
        <f>1350*4*$Q$18*((R68*3.086E+24)^2)*(1+$B$23)*0.0000000000000000001</f>
        <v>1.1445335614413246E+44</v>
      </c>
      <c r="T68" s="5">
        <f>($G$50/1000)^2</f>
        <v>7.8666869078617438E-4</v>
      </c>
      <c r="U68" s="25">
        <f>107.2*24*3600*$Q$16*(0.55)*((Valores!S68*1E-46)^(1-0.55))*Errores!S68*1E-46</f>
        <v>53753904122064.797</v>
      </c>
      <c r="V68" s="25">
        <f>((((U68*P68*Valores!T68*1000000000000)/($Q$17*$Q$14))^2)+(((Valores!U68*P68*T68*1000000000000)/($Q$17*$Q$14))^2))^0.5</f>
        <v>50080.923284486547</v>
      </c>
    </row>
    <row r="69" spans="15:23" x14ac:dyDescent="0.25">
      <c r="O69" s="21"/>
      <c r="P69" s="5">
        <v>1</v>
      </c>
      <c r="Q69" s="25">
        <f>Valores!Q69</f>
        <v>1.0606460771124132E-16</v>
      </c>
      <c r="R69" s="5">
        <v>37178.400000000001</v>
      </c>
      <c r="S69" s="25">
        <f>1350*4*$Q$18*((R69*3.086E+24)^2)*(1+$B$23)*0.0000000000000000001</f>
        <v>1.1445335614413246E+44</v>
      </c>
      <c r="T69" s="5">
        <f t="shared" ref="T69:T70" si="9">($G$50/1000)^2</f>
        <v>7.8666869078617438E-4</v>
      </c>
      <c r="U69" s="25">
        <f>107.2*24*3600*$Q$16*(0.55)*((Valores!S69*1E-46)^(1-0.55))*Errores!S69*1E-46</f>
        <v>53753904122064.797</v>
      </c>
      <c r="V69" s="25">
        <f>((((U69*P69*Valores!T69*1000000000000)/($Q$17*$Q$14))^2)+(((Valores!U69*P69*T69*1000000000000)/($Q$17*$Q$14))^2))^0.5</f>
        <v>77047.574283825437</v>
      </c>
    </row>
    <row r="70" spans="15:23" x14ac:dyDescent="0.25">
      <c r="O70" s="21"/>
      <c r="P70" s="5">
        <v>1.1200000000000001</v>
      </c>
      <c r="Q70" s="25">
        <f>Valores!Q70</f>
        <v>1.0606460771124132E-16</v>
      </c>
      <c r="R70" s="5">
        <v>37178.400000000001</v>
      </c>
      <c r="S70" s="25">
        <f>1350*4*$Q$18*((R70*3.086E+24)^2)*(1+$B$23)*0.0000000000000000001</f>
        <v>1.1445335614413246E+44</v>
      </c>
      <c r="T70" s="5">
        <f t="shared" si="9"/>
        <v>7.8666869078617438E-4</v>
      </c>
      <c r="U70" s="25">
        <f>107.2*24*3600*$Q$16*(0.55)*((Valores!S70*1E-46)^(1-0.55))*Errores!S70*1E-46</f>
        <v>53753904122064.797</v>
      </c>
      <c r="V70" s="25">
        <f>((((U70*P70*Valores!T70*1000000000000)/($Q$17*$Q$14))^2)+(((Valores!U70*P70*T70*1000000000000)/($Q$17*$Q$14))^2))^0.5</f>
        <v>86293.283197884521</v>
      </c>
    </row>
  </sheetData>
  <mergeCells count="14">
    <mergeCell ref="O59:O64"/>
    <mergeCell ref="P59:P61"/>
    <mergeCell ref="O68:O70"/>
    <mergeCell ref="A44:G44"/>
    <mergeCell ref="O46:U46"/>
    <mergeCell ref="O51:U51"/>
    <mergeCell ref="O57:V57"/>
    <mergeCell ref="A6:N6"/>
    <mergeCell ref="A21:N21"/>
    <mergeCell ref="A35:G35"/>
    <mergeCell ref="O35:V35"/>
    <mergeCell ref="O37:O42"/>
    <mergeCell ref="P37:P39"/>
    <mergeCell ref="P40:P4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Valores</vt:lpstr>
      <vt:lpstr>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2024-04-14T02:05:39Z</dcterms:created>
  <dcterms:modified xsi:type="dcterms:W3CDTF">2024-04-22T20:23:22Z</dcterms:modified>
</cp:coreProperties>
</file>