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ilip Susser\"/>
    </mc:Choice>
  </mc:AlternateContent>
  <xr:revisionPtr revIDLastSave="0" documentId="8_{A9821D65-563C-49A2-B3D5-A109DA4BF7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81029"/>
</workbook>
</file>

<file path=xl/calcChain.xml><?xml version="1.0" encoding="utf-8"?>
<calcChain xmlns="http://schemas.openxmlformats.org/spreadsheetml/2006/main">
  <c r="J177" i="2" l="1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C177" i="2"/>
  <c r="C169" i="2"/>
  <c r="C161" i="2"/>
  <c r="C153" i="2"/>
  <c r="C145" i="2"/>
  <c r="C137" i="2"/>
  <c r="C129" i="2"/>
  <c r="C121" i="2"/>
  <c r="C113" i="2"/>
  <c r="C105" i="2"/>
  <c r="D99" i="2"/>
  <c r="D95" i="2"/>
  <c r="D91" i="2"/>
  <c r="G87" i="2"/>
  <c r="G85" i="2"/>
  <c r="G83" i="2"/>
  <c r="G81" i="2"/>
  <c r="G79" i="2"/>
  <c r="G77" i="2"/>
  <c r="G75" i="2"/>
  <c r="G73" i="2"/>
  <c r="G71" i="2"/>
  <c r="D70" i="2"/>
  <c r="I68" i="2"/>
  <c r="G67" i="2"/>
  <c r="D66" i="2"/>
  <c r="I64" i="2"/>
  <c r="G63" i="2"/>
  <c r="D62" i="2"/>
  <c r="I60" i="2"/>
  <c r="H59" i="2"/>
  <c r="G58" i="2"/>
  <c r="F57" i="2"/>
  <c r="E56" i="2"/>
  <c r="D55" i="2"/>
  <c r="C54" i="2"/>
  <c r="I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14" i="2"/>
  <c r="G11" i="2"/>
  <c r="G9" i="2"/>
  <c r="G7" i="2"/>
  <c r="G5" i="2"/>
  <c r="G3" i="2"/>
  <c r="F2" i="2"/>
  <c r="E9" i="2"/>
  <c r="E5" i="2"/>
  <c r="C156" i="2"/>
  <c r="F84" i="2"/>
  <c r="F69" i="2"/>
  <c r="D60" i="2"/>
  <c r="C50" i="2"/>
  <c r="C43" i="2"/>
  <c r="C37" i="2"/>
  <c r="C32" i="2"/>
  <c r="C25" i="2"/>
  <c r="C18" i="2"/>
  <c r="C11" i="2"/>
  <c r="C6" i="2"/>
  <c r="C176" i="2"/>
  <c r="C168" i="2"/>
  <c r="C160" i="2"/>
  <c r="C152" i="2"/>
  <c r="C144" i="2"/>
  <c r="C136" i="2"/>
  <c r="C128" i="2"/>
  <c r="C120" i="2"/>
  <c r="C112" i="2"/>
  <c r="C104" i="2"/>
  <c r="C99" i="2"/>
  <c r="C95" i="2"/>
  <c r="C91" i="2"/>
  <c r="F87" i="2"/>
  <c r="F85" i="2"/>
  <c r="F83" i="2"/>
  <c r="F81" i="2"/>
  <c r="F79" i="2"/>
  <c r="F77" i="2"/>
  <c r="F75" i="2"/>
  <c r="F73" i="2"/>
  <c r="F71" i="2"/>
  <c r="C70" i="2"/>
  <c r="H68" i="2"/>
  <c r="F67" i="2"/>
  <c r="C66" i="2"/>
  <c r="H64" i="2"/>
  <c r="F63" i="2"/>
  <c r="C62" i="2"/>
  <c r="H60" i="2"/>
  <c r="G59" i="2"/>
  <c r="F58" i="2"/>
  <c r="E57" i="2"/>
  <c r="D56" i="2"/>
  <c r="C55" i="2"/>
  <c r="I53" i="2"/>
  <c r="H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3" i="2"/>
  <c r="G12" i="2"/>
  <c r="G10" i="2"/>
  <c r="G8" i="2"/>
  <c r="G6" i="2"/>
  <c r="G4" i="2"/>
  <c r="G2" i="2"/>
  <c r="E11" i="2"/>
  <c r="C148" i="2"/>
  <c r="C89" i="2"/>
  <c r="F74" i="2"/>
  <c r="C64" i="2"/>
  <c r="F54" i="2"/>
  <c r="C45" i="2"/>
  <c r="C38" i="2"/>
  <c r="C31" i="2"/>
  <c r="C24" i="2"/>
  <c r="C17" i="2"/>
  <c r="C10" i="2"/>
  <c r="C175" i="2"/>
  <c r="C167" i="2"/>
  <c r="C159" i="2"/>
  <c r="C151" i="2"/>
  <c r="C143" i="2"/>
  <c r="C135" i="2"/>
  <c r="C127" i="2"/>
  <c r="C119" i="2"/>
  <c r="C111" i="2"/>
  <c r="C103" i="2"/>
  <c r="D98" i="2"/>
  <c r="D94" i="2"/>
  <c r="D90" i="2"/>
  <c r="D87" i="2"/>
  <c r="D85" i="2"/>
  <c r="D83" i="2"/>
  <c r="D81" i="2"/>
  <c r="D79" i="2"/>
  <c r="D77" i="2"/>
  <c r="D75" i="2"/>
  <c r="D73" i="2"/>
  <c r="D71" i="2"/>
  <c r="I69" i="2"/>
  <c r="G68" i="2"/>
  <c r="D67" i="2"/>
  <c r="I65" i="2"/>
  <c r="G64" i="2"/>
  <c r="D63" i="2"/>
  <c r="I61" i="2"/>
  <c r="G60" i="2"/>
  <c r="F59" i="2"/>
  <c r="E58" i="2"/>
  <c r="D57" i="2"/>
  <c r="C56" i="2"/>
  <c r="I54" i="2"/>
  <c r="H53" i="2"/>
  <c r="G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10" i="2"/>
  <c r="E4" i="2"/>
  <c r="C172" i="2"/>
  <c r="F80" i="2"/>
  <c r="C68" i="2"/>
  <c r="H56" i="2"/>
  <c r="C49" i="2"/>
  <c r="C42" i="2"/>
  <c r="C35" i="2"/>
  <c r="C28" i="2"/>
  <c r="C22" i="2"/>
  <c r="C16" i="2"/>
  <c r="C8" i="2"/>
  <c r="C174" i="2"/>
  <c r="C166" i="2"/>
  <c r="C158" i="2"/>
  <c r="C150" i="2"/>
  <c r="C142" i="2"/>
  <c r="C134" i="2"/>
  <c r="C126" i="2"/>
  <c r="C118" i="2"/>
  <c r="C110" i="2"/>
  <c r="C102" i="2"/>
  <c r="C98" i="2"/>
  <c r="C94" i="2"/>
  <c r="C90" i="2"/>
  <c r="C87" i="2"/>
  <c r="C85" i="2"/>
  <c r="C83" i="2"/>
  <c r="C81" i="2"/>
  <c r="C79" i="2"/>
  <c r="C77" i="2"/>
  <c r="C75" i="2"/>
  <c r="C73" i="2"/>
  <c r="C71" i="2"/>
  <c r="H69" i="2"/>
  <c r="F68" i="2"/>
  <c r="C67" i="2"/>
  <c r="H65" i="2"/>
  <c r="F64" i="2"/>
  <c r="C63" i="2"/>
  <c r="H61" i="2"/>
  <c r="F60" i="2"/>
  <c r="E59" i="2"/>
  <c r="D58" i="2"/>
  <c r="C57" i="2"/>
  <c r="I55" i="2"/>
  <c r="H54" i="2"/>
  <c r="G53" i="2"/>
  <c r="F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8" i="2"/>
  <c r="E6" i="2"/>
  <c r="C140" i="2"/>
  <c r="F86" i="2"/>
  <c r="H70" i="2"/>
  <c r="F61" i="2"/>
  <c r="G55" i="2"/>
  <c r="C48" i="2"/>
  <c r="C39" i="2"/>
  <c r="C30" i="2"/>
  <c r="C21" i="2"/>
  <c r="C13" i="2"/>
  <c r="C4" i="2"/>
  <c r="C173" i="2"/>
  <c r="C165" i="2"/>
  <c r="C157" i="2"/>
  <c r="C149" i="2"/>
  <c r="C141" i="2"/>
  <c r="C133" i="2"/>
  <c r="C125" i="2"/>
  <c r="C117" i="2"/>
  <c r="C109" i="2"/>
  <c r="D101" i="2"/>
  <c r="D97" i="2"/>
  <c r="D93" i="2"/>
  <c r="D89" i="2"/>
  <c r="G86" i="2"/>
  <c r="G84" i="2"/>
  <c r="G82" i="2"/>
  <c r="G80" i="2"/>
  <c r="G78" i="2"/>
  <c r="G76" i="2"/>
  <c r="G74" i="2"/>
  <c r="G72" i="2"/>
  <c r="I70" i="2"/>
  <c r="G69" i="2"/>
  <c r="D68" i="2"/>
  <c r="I66" i="2"/>
  <c r="G65" i="2"/>
  <c r="D64" i="2"/>
  <c r="I62" i="2"/>
  <c r="G61" i="2"/>
  <c r="E60" i="2"/>
  <c r="D59" i="2"/>
  <c r="C58" i="2"/>
  <c r="I56" i="2"/>
  <c r="H55" i="2"/>
  <c r="G54" i="2"/>
  <c r="F53" i="2"/>
  <c r="E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124" i="2"/>
  <c r="C97" i="2"/>
  <c r="F76" i="2"/>
  <c r="H62" i="2"/>
  <c r="E53" i="2"/>
  <c r="C44" i="2"/>
  <c r="C36" i="2"/>
  <c r="C29" i="2"/>
  <c r="C23" i="2"/>
  <c r="C15" i="2"/>
  <c r="C5" i="2"/>
  <c r="C171" i="2"/>
  <c r="C163" i="2"/>
  <c r="C155" i="2"/>
  <c r="C147" i="2"/>
  <c r="C139" i="2"/>
  <c r="C131" i="2"/>
  <c r="C123" i="2"/>
  <c r="C115" i="2"/>
  <c r="C107" i="2"/>
  <c r="D100" i="2"/>
  <c r="D96" i="2"/>
  <c r="D92" i="2"/>
  <c r="D88" i="2"/>
  <c r="D86" i="2"/>
  <c r="D84" i="2"/>
  <c r="D82" i="2"/>
  <c r="D80" i="2"/>
  <c r="D78" i="2"/>
  <c r="D76" i="2"/>
  <c r="D74" i="2"/>
  <c r="D72" i="2"/>
  <c r="G70" i="2"/>
  <c r="D69" i="2"/>
  <c r="I67" i="2"/>
  <c r="G66" i="2"/>
  <c r="D65" i="2"/>
  <c r="I63" i="2"/>
  <c r="G62" i="2"/>
  <c r="D61" i="2"/>
  <c r="C60" i="2"/>
  <c r="I58" i="2"/>
  <c r="H57" i="2"/>
  <c r="G56" i="2"/>
  <c r="F55" i="2"/>
  <c r="E54" i="2"/>
  <c r="D53" i="2"/>
  <c r="C52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4" i="2"/>
  <c r="I2" i="2"/>
  <c r="E3" i="2"/>
  <c r="D2" i="2"/>
  <c r="C132" i="2"/>
  <c r="C116" i="2"/>
  <c r="C101" i="2"/>
  <c r="F82" i="2"/>
  <c r="F72" i="2"/>
  <c r="F65" i="2"/>
  <c r="I57" i="2"/>
  <c r="D52" i="2"/>
  <c r="C47" i="2"/>
  <c r="C41" i="2"/>
  <c r="C34" i="2"/>
  <c r="C27" i="2"/>
  <c r="C20" i="2"/>
  <c r="C12" i="2"/>
  <c r="C7" i="2"/>
  <c r="C2" i="2"/>
  <c r="C170" i="2"/>
  <c r="C162" i="2"/>
  <c r="C154" i="2"/>
  <c r="C146" i="2"/>
  <c r="C138" i="2"/>
  <c r="C130" i="2"/>
  <c r="C122" i="2"/>
  <c r="C114" i="2"/>
  <c r="C106" i="2"/>
  <c r="C100" i="2"/>
  <c r="C96" i="2"/>
  <c r="C92" i="2"/>
  <c r="C88" i="2"/>
  <c r="C86" i="2"/>
  <c r="C84" i="2"/>
  <c r="C82" i="2"/>
  <c r="C80" i="2"/>
  <c r="C78" i="2"/>
  <c r="C76" i="2"/>
  <c r="C74" i="2"/>
  <c r="C72" i="2"/>
  <c r="F70" i="2"/>
  <c r="C69" i="2"/>
  <c r="H67" i="2"/>
  <c r="F66" i="2"/>
  <c r="C65" i="2"/>
  <c r="H63" i="2"/>
  <c r="F62" i="2"/>
  <c r="C61" i="2"/>
  <c r="I59" i="2"/>
  <c r="H58" i="2"/>
  <c r="G57" i="2"/>
  <c r="F56" i="2"/>
  <c r="E55" i="2"/>
  <c r="D54" i="2"/>
  <c r="C53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3" i="2"/>
  <c r="E7" i="2"/>
  <c r="E2" i="2"/>
  <c r="C164" i="2"/>
  <c r="C108" i="2"/>
  <c r="C93" i="2"/>
  <c r="F78" i="2"/>
  <c r="H66" i="2"/>
  <c r="C59" i="2"/>
  <c r="C51" i="2"/>
  <c r="C46" i="2"/>
  <c r="C40" i="2"/>
  <c r="C33" i="2"/>
  <c r="C26" i="2"/>
  <c r="C19" i="2"/>
  <c r="C14" i="2"/>
  <c r="C9" i="2"/>
  <c r="C3" i="2"/>
</calcChain>
</file>

<file path=xl/sharedStrings.xml><?xml version="1.0" encoding="utf-8"?>
<sst xmlns="http://schemas.openxmlformats.org/spreadsheetml/2006/main" count="362" uniqueCount="362">
  <si>
    <t>Name</t>
  </si>
  <si>
    <t>Ticker</t>
  </si>
  <si>
    <t>Custom Return</t>
  </si>
  <si>
    <t>1M Return</t>
  </si>
  <si>
    <t>3M Return</t>
  </si>
  <si>
    <t>YTD Return</t>
  </si>
  <si>
    <t>1Y Return</t>
  </si>
  <si>
    <t>3Y Return</t>
  </si>
  <si>
    <t>5Y Return</t>
  </si>
  <si>
    <t>Last Close</t>
  </si>
  <si>
    <t>Rydex Inverse High Yield Strategy Fund</t>
  </si>
  <si>
    <t>RYIHX US</t>
  </si>
  <si>
    <t>RiverPark Short Term High Yield Fund</t>
  </si>
  <si>
    <t>RPHIX US</t>
  </si>
  <si>
    <t>CMG Tactical Bond Fund</t>
  </si>
  <si>
    <t>CHYAX US</t>
  </si>
  <si>
    <t>Delaware Floating Rate II Fund</t>
  </si>
  <si>
    <t>FRFEX US</t>
  </si>
  <si>
    <t>Northeast Investors Trust</t>
  </si>
  <si>
    <t>NTHEX US</t>
  </si>
  <si>
    <t>Putnam Mortgage Opportunities Fund</t>
  </si>
  <si>
    <t>PMOTX US</t>
  </si>
  <si>
    <t>Stone Ridge High Yield Reinsurance Risk Premium Fund</t>
  </si>
  <si>
    <t>SHRIX US</t>
  </si>
  <si>
    <t>Shenkman Captial Short Duration High Income Fund</t>
  </si>
  <si>
    <t>SCFAX US</t>
  </si>
  <si>
    <t>Wells Fargo Short-Term High Yield Bond Fund</t>
  </si>
  <si>
    <t>SSTHX US</t>
  </si>
  <si>
    <t>RBC BlueBay Global Bond Fund</t>
  </si>
  <si>
    <t>RBTRX US</t>
  </si>
  <si>
    <t>Chartwell Short Duration High Yield Fund</t>
  </si>
  <si>
    <t>CWFIX US</t>
  </si>
  <si>
    <t>Aquila Three Peaks High Income Fund</t>
  </si>
  <si>
    <t>ATIPX US</t>
  </si>
  <si>
    <t>Eaton Vance Short Duration High Income Fund</t>
  </si>
  <si>
    <t>ESHAX US</t>
  </si>
  <si>
    <t>First Trust Short Duration High Income Fund</t>
  </si>
  <si>
    <t>FDHAX US</t>
  </si>
  <si>
    <t>Access Flex High Yield Fund</t>
  </si>
  <si>
    <t>FYAIX US</t>
  </si>
  <si>
    <t>Fidelity Advisor Short Duration High Income Fund</t>
  </si>
  <si>
    <t>FSBHX US</t>
  </si>
  <si>
    <t>Intrepid Income Fund</t>
  </si>
  <si>
    <t>ICMUX US</t>
  </si>
  <si>
    <t>AB Limited Duration High Income Portfolio</t>
  </si>
  <si>
    <t>ALHAX US</t>
  </si>
  <si>
    <t>City National Rochdale Fixed Income Opportunities Fund</t>
  </si>
  <si>
    <t>RIMOX US</t>
  </si>
  <si>
    <t>AllianzGI Short Duration High Income Fund</t>
  </si>
  <si>
    <t>ASHAX US</t>
  </si>
  <si>
    <t>MainStay MacKay Short Duration High Yield Fund</t>
  </si>
  <si>
    <t>MDHAX US</t>
  </si>
  <si>
    <t>BMO Strategic Income Fund</t>
  </si>
  <si>
    <t>MRGIX US</t>
  </si>
  <si>
    <t>PGIM Short Duration High Yield</t>
  </si>
  <si>
    <t>HYSAX US</t>
  </si>
  <si>
    <t>Calamos High Income Fund</t>
  </si>
  <si>
    <t>CCHYX US</t>
  </si>
  <si>
    <t>Touchstone High Yield Fund</t>
  </si>
  <si>
    <t>THYCX US</t>
  </si>
  <si>
    <t>Invesco High Yield Fund</t>
  </si>
  <si>
    <t>AMHYX US</t>
  </si>
  <si>
    <t>Lazard US Corporate Income Portfolio</t>
  </si>
  <si>
    <t>LZHYX US</t>
  </si>
  <si>
    <t>MFS Global High Yield Fund</t>
  </si>
  <si>
    <t>MHOBX US</t>
  </si>
  <si>
    <t>Janus Henderson Developed World Bond Fund</t>
  </si>
  <si>
    <t>HFAAX US</t>
  </si>
  <si>
    <t>Barings Global Credit Income Opportunities Fund</t>
  </si>
  <si>
    <t>BXIAX US</t>
  </si>
  <si>
    <t>Dunham High Yield Bond Fund</t>
  </si>
  <si>
    <t>DCHYX US</t>
  </si>
  <si>
    <t>Delaware Fund For Income Fund</t>
  </si>
  <si>
    <t>FIFIX US</t>
  </si>
  <si>
    <t>AllianzGI High Yield Bond Fund</t>
  </si>
  <si>
    <t>AYBVX US</t>
  </si>
  <si>
    <t>Buffalo High Yield Fund Inc</t>
  </si>
  <si>
    <t>BUFHX US</t>
  </si>
  <si>
    <t>Western Asset Short Duration High Income Fund</t>
  </si>
  <si>
    <t>SHIAX US</t>
  </si>
  <si>
    <t>Thrivent High Yield Fund</t>
  </si>
  <si>
    <t>LBHYX US</t>
  </si>
  <si>
    <t>HSBC Strategic Income Fund</t>
  </si>
  <si>
    <t>HBIAX US</t>
  </si>
  <si>
    <t>Pioneer Global High Yield Fund</t>
  </si>
  <si>
    <t>PGHYX US</t>
  </si>
  <si>
    <t>AB High Income Fund Inc</t>
  </si>
  <si>
    <t>AGDAX US</t>
  </si>
  <si>
    <t>MainStay MacKay High Yield Corporate Bond Fund</t>
  </si>
  <si>
    <t>MKHCX US</t>
  </si>
  <si>
    <t>Aberdeen Global High Income Fund</t>
  </si>
  <si>
    <t>BJBHX US</t>
  </si>
  <si>
    <t>Hotchkis &amp; Wiley High Yield Fund</t>
  </si>
  <si>
    <t>HWHIX US</t>
  </si>
  <si>
    <t>Eaton Vance Income Fund of Boston</t>
  </si>
  <si>
    <t>EVIBX US</t>
  </si>
  <si>
    <t>Eaton Vance High Income Opportunities Fund</t>
  </si>
  <si>
    <t>ETHIX US</t>
  </si>
  <si>
    <t>Wells Fargo High Yield Bond Fund</t>
  </si>
  <si>
    <t>EKHAX US</t>
  </si>
  <si>
    <t>Invesco High Yield Bond Factor Fund</t>
  </si>
  <si>
    <t>OGYAX US</t>
  </si>
  <si>
    <t>JPMorgan High Yield Fund</t>
  </si>
  <si>
    <t>OHYFX US</t>
  </si>
  <si>
    <t>Calvert High Yield Bond Fund</t>
  </si>
  <si>
    <t>CYBIX US</t>
  </si>
  <si>
    <t>Fidelity Focused High Income Fund</t>
  </si>
  <si>
    <t>FHIFX US</t>
  </si>
  <si>
    <t>Morgan Stanley Pathway Funds - High Yield Fund</t>
  </si>
  <si>
    <t>THYUX US</t>
  </si>
  <si>
    <t>American Century High-Yield Fund</t>
  </si>
  <si>
    <t>AHYVX US</t>
  </si>
  <si>
    <t>DDJ Capital Opportunistic High Yield Fund</t>
  </si>
  <si>
    <t>DDJCX US</t>
  </si>
  <si>
    <t>Principal High Income Fund</t>
  </si>
  <si>
    <t>PYHIX US</t>
  </si>
  <si>
    <t>Columbia High Yield Bond Fund</t>
  </si>
  <si>
    <t>INEAX US</t>
  </si>
  <si>
    <t>BNY Mellon High Yield Fund</t>
  </si>
  <si>
    <t>DPLTX US</t>
  </si>
  <si>
    <t>MassMutual Premier High Yield Fund</t>
  </si>
  <si>
    <t>MPHAX US</t>
  </si>
  <si>
    <t>HSBC High Yield Bond Fund</t>
  </si>
  <si>
    <t>HBYAX US</t>
  </si>
  <si>
    <t>Pioneer High Yield Fund</t>
  </si>
  <si>
    <t>TAHYX US</t>
  </si>
  <si>
    <t>Voya High Yield Bond Fund</t>
  </si>
  <si>
    <t>IHYAX US</t>
  </si>
  <si>
    <t>Goldman Sachs High Yield Fund</t>
  </si>
  <si>
    <t>GSHAX US</t>
  </si>
  <si>
    <t>Transamerica High Yield Bond</t>
  </si>
  <si>
    <t>IHIYX US</t>
  </si>
  <si>
    <t>MFS High Income Fund</t>
  </si>
  <si>
    <t>MHITX US</t>
  </si>
  <si>
    <t>Janus Henderson High-Yield Fund</t>
  </si>
  <si>
    <t>JHYAX US</t>
  </si>
  <si>
    <t>Stone Harbor High Yield Bond Fund</t>
  </si>
  <si>
    <t>SHHYX US</t>
  </si>
  <si>
    <t>Timothy Plan High Yield Bond Fund</t>
  </si>
  <si>
    <t>TPHAX US</t>
  </si>
  <si>
    <t>PIMCO High Yield Fund</t>
  </si>
  <si>
    <t>PHDAX US</t>
  </si>
  <si>
    <t>Harbor High-Yield Bond Fund</t>
  </si>
  <si>
    <t>HYFAX US</t>
  </si>
  <si>
    <t>First Eagle Funds - First Eagle High Income Fund</t>
  </si>
  <si>
    <t>FEHAX US</t>
  </si>
  <si>
    <t>Barings US High Yield Fund</t>
  </si>
  <si>
    <t>BXHAX US</t>
  </si>
  <si>
    <t>Penn Capital Multi-Credit High Income Fund</t>
  </si>
  <si>
    <t>PHYNX US</t>
  </si>
  <si>
    <t>Fidelity Global High Income Fund</t>
  </si>
  <si>
    <t>FGHNX US</t>
  </si>
  <si>
    <t>Westwood High Income Fund</t>
  </si>
  <si>
    <t>WHGHX US</t>
  </si>
  <si>
    <t>Vanguard High-Yield Corporate Fund</t>
  </si>
  <si>
    <t>VWEHX US</t>
  </si>
  <si>
    <t>Northern High Yield Fixed Income Fund</t>
  </si>
  <si>
    <t>NHFIX US</t>
  </si>
  <si>
    <t>Loomis Sayles Institutional High Income Fund</t>
  </si>
  <si>
    <t>LSHIX US</t>
  </si>
  <si>
    <t>Neuberger Berman High Income Bond Fund</t>
  </si>
  <si>
    <t>NHINX US</t>
  </si>
  <si>
    <t>Metropolitan West High Yield Bond Fund</t>
  </si>
  <si>
    <t>MWHYX US</t>
  </si>
  <si>
    <t>Segall Bryant &amp; Hamill Quality High Yield Fund</t>
  </si>
  <si>
    <t>WTLTX US</t>
  </si>
  <si>
    <t>John Hancock High Yield Fund</t>
  </si>
  <si>
    <t>JHHBX US</t>
  </si>
  <si>
    <t>Virtus Newfleet High Yield Fund</t>
  </si>
  <si>
    <t>PHCHX US</t>
  </si>
  <si>
    <t>Delaware High-Yield Opportunities Fund</t>
  </si>
  <si>
    <t>DHOAX US</t>
  </si>
  <si>
    <t>TIAA-CREF High Yield Fund</t>
  </si>
  <si>
    <t>TIHYX US</t>
  </si>
  <si>
    <t>Fidelity High Income Fund</t>
  </si>
  <si>
    <t>SPHIX US</t>
  </si>
  <si>
    <t>TCW High Yield Bond Fund</t>
  </si>
  <si>
    <t>TGHYX US</t>
  </si>
  <si>
    <t>T Rowe Price High Yield Fund Inc</t>
  </si>
  <si>
    <t>PRHYX US</t>
  </si>
  <si>
    <t>USAA High Income Fund</t>
  </si>
  <si>
    <t>USHYX US</t>
  </si>
  <si>
    <t>Guggenheim High Yield Fund</t>
  </si>
  <si>
    <t>SHYIX US</t>
  </si>
  <si>
    <t>BrandywineGLOBAL - Global High Yield Fund</t>
  </si>
  <si>
    <t>LMZIX US</t>
  </si>
  <si>
    <t>Principal Funds Income High Yield Fund</t>
  </si>
  <si>
    <t>PHYTX US</t>
  </si>
  <si>
    <t>Morgan Stanley Institutional Fund Trust - High Yield Portfolio</t>
  </si>
  <si>
    <t>MSYIX US</t>
  </si>
  <si>
    <t>Lord Abbett High Yield Fund</t>
  </si>
  <si>
    <t>LHYAX US</t>
  </si>
  <si>
    <t>Payden High Income Fund</t>
  </si>
  <si>
    <t>PYHRX US</t>
  </si>
  <si>
    <t>Federated Hermes Opportunistic High Yield Bond Fund</t>
  </si>
  <si>
    <t>FHYTX US</t>
  </si>
  <si>
    <t>American Beacon SiM High Yield Opportunities Fund</t>
  </si>
  <si>
    <t>SHOAX US</t>
  </si>
  <si>
    <t>Federated Hermes High Income B</t>
  </si>
  <si>
    <t>FHIIX US</t>
  </si>
  <si>
    <t>DWS High Income Fund</t>
  </si>
  <si>
    <t>KHYAX US</t>
  </si>
  <si>
    <t>Nuveen High Yield Income Fund</t>
  </si>
  <si>
    <t>NCOAX US</t>
  </si>
  <si>
    <t>Hartford High Yield Fund/The</t>
  </si>
  <si>
    <t>HAHAX US</t>
  </si>
  <si>
    <t>Loomis Sayles High Income Fund</t>
  </si>
  <si>
    <t>NEFHX US</t>
  </si>
  <si>
    <t>Putnam High Yield Fund</t>
  </si>
  <si>
    <t>PHYIX US</t>
  </si>
  <si>
    <t>Western Asset Global High Yield Bond Fund</t>
  </si>
  <si>
    <t>SAHYX US</t>
  </si>
  <si>
    <t>Nationwide Amundi Global High Yield Fund</t>
  </si>
  <si>
    <t>NWXIX US</t>
  </si>
  <si>
    <t>Pax High Yield Bond Fund</t>
  </si>
  <si>
    <t>PAXHX US</t>
  </si>
  <si>
    <t>Macquarie High Yield Bond Portfolio</t>
  </si>
  <si>
    <t>DPHYX US</t>
  </si>
  <si>
    <t>1290 High Yield Bond Fund</t>
  </si>
  <si>
    <t>TNHAX US</t>
  </si>
  <si>
    <t>Ivy High Income Fund</t>
  </si>
  <si>
    <t>WHIAX US</t>
  </si>
  <si>
    <t>Northern Multi-Manager High Yield Opportunity Fund</t>
  </si>
  <si>
    <t>NMHYX US</t>
  </si>
  <si>
    <t>Pacific Funds Strategic Income</t>
  </si>
  <si>
    <t>PLSRX US</t>
  </si>
  <si>
    <t>PIA High Yield Fund</t>
  </si>
  <si>
    <t>PHYSX US</t>
  </si>
  <si>
    <t>Angel Oak High Yield Opportunities Fund</t>
  </si>
  <si>
    <t>ANHAX US</t>
  </si>
  <si>
    <t>SEI Institutional Managed Trust - High Yield Bond Fund</t>
  </si>
  <si>
    <t>SHYAX US</t>
  </si>
  <si>
    <t>Hartford Strategic Income Fund</t>
  </si>
  <si>
    <t>HSNAX US</t>
  </si>
  <si>
    <t>DWS Global High Income Fund</t>
  </si>
  <si>
    <t>MGHYX US</t>
  </si>
  <si>
    <t>Virtus Seix High Income Fund</t>
  </si>
  <si>
    <t>SAHIX US</t>
  </si>
  <si>
    <t>John Hancock Funds II - U.S. High Yield Bond Fund</t>
  </si>
  <si>
    <t>JIHLX US</t>
  </si>
  <si>
    <t>Integrity High Income Fund</t>
  </si>
  <si>
    <t>IHFAX US</t>
  </si>
  <si>
    <t>T Rowe Price Institutional High Yield Fund</t>
  </si>
  <si>
    <t>TRHYX US</t>
  </si>
  <si>
    <t>Pacific Funds High Income</t>
  </si>
  <si>
    <t>PLHIX US</t>
  </si>
  <si>
    <t>American High-Income Trust</t>
  </si>
  <si>
    <t>AHITX US</t>
  </si>
  <si>
    <t>Federated Hermes Institutional High Yield Bond Fund</t>
  </si>
  <si>
    <t>FIHBX US</t>
  </si>
  <si>
    <t>BlackRock High Yield Bond Portfolio</t>
  </si>
  <si>
    <t>BHYIX US</t>
  </si>
  <si>
    <t>T Rowe Price Credit Opportunities Fund Inc</t>
  </si>
  <si>
    <t>PAOPX US</t>
  </si>
  <si>
    <t>Nuveen Credit Income Fund</t>
  </si>
  <si>
    <t>FJSIX US</t>
  </si>
  <si>
    <t>RBC BlueBay High Yield Bond Fund</t>
  </si>
  <si>
    <t>RGHYX US</t>
  </si>
  <si>
    <t>PACE High Yield Investments</t>
  </si>
  <si>
    <t>PHDYX US</t>
  </si>
  <si>
    <t>Manning &amp; Napier High Yield Bond Series</t>
  </si>
  <si>
    <t>MNHYX US</t>
  </si>
  <si>
    <t>Western Asset High Yield Fund</t>
  </si>
  <si>
    <t>WAHYX US</t>
  </si>
  <si>
    <t>Virtus Seix High Yield Fund</t>
  </si>
  <si>
    <t>SAMHX US</t>
  </si>
  <si>
    <t>PIMCO High Yield Spectrum Fund</t>
  </si>
  <si>
    <t>PHSIX US</t>
  </si>
  <si>
    <t>Fidelity Series High Income Fund</t>
  </si>
  <si>
    <t>FSHNX US</t>
  </si>
  <si>
    <t>John Hancock Funds II - High Yield Fund</t>
  </si>
  <si>
    <t>JIHDX US</t>
  </si>
  <si>
    <t>PGIM High Yield Fund</t>
  </si>
  <si>
    <t>PBHAX US</t>
  </si>
  <si>
    <t>T Rowe Price Global High Income Bond Fund</t>
  </si>
  <si>
    <t>RPIHX US</t>
  </si>
  <si>
    <t>SEI Institutional Investment Trust - High Yield Bond Fund</t>
  </si>
  <si>
    <t>SGYAX US</t>
  </si>
  <si>
    <t>HC Capital Trust - HC The Corporate Opportunities</t>
  </si>
  <si>
    <t>HCHYX US</t>
  </si>
  <si>
    <t>T Rowe Price US High Yield Fund</t>
  </si>
  <si>
    <t>TUHAX US</t>
  </si>
  <si>
    <t>AB FlexFee High Yield Portfolio</t>
  </si>
  <si>
    <t>HIYYX US</t>
  </si>
  <si>
    <t>FIDELITY ADVISOR SERIES I - Fidelity Advisor High Income Advantage Fund</t>
  </si>
  <si>
    <t>FAHYX US</t>
  </si>
  <si>
    <t>Great-West High Yield Bond Fund</t>
  </si>
  <si>
    <t>MXHYX US</t>
  </si>
  <si>
    <t>Franklin High Income Fund/United States</t>
  </si>
  <si>
    <t>FHAIX US</t>
  </si>
  <si>
    <t>Fidelity Capital &amp; Income Fund</t>
  </si>
  <si>
    <t>FAGIX US</t>
  </si>
  <si>
    <t>Loomis Sayles High Income Opportunities Fund</t>
  </si>
  <si>
    <t>LSIOX US</t>
  </si>
  <si>
    <t>Artisan High Income Fund</t>
  </si>
  <si>
    <t>APDFX US</t>
  </si>
  <si>
    <t>Victory High Yield Fund</t>
  </si>
  <si>
    <t>GUHYX US</t>
  </si>
  <si>
    <t>Catalyst/SMH High Income Fund</t>
  </si>
  <si>
    <t>HIIFX US</t>
  </si>
  <si>
    <t>American Funds Global High-Income Opportunities Fund</t>
  </si>
  <si>
    <t>GHIAX US</t>
  </si>
  <si>
    <t>Pioneer Corporate High Yield Fund</t>
  </si>
  <si>
    <t>RCRAX US</t>
  </si>
  <si>
    <t>Muzinich US High Yield Corporate Bond Fund</t>
  </si>
  <si>
    <t>MZHSX US</t>
  </si>
  <si>
    <t>HIMCO VIT High Yield Bond Fund</t>
  </si>
  <si>
    <t>HVHYX US</t>
  </si>
  <si>
    <t>Diamond Hill High Yield Fund</t>
  </si>
  <si>
    <t>DHHAX US</t>
  </si>
  <si>
    <t>Direxion Monthly High Yield Bull 1.2X Fund</t>
  </si>
  <si>
    <t>DXHYX US</t>
  </si>
  <si>
    <t>Eaton Vance Advisers Senior Floating-Rate Fund</t>
  </si>
  <si>
    <t>EVAASFL US</t>
  </si>
  <si>
    <t>Ivy ProShares Interest Rate Hedged High Yield Index Fund</t>
  </si>
  <si>
    <t>IAIRX US</t>
  </si>
  <si>
    <t>Penn Capital Defensive Short Duration High Income Fund</t>
  </si>
  <si>
    <t>PSHNX US</t>
  </si>
  <si>
    <t>American Century NT High Income Fund</t>
  </si>
  <si>
    <t>AHGNX US</t>
  </si>
  <si>
    <t>Ivy PineBridge High Yield Fund</t>
  </si>
  <si>
    <t>IPNAX US</t>
  </si>
  <si>
    <t>PPM High Yield Core Fund</t>
  </si>
  <si>
    <t>PKHIX US</t>
  </si>
  <si>
    <t>AQR High Yield Bond Fund</t>
  </si>
  <si>
    <t>QHYIX US</t>
  </si>
  <si>
    <t>PIA High Yield MACS Fund</t>
  </si>
  <si>
    <t>PIAMX US</t>
  </si>
  <si>
    <t>American Century High Income Fund</t>
  </si>
  <si>
    <t>AHIAX US</t>
  </si>
  <si>
    <t>Crossingbridge Low Duration High Yield Fund</t>
  </si>
  <si>
    <t>CBLDX US</t>
  </si>
  <si>
    <t>GMO High Yield Fund</t>
  </si>
  <si>
    <t>GHVIX US</t>
  </si>
  <si>
    <t>Mesirow Financial High Yield Fund</t>
  </si>
  <si>
    <t>MFHIX US</t>
  </si>
  <si>
    <t>Hatteras Reinsurance Fund</t>
  </si>
  <si>
    <t>HREIX US</t>
  </si>
  <si>
    <t>Six Circles Credit Opportunities Fund</t>
  </si>
  <si>
    <t>CRDOX US</t>
  </si>
  <si>
    <t>Transamerica High Yield ESG</t>
  </si>
  <si>
    <t>TACBX US</t>
  </si>
  <si>
    <t>Astor Dynamic Credit Fund</t>
  </si>
  <si>
    <t>ACRFX US</t>
  </si>
  <si>
    <t>John Hancock Managed Account Shares Non-Investment-Grade Corporate Bond Port</t>
  </si>
  <si>
    <t>JMADX US</t>
  </si>
  <si>
    <t>Kensington Managed Income Fund</t>
  </si>
  <si>
    <t>KAMAX US</t>
  </si>
  <si>
    <t>Sierra Tactical Bond Fund</t>
  </si>
  <si>
    <t>STBKX US</t>
  </si>
  <si>
    <t>Federated Hermes SDG Engagement High Yield Credit Fund</t>
  </si>
  <si>
    <t>FHHIX US</t>
  </si>
  <si>
    <t>BondHouse Diversified Income Fund</t>
  </si>
  <si>
    <t>BHDIX US</t>
  </si>
  <si>
    <t>BondHouse High Income Fund</t>
  </si>
  <si>
    <t>BHHGX US</t>
  </si>
  <si>
    <t>Lord Abbett Short Duration High Yield Fund</t>
  </si>
  <si>
    <t>LSYAX US</t>
  </si>
  <si>
    <t>Tactical Offensive Enhanced Fixed Income Fund</t>
  </si>
  <si>
    <t>TCOBX US</t>
  </si>
  <si>
    <t>VALIC Company I - High Yield Bond Fund</t>
  </si>
  <si>
    <t>VHYLX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</si>
</sst>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8.2711330000000007</v>
        <stp/>
        <stp>##V3_BDPV12</stp>
        <stp>SCFAX US Equity</stp>
        <stp>CUST_TRR_RETURN_ANNUALIZED</stp>
        <stp>[grid1_3gmijm1c.xlsx]Worksheet!R9C3</stp>
        <stp>CUST_TRR_START_DT=20200626</stp>
        <stp>CUST_TRR_END_DT=20201226</stp>
        <tr r="C9" s="2"/>
      </tp>
      <tp>
        <v>1.1901330000000001</v>
        <stp/>
        <stp>##V3_BDPV12</stp>
        <stp>STBKX US Equity</stp>
        <stp>LAST_CLOSE_TRR_1MO</stp>
        <stp>[grid1_3gmijm1c.xlsx]Worksheet!R171C4</stp>
        <tr r="D171" s="2"/>
      </tp>
      <tp>
        <v>2.7859729999999998</v>
        <stp/>
        <stp>##V3_BDPV12</stp>
        <stp>STBKX US Equity</stp>
        <stp>LAST_CLOSE_TRR_3MO</stp>
        <stp>[grid1_3gmijm1c.xlsx]Worksheet!R171C5</stp>
        <tr r="E171" s="2"/>
      </tp>
      <tp>
        <v>9.3197720000000004</v>
        <stp/>
        <stp>##V3_BDPV12</stp>
        <stp>SAMHX US Equity</stp>
        <stp>LAST_CLOSE_TRR_1YR</stp>
        <stp>[grid1_3gmijm1c.xlsx]Worksheet!R129C7</stp>
        <tr r="G129" s="2"/>
      </tp>
      <tp>
        <v>6.6681800000000004</v>
        <stp/>
        <stp>##V3_BDPV12</stp>
        <stp>SAMHX US Equity</stp>
        <stp>LAST_CLOSE_TRR_3YR</stp>
        <stp>[grid1_3gmijm1c.xlsx]Worksheet!R129C8</stp>
        <tr r="H129" s="2"/>
      </tp>
      <tp>
        <v>8.0240349999999996</v>
        <stp/>
        <stp>##V3_BDPV12</stp>
        <stp>SAMHX US Equity</stp>
        <stp>LAST_CLOSE_TRR_5YR</stp>
        <stp>[grid1_3gmijm1c.xlsx]Worksheet!R129C9</stp>
        <tr r="I129" s="2"/>
      </tp>
      <tp>
        <v>7.8215599999999998</v>
        <stp/>
        <stp>##V3_BDPV12</stp>
        <stp>AHITX US Equity</stp>
        <stp>LAST_CLOSE_TRR_5YR</stp>
        <stp>[grid1_3gmijm1c.xlsx]Worksheet!R120C9</stp>
        <tr r="I120" s="2"/>
      </tp>
      <tp>
        <v>5.3263689999999997</v>
        <stp/>
        <stp>##V3_BDPV12</stp>
        <stp>AHITX US Equity</stp>
        <stp>LAST_CLOSE_TRR_3YR</stp>
        <stp>[grid1_3gmijm1c.xlsx]Worksheet!R120C8</stp>
        <tr r="H120" s="2"/>
      </tp>
      <tp>
        <v>6.399076</v>
        <stp/>
        <stp>##V3_BDPV12</stp>
        <stp>AHITX US Equity</stp>
        <stp>LAST_CLOSE_TRR_1YR</stp>
        <stp>[grid1_3gmijm1c.xlsx]Worksheet!R120C7</stp>
        <tr r="G120" s="2"/>
      </tp>
      <tp>
        <v>5.4010129999999998</v>
        <stp/>
        <stp>##V3_BDPV12</stp>
        <stp>TNHAX US Equity</stp>
        <stp>LAST_CLOSE_TRR_3YR</stp>
        <stp>[grid1_3gmijm1c.xlsx]Worksheet!R106C8</stp>
        <tr r="H106" s="2"/>
      </tp>
      <tp>
        <v>5.6528729999999996</v>
        <stp/>
        <stp>##V3_BDPV12</stp>
        <stp>FIHBX US Equity</stp>
        <stp>LAST_CLOSE_TRR_3YR</stp>
        <stp>[grid1_3gmijm1c.xlsx]Worksheet!R121C8</stp>
        <tr r="H121" s="2"/>
      </tp>
      <tp>
        <v>7.8283310000000004</v>
        <stp/>
        <stp>##V3_BDPV12</stp>
        <stp>FIHBX US Equity</stp>
        <stp>LAST_CLOSE_TRR_5YR</stp>
        <stp>[grid1_3gmijm1c.xlsx]Worksheet!R121C9</stp>
        <tr r="I121" s="2"/>
      </tp>
      <tp>
        <v>7.5294730000000003</v>
        <stp/>
        <stp>##V3_BDPV12</stp>
        <stp>TNHAX US Equity</stp>
        <stp>LAST_CLOSE_TRR_5YR</stp>
        <stp>[grid1_3gmijm1c.xlsx]Worksheet!R106C9</stp>
        <tr r="I106" s="2"/>
      </tp>
      <tp>
        <v>6.4635660000000001</v>
        <stp/>
        <stp>##V3_BDPV12</stp>
        <stp>TNHAX US Equity</stp>
        <stp>LAST_CLOSE_TRR_1YR</stp>
        <stp>[grid1_3gmijm1c.xlsx]Worksheet!R106C7</stp>
        <tr r="G106" s="2"/>
      </tp>
      <tp>
        <v>5.5327209999999996</v>
        <stp/>
        <stp>##V3_BDPV12</stp>
        <stp>FIHBX US Equity</stp>
        <stp>LAST_CLOSE_TRR_1YR</stp>
        <stp>[grid1_3gmijm1c.xlsx]Worksheet!R121C7</stp>
        <tr r="G121" s="2"/>
      </tp>
      <tp>
        <v>6.038087</v>
        <stp/>
        <stp>##V3_BDPV12</stp>
        <stp>DPHYX US Equity</stp>
        <stp>LAST_CLOSE_TRR_3MO</stp>
        <stp>[grid1_3gmijm1c.xlsx]Worksheet!R105C5</stp>
        <tr r="E105" s="2"/>
      </tp>
      <tp>
        <v>7.449198</v>
        <stp/>
        <stp>##V3_BDPV12</stp>
        <stp>FAHYX US Equity</stp>
        <stp>LAST_CLOSE_TRR_1YR</stp>
        <stp>[grid1_3gmijm1c.xlsx]Worksheet!R139C7</stp>
        <tr r="G139" s="2"/>
      </tp>
      <tp>
        <v>0.96908320000000003</v>
        <stp/>
        <stp>##V3_BDPV12</stp>
        <stp>DPHYX US Equity</stp>
        <stp>LAST_CLOSE_TRR_1MO</stp>
        <stp>[grid1_3gmijm1c.xlsx]Worksheet!R105C4</stp>
        <tr r="D105" s="2"/>
      </tp>
      <tp>
        <v>5.7556250000000002</v>
        <stp/>
        <stp>##V3_BDPV12</stp>
        <stp>FAHYX US Equity</stp>
        <stp>LAST_CLOSE_TRR_3YR</stp>
        <stp>[grid1_3gmijm1c.xlsx]Worksheet!R139C8</stp>
        <tr r="H139" s="2"/>
      </tp>
      <tp>
        <v>8.4616159999999994</v>
        <stp/>
        <stp>##V3_BDPV12</stp>
        <stp>FAHYX US Equity</stp>
        <stp>LAST_CLOSE_TRR_5YR</stp>
        <stp>[grid1_3gmijm1c.xlsx]Worksheet!R139C9</stp>
        <tr r="I139" s="2"/>
      </tp>
      <tp>
        <v>5.7835580000000002</v>
        <stp/>
        <stp>##V3_BDPV12</stp>
        <stp>PHSIX US Equity</stp>
        <stp>LAST_CLOSE_TRR_1YR</stp>
        <stp>[grid1_3gmijm1c.xlsx]Worksheet!R130C7</stp>
        <tr r="G130" s="2"/>
      </tp>
      <tp>
        <v>5.7617139999999996</v>
        <stp/>
        <stp>##V3_BDPV12</stp>
        <stp>PHSIX US Equity</stp>
        <stp>LAST_CLOSE_TRR_3YR</stp>
        <stp>[grid1_3gmijm1c.xlsx]Worksheet!R130C8</stp>
        <tr r="H130" s="2"/>
      </tp>
      <tp>
        <v>8.0506089999999997</v>
        <stp/>
        <stp>##V3_BDPV12</stp>
        <stp>PHSIX US Equity</stp>
        <stp>LAST_CLOSE_TRR_5YR</stp>
        <stp>[grid1_3gmijm1c.xlsx]Worksheet!R130C9</stp>
        <tr r="I130" s="2"/>
      </tp>
      <tp>
        <v>5.1484560000000004</v>
        <stp/>
        <stp>##V3_BDPV12</stp>
        <stp>PHYSX US Equity</stp>
        <stp>LAST_CLOSE_TRR_3YR</stp>
        <stp>[grid1_3gmijm1c.xlsx]Worksheet!R110C8</stp>
        <tr r="H110" s="2"/>
      </tp>
      <tp>
        <v>7.5807950000000002</v>
        <stp/>
        <stp>##V3_BDPV12</stp>
        <stp>PHYSX US Equity</stp>
        <stp>LAST_CLOSE_TRR_5YR</stp>
        <stp>[grid1_3gmijm1c.xlsx]Worksheet!R110C9</stp>
        <tr r="I110" s="2"/>
      </tp>
      <tp>
        <v>7.9017020000000002</v>
        <stp/>
        <stp>##V3_BDPV12</stp>
        <stp>PHYSX US Equity</stp>
        <stp>LAST_CLOSE_TRR_1YR</stp>
        <stp>[grid1_3gmijm1c.xlsx]Worksheet!R110C7</stp>
        <tr r="G110" s="2"/>
      </tp>
      <tp>
        <v>1.0270300000000001</v>
        <stp/>
        <stp>##V3_BDPV12</stp>
        <stp>CRDOX US Equity</stp>
        <stp>LAST_CLOSE_TRR_1MO</stp>
        <stp>[grid1_3gmijm1c.xlsx]Worksheet!R166C4</stp>
        <tr r="D166" s="2"/>
      </tp>
      <tp>
        <v>4.4116920000000004</v>
        <stp/>
        <stp>##V3_BDPV12</stp>
        <stp>CRDOX US Equity</stp>
        <stp>LAST_CLOSE_TRR_3MO</stp>
        <stp>[grid1_3gmijm1c.xlsx]Worksheet!R166C5</stp>
        <tr r="E166" s="2"/>
      </tp>
      <tp>
        <v>2.565995</v>
        <stp/>
        <stp>##V3_BDPV12</stp>
        <stp>APDFX US Equity</stp>
        <stp>LAST_CLOSE_TRR_1MO</stp>
        <stp>[grid1_3gmijm1c.xlsx]Worksheet!R144C4</stp>
        <tr r="D144" s="2"/>
      </tp>
      <tp>
        <v>7.7587929999999998</v>
        <stp/>
        <stp>##V3_BDPV12</stp>
        <stp>APDFX US Equity</stp>
        <stp>LAST_CLOSE_TRR_3MO</stp>
        <stp>[grid1_3gmijm1c.xlsx]Worksheet!R144C5</stp>
        <tr r="E144" s="2"/>
      </tp>
      <tp>
        <v>15.15901</v>
        <stp/>
        <stp>##V3_BDPV12</stp>
        <stp>HYSAX US Equity</stp>
        <stp>CUST_TRR_RETURN_ANNUALIZED</stp>
        <stp>[grid1_3gmijm1c.xlsx]Worksheet!R24C3</stp>
        <stp>CUST_TRR_START_DT=20200626</stp>
        <stp>CUST_TRR_END_DT=20201226</stp>
        <tr r="C24" s="2"/>
      </tp>
      <tp>
        <v>8.8734850000000005</v>
        <stp/>
        <stp>##V3_BDPV12</stp>
        <stp>PIAMX US Equity</stp>
        <stp>LAST_CLOSE_TRR_1YR</stp>
        <stp>[grid1_3gmijm1c.xlsx]Worksheet!R160C7</stp>
        <tr r="G160" s="2"/>
      </tp>
      <tp>
        <v>6.1711559999999999</v>
        <stp/>
        <stp>##V3_BDPV12</stp>
        <stp>FHAIX US Equity</stp>
        <stp>LAST_CLOSE_TRR_1YR</stp>
        <stp>[grid1_3gmijm1c.xlsx]Worksheet!R141C7</stp>
        <tr r="G141" s="2"/>
      </tp>
      <tp>
        <v>5.596006</v>
        <stp/>
        <stp>##V3_BDPV12</stp>
        <stp>FHAIX US Equity</stp>
        <stp>LAST_CLOSE_TRR_3YR</stp>
        <stp>[grid1_3gmijm1c.xlsx]Worksheet!R141C8</stp>
        <tr r="H141" s="2"/>
      </tp>
      <tp t="s">
        <v>#N/A N/A</v>
        <stp/>
        <stp>##V3_BDPV12</stp>
        <stp>PIAMX US Equity</stp>
        <stp>LAST_CLOSE_TRR_5YR</stp>
        <stp>[grid1_3gmijm1c.xlsx]Worksheet!R160C9</stp>
        <tr r="I160" s="2"/>
      </tp>
      <tp t="s">
        <v>#N/A N/A</v>
        <stp/>
        <stp>##V3_BDPV12</stp>
        <stp>PIAMX US Equity</stp>
        <stp>LAST_CLOSE_TRR_3YR</stp>
        <stp>[grid1_3gmijm1c.xlsx]Worksheet!R160C8</stp>
        <tr r="H160" s="2"/>
      </tp>
      <tp>
        <v>8.5282999999999998</v>
        <stp/>
        <stp>##V3_BDPV12</stp>
        <stp>FHAIX US Equity</stp>
        <stp>LAST_CLOSE_TRR_5YR</stp>
        <stp>[grid1_3gmijm1c.xlsx]Worksheet!R141C9</stp>
        <tr r="I141" s="2"/>
      </tp>
      <tp>
        <v>5.4098860000000002</v>
        <stp/>
        <stp>##V3_BDPV12</stp>
        <stp>AHIAX US Equity</stp>
        <stp>LAST_CLOSE_TRR_3YR</stp>
        <stp>[grid1_3gmijm1c.xlsx]Worksheet!R161C8</stp>
        <tr r="H161" s="2"/>
      </tp>
      <tp>
        <v>6.5276699999999996</v>
        <stp/>
        <stp>##V3_BDPV12</stp>
        <stp>RPIHX US Equity</stp>
        <stp>LAST_CLOSE_TRR_3MO</stp>
        <stp>[grid1_3gmijm1c.xlsx]Worksheet!R134C5</stp>
        <tr r="E134" s="2"/>
      </tp>
      <tp t="s">
        <v>#N/A N/A</v>
        <stp/>
        <stp>##V3_BDPV12</stp>
        <stp>AHIAX US Equity</stp>
        <stp>LAST_CLOSE_TRR_5YR</stp>
        <stp>[grid1_3gmijm1c.xlsx]Worksheet!R161C9</stp>
        <tr r="I161" s="2"/>
      </tp>
      <tp>
        <v>1.6731849999999999</v>
        <stp/>
        <stp>##V3_BDPV12</stp>
        <stp>RPIHX US Equity</stp>
        <stp>LAST_CLOSE_TRR_1MO</stp>
        <stp>[grid1_3gmijm1c.xlsx]Worksheet!R134C4</stp>
        <tr r="D134" s="2"/>
      </tp>
      <tp>
        <v>7.085178</v>
        <stp/>
        <stp>##V3_BDPV12</stp>
        <stp>AHIAX US Equity</stp>
        <stp>LAST_CLOSE_TRR_1YR</stp>
        <stp>[grid1_3gmijm1c.xlsx]Worksheet!R161C7</stp>
        <tr r="G161" s="2"/>
      </tp>
      <tp>
        <v>22.573609999999999</v>
        <stp/>
        <stp>##V3_BDPV12</stp>
        <stp>MSYIX US Equity</stp>
        <stp>CUST_TRR_RETURN_ANNUALIZED</stp>
        <stp>[grid1_3gmijm1c.xlsx]Worksheet!R91C3</stp>
        <stp>CUST_TRR_START_DT=20200626</stp>
        <stp>CUST_TRR_END_DT=20201226</stp>
        <tr r="C91" s="2"/>
      </tp>
      <tp>
        <v>9.4108339999999995</v>
        <stp/>
        <stp>##V3_BDPV12</stp>
        <stp>DHHAX US Equity</stp>
        <stp>LAST_CLOSE_TRR_3YR</stp>
        <stp>[grid1_3gmijm1c.xlsx]Worksheet!R151C8</stp>
        <tr r="H151" s="2"/>
      </tp>
      <tp t="s">
        <v>#N/A N/A</v>
        <stp/>
        <stp>##V3_BDPV12</stp>
        <stp>DHHAX US Equity</stp>
        <stp>LAST_CLOSE_TRR_5YR</stp>
        <stp>[grid1_3gmijm1c.xlsx]Worksheet!R151C9</stp>
        <tr r="I151" s="2"/>
      </tp>
      <tp>
        <v>12.86267</v>
        <stp/>
        <stp>##V3_BDPV12</stp>
        <stp>DHHAX US Equity</stp>
        <stp>LAST_CLOSE_TRR_1YR</stp>
        <stp>[grid1_3gmijm1c.xlsx]Worksheet!R151C7</stp>
        <tr r="G151" s="2"/>
      </tp>
      <tp>
        <v>6.0842419999999997</v>
        <stp/>
        <stp>##V3_BDPV12</stp>
        <stp>WAHYX US Equity</stp>
        <stp>LAST_CLOSE_TRR_1YR</stp>
        <stp>[grid1_3gmijm1c.xlsx]Worksheet!R128C7</stp>
        <tr r="G128" s="2"/>
      </tp>
      <tp>
        <v>6.067564</v>
        <stp/>
        <stp>##V3_BDPV12</stp>
        <stp>MNHYX US Equity</stp>
        <stp>LAST_CLOSE_TRR_1YR</stp>
        <stp>[grid1_3gmijm1c.xlsx]Worksheet!R127C7</stp>
        <tr r="G127" s="2"/>
      </tp>
      <tp>
        <v>5.9007589999999999</v>
        <stp/>
        <stp>##V3_BDPV12</stp>
        <stp>WAHYX US Equity</stp>
        <stp>LAST_CLOSE_TRR_3YR</stp>
        <stp>[grid1_3gmijm1c.xlsx]Worksheet!R128C8</stp>
        <tr r="H128" s="2"/>
      </tp>
      <tp>
        <v>6.010732</v>
        <stp/>
        <stp>##V3_BDPV12</stp>
        <stp>MNHYX US Equity</stp>
        <stp>LAST_CLOSE_TRR_3YR</stp>
        <stp>[grid1_3gmijm1c.xlsx]Worksheet!R127C8</stp>
        <tr r="H127" s="2"/>
      </tp>
      <tp>
        <v>8.0049379999999992</v>
        <stp/>
        <stp>##V3_BDPV12</stp>
        <stp>WAHYX US Equity</stp>
        <stp>LAST_CLOSE_TRR_5YR</stp>
        <stp>[grid1_3gmijm1c.xlsx]Worksheet!R128C9</stp>
        <tr r="I128" s="2"/>
      </tp>
      <tp>
        <v>7.9982660000000001</v>
        <stp/>
        <stp>##V3_BDPV12</stp>
        <stp>MNHYX US Equity</stp>
        <stp>LAST_CLOSE_TRR_5YR</stp>
        <stp>[grid1_3gmijm1c.xlsx]Worksheet!R127C9</stp>
        <tr r="I127" s="2"/>
      </tp>
      <tp>
        <v>19.29975</v>
        <stp/>
        <stp>##V3_BDPV12</stp>
        <stp>INEAX US Equity</stp>
        <stp>CUST_TRR_RETURN_ANNUALIZED</stp>
        <stp>[grid1_3gmijm1c.xlsx]Worksheet!R55C3</stp>
        <stp>CUST_TRR_START_DT=20200626</stp>
        <stp>CUST_TRR_END_DT=20201226</stp>
        <tr r="C55" s="2"/>
      </tp>
      <tp>
        <v>19.946169999999999</v>
        <stp/>
        <stp>##V3_BDPV12</stp>
        <stp>KHYAX US Equity</stp>
        <stp>CUST_TRR_RETURN_ANNUALIZED</stp>
        <stp>[grid1_3gmijm1c.xlsx]Worksheet!R97C3</stp>
        <stp>CUST_TRR_START_DT=20200626</stp>
        <stp>CUST_TRR_END_DT=20201226</stp>
        <tr r="C97" s="2"/>
      </tp>
      <tp>
        <v>17.171849999999999</v>
        <stp/>
        <stp>##V3_BDPV12</stp>
        <stp>MKHCX US Equity</stp>
        <stp>CUST_TRR_RETURN_ANNUALIZED</stp>
        <stp>[grid1_3gmijm1c.xlsx]Worksheet!R41C3</stp>
        <stp>CUST_TRR_START_DT=20200626</stp>
        <stp>CUST_TRR_END_DT=20201226</stp>
        <tr r="C41" s="2"/>
      </tp>
      <tp>
        <v>5.9697930000000001</v>
        <stp/>
        <stp>##V3_BDPV12</stp>
        <stp>PHYIX US Equity</stp>
        <stp>LAST_CLOSE_TRR_1YR</stp>
        <stp>[grid1_3gmijm1c.xlsx]Worksheet!R101C7</stp>
        <tr r="G101" s="2"/>
      </tp>
      <tp>
        <v>5.2041240000000002</v>
        <stp/>
        <stp>##V3_BDPV12</stp>
        <stp>PHYIX US Equity</stp>
        <stp>LAST_CLOSE_TRR_3YR</stp>
        <stp>[grid1_3gmijm1c.xlsx]Worksheet!R101C8</stp>
        <tr r="H101" s="2"/>
      </tp>
      <tp>
        <v>7.4922550000000001</v>
        <stp/>
        <stp>##V3_BDPV12</stp>
        <stp>PHYIX US Equity</stp>
        <stp>LAST_CLOSE_TRR_5YR</stp>
        <stp>[grid1_3gmijm1c.xlsx]Worksheet!R101C9</stp>
        <tr r="I101" s="2"/>
      </tp>
      <tp>
        <v>7.378552</v>
        <stp/>
        <stp>##V3_BDPV12</stp>
        <stp>NWXIX US Equity</stp>
        <stp>LAST_CLOSE_TRR_3MO</stp>
        <stp>[grid1_3gmijm1c.xlsx]Worksheet!R103C5</stp>
        <tr r="E103" s="2"/>
      </tp>
      <tp>
        <v>1.8528340000000001</v>
        <stp/>
        <stp>##V3_BDPV12</stp>
        <stp>NWXIX US Equity</stp>
        <stp>LAST_CLOSE_TRR_1MO</stp>
        <stp>[grid1_3gmijm1c.xlsx]Worksheet!R103C4</stp>
        <tr r="D103" s="2"/>
      </tp>
      <tp>
        <v>2.961659</v>
        <stp/>
        <stp>##V3_BDPV12</stp>
        <stp>RPHIX US Equity</stp>
        <stp>CUST_TRR_RETURN_ANNUALIZED</stp>
        <stp>[grid1_3gmijm1c.xlsx]Worksheet!R3C3</stp>
        <stp>CUST_TRR_START_DT=20200626</stp>
        <stp>CUST_TRR_END_DT=20201226</stp>
        <tr r="C3" s="2"/>
      </tp>
      <tp>
        <v>-19.52524</v>
        <stp/>
        <stp>##V3_BDPV12</stp>
        <stp>RYIHX US Equity</stp>
        <stp>CUST_TRR_RETURN_ANNUALIZED</stp>
        <stp>[grid1_3gmijm1c.xlsx]Worksheet!R2C3</stp>
        <stp>CUST_TRR_START_DT=20200626</stp>
        <stp>CUST_TRR_END_DT=20201226</stp>
        <tr r="C2" s="2"/>
      </tp>
      <tp t="s">
        <v>#N/A N/A</v>
        <stp/>
        <stp>##V3_BDPV12</stp>
        <stp>HREIX US Equity</stp>
        <stp>LAST_CLOSE_TRR_3MO</stp>
        <stp>[grid1_3gmijm1c.xlsx]Worksheet!R165C5</stp>
        <tr r="E165" s="2"/>
      </tp>
      <tp t="s">
        <v>#N/A N/A</v>
        <stp/>
        <stp>##V3_BDPV12</stp>
        <stp>HREIX US Equity</stp>
        <stp>LAST_CLOSE_TRR_1MO</stp>
        <stp>[grid1_3gmijm1c.xlsx]Worksheet!R165C4</stp>
        <tr r="D165" s="2"/>
      </tp>
      <tp>
        <v>6.2707100000000002</v>
        <stp/>
        <stp>##V3_BDPV12</stp>
        <stp>IPNAX US Equity</stp>
        <stp>LAST_CLOSE_TRR_3MO</stp>
        <stp>[grid1_3gmijm1c.xlsx]Worksheet!R157C5</stp>
        <tr r="E157" s="2"/>
      </tp>
      <tp>
        <v>1.3748720000000001</v>
        <stp/>
        <stp>##V3_BDPV12</stp>
        <stp>IPNAX US Equity</stp>
        <stp>LAST_CLOSE_TRR_1MO</stp>
        <stp>[grid1_3gmijm1c.xlsx]Worksheet!R157C4</stp>
        <tr r="D157" s="2"/>
      </tp>
      <tp>
        <v>6.8491059999999999</v>
        <stp/>
        <stp>##V3_BDPV12</stp>
        <stp>FHHIX US Equity</stp>
        <stp>LAST_CLOSE_TRR_1YR</stp>
        <stp>[grid1_3gmijm1c.xlsx]Worksheet!R172C7</stp>
        <tr r="G172" s="2"/>
      </tp>
      <tp t="s">
        <v>#N/A N/A</v>
        <stp/>
        <stp>##V3_BDPV12</stp>
        <stp>FHHIX US Equity</stp>
        <stp>LAST_CLOSE_TRR_3YR</stp>
        <stp>[grid1_3gmijm1c.xlsx]Worksheet!R172C8</stp>
        <tr r="H172" s="2"/>
      </tp>
      <tp t="s">
        <v>#N/A N/A</v>
        <stp/>
        <stp>##V3_BDPV12</stp>
        <stp>FHHIX US Equity</stp>
        <stp>LAST_CLOSE_TRR_5YR</stp>
        <stp>[grid1_3gmijm1c.xlsx]Worksheet!R172C9</stp>
        <tr r="I172" s="2"/>
      </tp>
      <tp>
        <v>22.1981</v>
        <stp/>
        <stp>##V3_BDPV12</stp>
        <stp>FEHAX US Equity</stp>
        <stp>CUST_TRR_RETURN_ANNUALIZED</stp>
        <stp>[grid1_3gmijm1c.xlsx]Worksheet!R69C3</stp>
        <stp>CUST_TRR_START_DT=20200626</stp>
        <stp>CUST_TRR_END_DT=20201226</stp>
        <tr r="C69" s="2"/>
      </tp>
      <tp>
        <v>13.617010000000001</v>
        <stp/>
        <stp>##V3_BDPV12</stp>
        <stp>MDHAX US Equity</stp>
        <stp>CUST_TRR_RETURN_ANNUALIZED</stp>
        <stp>[grid1_3gmijm1c.xlsx]Worksheet!R22C3</stp>
        <stp>CUST_TRR_START_DT=20200626</stp>
        <stp>CUST_TRR_END_DT=20201226</stp>
        <tr r="C22" s="2"/>
      </tp>
      <tp>
        <v>4.6647369999999997</v>
        <stp/>
        <stp>##V3_BDPV12</stp>
        <stp>SHYAX US Equity</stp>
        <stp>LAST_CLOSE_TRR_3YR</stp>
        <stp>[grid1_3gmijm1c.xlsx]Worksheet!R112C8</stp>
        <tr r="H112" s="2"/>
      </tp>
      <tp>
        <v>5.2979849999999997</v>
        <stp/>
        <stp>##V3_BDPV12</stp>
        <stp>BHYIX US Equity</stp>
        <stp>LAST_CLOSE_TRR_1YR</stp>
        <stp>[grid1_3gmijm1c.xlsx]Worksheet!R122C7</stp>
        <tr r="G122" s="2"/>
      </tp>
      <tp>
        <v>7.6206480000000001</v>
        <stp/>
        <stp>##V3_BDPV12</stp>
        <stp>SHYAX US Equity</stp>
        <stp>LAST_CLOSE_TRR_5YR</stp>
        <stp>[grid1_3gmijm1c.xlsx]Worksheet!R112C9</stp>
        <tr r="I112" s="2"/>
      </tp>
      <tp>
        <v>5.8131250000000003</v>
        <stp/>
        <stp>##V3_BDPV12</stp>
        <stp>BHYIX US Equity</stp>
        <stp>LAST_CLOSE_TRR_3YR</stp>
        <stp>[grid1_3gmijm1c.xlsx]Worksheet!R122C8</stp>
        <tr r="H122" s="2"/>
      </tp>
      <tp>
        <v>4.6735730000000002</v>
        <stp/>
        <stp>##V3_BDPV12</stp>
        <stp>SHYAX US Equity</stp>
        <stp>LAST_CLOSE_TRR_1YR</stp>
        <stp>[grid1_3gmijm1c.xlsx]Worksheet!R112C7</stp>
        <tr r="G112" s="2"/>
      </tp>
      <tp>
        <v>7.8323070000000001</v>
        <stp/>
        <stp>##V3_BDPV12</stp>
        <stp>BHYIX US Equity</stp>
        <stp>LAST_CLOSE_TRR_5YR</stp>
        <stp>[grid1_3gmijm1c.xlsx]Worksheet!R122C9</stp>
        <tr r="I122" s="2"/>
      </tp>
      <tp t="s">
        <v>#N/A N/A</v>
        <stp/>
        <stp>##V3_BDPV12</stp>
        <stp>BHDIX US Equity</stp>
        <stp>LAST_CLOSE_TRR_1YR</stp>
        <stp>[grid1_3gmijm1c.xlsx]Worksheet!R173C7</stp>
        <tr r="G173" s="2"/>
      </tp>
      <tp t="s">
        <v>#N/A N/A</v>
        <stp/>
        <stp>##V3_BDPV12</stp>
        <stp>BHDIX US Equity</stp>
        <stp>LAST_CLOSE_TRR_3YR</stp>
        <stp>[grid1_3gmijm1c.xlsx]Worksheet!R173C8</stp>
        <tr r="H173" s="2"/>
      </tp>
      <tp t="s">
        <v>#N/A N/A</v>
        <stp/>
        <stp>##V3_BDPV12</stp>
        <stp>BHDIX US Equity</stp>
        <stp>LAST_CLOSE_TRR_5YR</stp>
        <stp>[grid1_3gmijm1c.xlsx]Worksheet!R173C9</stp>
        <tr r="I173" s="2"/>
      </tp>
      <tp>
        <v>0.69293970000000005</v>
        <stp/>
        <stp>##V3_BDPV12</stp>
        <stp>PSHNX US Equity</stp>
        <stp>LAST_CLOSE_TRR_1MO</stp>
        <stp>[grid1_3gmijm1c.xlsx]Worksheet!R155C4</stp>
        <tr r="D155" s="2"/>
      </tp>
      <tp>
        <v>3.327448</v>
        <stp/>
        <stp>##V3_BDPV12</stp>
        <stp>PSHNX US Equity</stp>
        <stp>LAST_CLOSE_TRR_3MO</stp>
        <stp>[grid1_3gmijm1c.xlsx]Worksheet!R155C5</stp>
        <tr r="E155" s="2"/>
      </tp>
      <tp>
        <v>8.1698400000000007</v>
        <stp/>
        <stp>##V3_BDPV12</stp>
        <stp>JIHDX US Equity</stp>
        <stp>LAST_CLOSE_TRR_5YR</stp>
        <stp>[grid1_3gmijm1c.xlsx]Worksheet!R132C9</stp>
        <tr r="I132" s="2"/>
      </tp>
      <tp>
        <v>5.6750879999999997</v>
        <stp/>
        <stp>##V3_BDPV12</stp>
        <stp>JIHDX US Equity</stp>
        <stp>LAST_CLOSE_TRR_3YR</stp>
        <stp>[grid1_3gmijm1c.xlsx]Worksheet!R132C8</stp>
        <tr r="H132" s="2"/>
      </tp>
      <tp>
        <v>5.4672869999999998</v>
        <stp/>
        <stp>##V3_BDPV12</stp>
        <stp>JIHDX US Equity</stp>
        <stp>LAST_CLOSE_TRR_1YR</stp>
        <stp>[grid1_3gmijm1c.xlsx]Worksheet!R132C7</stp>
        <tr r="G132" s="2"/>
      </tp>
      <tp t="s">
        <v>#N/A N/A</v>
        <stp/>
        <stp>##V3_BDPV12</stp>
        <stp>HVHYX US Equity</stp>
        <stp>LAST_CLOSE_TRR_3MO</stp>
        <stp>[grid1_3gmijm1c.xlsx]Worksheet!R150C5</stp>
        <tr r="E150" s="2"/>
      </tp>
      <tp t="s">
        <v>#N/A N/A</v>
        <stp/>
        <stp>##V3_BDPV12</stp>
        <stp>HVHYX US Equity</stp>
        <stp>LAST_CLOSE_TRR_1MO</stp>
        <stp>[grid1_3gmijm1c.xlsx]Worksheet!R150C4</stp>
        <tr r="D150" s="2"/>
      </tp>
      <tp>
        <v>20.797730000000001</v>
        <stp/>
        <stp>##V3_BDPV12</stp>
        <stp>MRGIX US Equity</stp>
        <stp>CUST_TRR_RETURN_ANNUALIZED</stp>
        <stp>[grid1_3gmijm1c.xlsx]Worksheet!R23C3</stp>
        <stp>CUST_TRR_START_DT=20200626</stp>
        <stp>CUST_TRR_END_DT=20201226</stp>
        <tr r="C23" s="2"/>
      </tp>
      <tp>
        <v>5.1658989999999996</v>
        <stp/>
        <stp>##V3_BDPV12</stp>
        <stp>GHVIX US Equity</stp>
        <stp>LAST_CLOSE_TRR_1YR</stp>
        <stp>[grid1_3gmijm1c.xlsx]Worksheet!R163C7</stp>
        <tr r="G163" s="2"/>
      </tp>
      <tp t="s">
        <v>#N/A N/A</v>
        <stp/>
        <stp>##V3_BDPV12</stp>
        <stp>GHVIX US Equity</stp>
        <stp>LAST_CLOSE_TRR_3YR</stp>
        <stp>[grid1_3gmijm1c.xlsx]Worksheet!R163C8</stp>
        <tr r="H163" s="2"/>
      </tp>
      <tp t="s">
        <v>#N/A N/A</v>
        <stp/>
        <stp>##V3_BDPV12</stp>
        <stp>GHVIX US Equity</stp>
        <stp>LAST_CLOSE_TRR_5YR</stp>
        <stp>[grid1_3gmijm1c.xlsx]Worksheet!R163C9</stp>
        <tr r="I163" s="2"/>
      </tp>
      <tp>
        <v>1.0032509999999999</v>
        <stp/>
        <stp>##V3_BDPV12</stp>
        <stp>RCRAX US Equity</stp>
        <stp>LAST_CLOSE_TRR_3YR</stp>
        <stp>[grid1_3gmijm1c.xlsx]Worksheet!R148C8</stp>
        <tr r="H148" s="2"/>
      </tp>
      <tp t="s">
        <v>#N/A N/A</v>
        <stp/>
        <stp>##V3_BDPV12</stp>
        <stp>ACRFX US Equity</stp>
        <stp>LAST_CLOSE_TRR_5YR</stp>
        <stp>[grid1_3gmijm1c.xlsx]Worksheet!R168C9</stp>
        <tr r="I168" s="2"/>
      </tp>
      <tp t="s">
        <v>#N/A N/A</v>
        <stp/>
        <stp>##V3_BDPV12</stp>
        <stp>RCRAX US Equity</stp>
        <stp>LAST_CLOSE_TRR_5YR</stp>
        <stp>[grid1_3gmijm1c.xlsx]Worksheet!R148C9</stp>
        <tr r="I148" s="2"/>
      </tp>
      <tp t="s">
        <v>#N/A N/A</v>
        <stp/>
        <stp>##V3_BDPV12</stp>
        <stp>ACRFX US Equity</stp>
        <stp>LAST_CLOSE_TRR_3YR</stp>
        <stp>[grid1_3gmijm1c.xlsx]Worksheet!R168C8</stp>
        <tr r="H168" s="2"/>
      </tp>
      <tp t="s">
        <v>#N/A N/A</v>
        <stp/>
        <stp>##V3_BDPV12</stp>
        <stp>ACRFX US Equity</stp>
        <stp>LAST_CLOSE_TRR_1YR</stp>
        <stp>[grid1_3gmijm1c.xlsx]Worksheet!R168C7</stp>
        <tr r="G168" s="2"/>
      </tp>
      <tp>
        <v>-7.8904290000000001</v>
        <stp/>
        <stp>##V3_BDPV12</stp>
        <stp>RCRAX US Equity</stp>
        <stp>LAST_CLOSE_TRR_1YR</stp>
        <stp>[grid1_3gmijm1c.xlsx]Worksheet!R148C7</stp>
        <tr r="G148" s="2"/>
      </tp>
      <tp>
        <v>16.32292</v>
        <stp/>
        <stp>##V3_BDPV12</stp>
        <stp>MHITX US Equity</stp>
        <stp>CUST_TRR_RETURN_ANNUALIZED</stp>
        <stp>[grid1_3gmijm1c.xlsx]Worksheet!R63C3</stp>
        <stp>CUST_TRR_START_DT=20200626</stp>
        <stp>CUST_TRR_END_DT=20201226</stp>
        <tr r="C63" s="2"/>
      </tp>
      <tp>
        <v>26.610230000000001</v>
        <stp/>
        <stp>##V3_BDPV12</stp>
        <stp>LHYAX US Equity</stp>
        <stp>CUST_TRR_RETURN_ANNUALIZED</stp>
        <stp>[grid1_3gmijm1c.xlsx]Worksheet!R92C3</stp>
        <stp>CUST_TRR_START_DT=20200626</stp>
        <stp>CUST_TRR_END_DT=20201226</stp>
        <tr r="C92" s="2"/>
      </tp>
      <tp>
        <v>24.109829999999999</v>
        <stp/>
        <stp>##V3_BDPV12</stp>
        <stp>JHYAX US Equity</stp>
        <stp>CUST_TRR_RETURN_ANNUALIZED</stp>
        <stp>[grid1_3gmijm1c.xlsx]Worksheet!R64C3</stp>
        <stp>CUST_TRR_START_DT=20200626</stp>
        <stp>CUST_TRR_END_DT=20201226</stp>
        <tr r="C64" s="2"/>
      </tp>
      <tp>
        <v>5.619764</v>
        <stp/>
        <stp>##V3_BDPV12</stp>
        <stp>LSYAX US Equity</stp>
        <stp>LAST_CLOSE_TRR_3MO</stp>
        <stp>[grid1_3gmijm1c.xlsx]Worksheet!R175C5</stp>
        <tr r="E175" s="2"/>
      </tp>
      <tp>
        <v>1.2852330000000001</v>
        <stp/>
        <stp>##V3_BDPV12</stp>
        <stp>LSYAX US Equity</stp>
        <stp>LAST_CLOSE_TRR_1MO</stp>
        <stp>[grid1_3gmijm1c.xlsx]Worksheet!R175C4</stp>
        <tr r="D175" s="2"/>
      </tp>
      <tp t="s">
        <v>#N/A N/A</v>
        <stp/>
        <stp>##V3_BDPV12</stp>
        <stp>BHHGX US Equity</stp>
        <stp>LAST_CLOSE_TRR_5YR</stp>
        <stp>[grid1_3gmijm1c.xlsx]Worksheet!R174C9</stp>
        <tr r="I174" s="2"/>
      </tp>
      <tp t="s">
        <v>#N/A N/A</v>
        <stp/>
        <stp>##V3_BDPV12</stp>
        <stp>BHHGX US Equity</stp>
        <stp>LAST_CLOSE_TRR_3YR</stp>
        <stp>[grid1_3gmijm1c.xlsx]Worksheet!R174C8</stp>
        <tr r="H174" s="2"/>
      </tp>
      <tp t="s">
        <v>#N/A N/A</v>
        <stp/>
        <stp>##V3_BDPV12</stp>
        <stp>BHHGX US Equity</stp>
        <stp>LAST_CLOSE_TRR_1YR</stp>
        <stp>[grid1_3gmijm1c.xlsx]Worksheet!R174C7</stp>
        <tr r="G174" s="2"/>
      </tp>
      <tp>
        <v>4.214499</v>
        <stp/>
        <stp>##V3_BDPV12</stp>
        <stp>TRHYX US Equity</stp>
        <stp>LAST_CLOSE_TRR_YTD</stp>
        <stp>[grid1_3gmijm1c.xlsx]Worksheet!R118C6</stp>
        <tr r="F118" s="2"/>
      </tp>
      <tp>
        <v>1.9601139999999999</v>
        <stp/>
        <stp>##V3_BDPV12</stp>
        <stp>DXHYX US Equity</stp>
        <stp>LAST_CLOSE_TRR_YTD</stp>
        <stp>[grid1_3gmijm1c.xlsx]Worksheet!R152C6</stp>
        <tr r="F152" s="2"/>
      </tp>
      <tp>
        <v>22.50142</v>
        <stp/>
        <stp>##V3_BDPV12</stp>
        <stp>NHINX US Equity</stp>
        <stp>CUST_TRR_RETURN_ANNUALIZED</stp>
        <stp>[grid1_3gmijm1c.xlsx]Worksheet!R77C3</stp>
        <stp>CUST_TRR_START_DT=20200626</stp>
        <stp>CUST_TRR_END_DT=20201226</stp>
        <tr r="C77" s="2"/>
      </tp>
      <tp>
        <v>21.007629999999999</v>
        <stp/>
        <stp>##V3_BDPV12</stp>
        <stp>IHYAX US Equity</stp>
        <stp>CUST_TRR_RETURN_ANNUALIZED</stp>
        <stp>[grid1_3gmijm1c.xlsx]Worksheet!R60C3</stp>
        <stp>CUST_TRR_START_DT=20200626</stp>
        <stp>CUST_TRR_END_DT=20201226</stp>
        <tr r="C60" s="2"/>
      </tp>
      <tp>
        <v>5.2092660000000004</v>
        <stp/>
        <stp>##V3_BDPV12</stp>
        <stp>HSNAX US Equity</stp>
        <stp>LAST_CLOSE_TRR_3MO</stp>
        <stp>[grid1_3gmijm1c.xlsx]Worksheet!R113C5</stp>
        <tr r="E113" s="2"/>
      </tp>
      <tp>
        <v>1.518108</v>
        <stp/>
        <stp>##V3_BDPV12</stp>
        <stp>HSNAX US Equity</stp>
        <stp>LAST_CLOSE_TRR_1MO</stp>
        <stp>[grid1_3gmijm1c.xlsx]Worksheet!R113C4</stp>
        <tr r="D113" s="2"/>
      </tp>
      <tp>
        <v>1.726559</v>
        <stp/>
        <stp>##V3_BDPV12</stp>
        <stp>LSIOX US Equity</stp>
        <stp>LAST_CLOSE_TRR_1MO</stp>
        <stp>[grid1_3gmijm1c.xlsx]Worksheet!R143C4</stp>
        <tr r="D143" s="2"/>
      </tp>
      <tp>
        <v>7.8896459999999999</v>
        <stp/>
        <stp>##V3_BDPV12</stp>
        <stp>LSIOX US Equity</stp>
        <stp>LAST_CLOSE_TRR_3MO</stp>
        <stp>[grid1_3gmijm1c.xlsx]Worksheet!R143C5</stp>
        <tr r="E143" s="2"/>
      </tp>
      <tp>
        <v>7.2798600000000002</v>
        <stp/>
        <stp>##V3_BDPV12</stp>
        <stp>GUHYX US Equity</stp>
        <stp>LAST_CLOSE_TRR_3MO</stp>
        <stp>[grid1_3gmijm1c.xlsx]Worksheet!R145C5</stp>
        <tr r="E145" s="2"/>
      </tp>
      <tp>
        <v>1.514467</v>
        <stp/>
        <stp>##V3_BDPV12</stp>
        <stp>GUHYX US Equity</stp>
        <stp>LAST_CLOSE_TRR_1MO</stp>
        <stp>[grid1_3gmijm1c.xlsx]Worksheet!R145C4</stp>
        <tr r="D145" s="2"/>
      </tp>
      <tp>
        <v>17.235659999999999</v>
        <stp/>
        <stp>##V3_BDPV12</stp>
        <stp>ALHAX US Equity</stp>
        <stp>CUST_TRR_RETURN_ANNUALIZED</stp>
        <stp>[grid1_3gmijm1c.xlsx]Worksheet!R19C3</stp>
        <stp>CUST_TRR_START_DT=20200626</stp>
        <stp>CUST_TRR_END_DT=20201226</stp>
        <tr r="C19" s="2"/>
      </tp>
      <tp>
        <v>21.32151</v>
        <stp/>
        <stp>##V3_BDPV12</stp>
        <stp>OGYAX US Equity</stp>
        <stp>CUST_TRR_RETURN_ANNUALIZED</stp>
        <stp>[grid1_3gmijm1c.xlsx]Worksheet!R47C3</stp>
        <stp>CUST_TRR_START_DT=20200626</stp>
        <stp>CUST_TRR_END_DT=20201226</stp>
        <tr r="C47" s="2"/>
      </tp>
      <tp>
        <v>9.9461049999999993</v>
        <stp/>
        <stp>##V3_BDPV12</stp>
        <stp>HFAAX US Equity</stp>
        <stp>CUST_TRR_RETURN_ANNUALIZED</stp>
        <stp>[grid1_3gmijm1c.xlsx]Worksheet!R30C3</stp>
        <stp>CUST_TRR_START_DT=20200626</stp>
        <stp>CUST_TRR_END_DT=20201226</stp>
        <tr r="C30" s="2"/>
      </tp>
      <tp>
        <v>7.2252559999999999</v>
        <stp/>
        <stp>##V3_BDPV12</stp>
        <stp>AHGNX US Equity</stp>
        <stp>LAST_CLOSE_TRR_1YR</stp>
        <stp>[grid1_3gmijm1c.xlsx]Worksheet!R156C7</stp>
        <tr r="G156" s="2"/>
      </tp>
      <tp t="s">
        <v>#N/A N/A</v>
        <stp/>
        <stp>##V3_BDPV12</stp>
        <stp>AHGNX US Equity</stp>
        <stp>LAST_CLOSE_TRR_5YR</stp>
        <stp>[grid1_3gmijm1c.xlsx]Worksheet!R156C9</stp>
        <tr r="I156" s="2"/>
      </tp>
      <tp>
        <v>5.9369630000000004</v>
        <stp/>
        <stp>##V3_BDPV12</stp>
        <stp>AHGNX US Equity</stp>
        <stp>LAST_CLOSE_TRR_3YR</stp>
        <stp>[grid1_3gmijm1c.xlsx]Worksheet!R156C8</stp>
        <tr r="H156" s="2"/>
      </tp>
      <tp>
        <v>6.9730790000000002</v>
        <stp/>
        <stp>##V3_BDPV12</stp>
        <stp>PHDYX US Equity</stp>
        <stp>LAST_CLOSE_TRR_1YR</stp>
        <stp>[grid1_3gmijm1c.xlsx]Worksheet!R126C7</stp>
        <tr r="G126" s="2"/>
      </tp>
      <tp>
        <v>5.3315070000000002</v>
        <stp/>
        <stp>##V3_BDPV12</stp>
        <stp>PHDYX US Equity</stp>
        <stp>LAST_CLOSE_TRR_3YR</stp>
        <stp>[grid1_3gmijm1c.xlsx]Worksheet!R126C8</stp>
        <tr r="H126" s="2"/>
      </tp>
      <tp>
        <v>7.9806670000000004</v>
        <stp/>
        <stp>##V3_BDPV12</stp>
        <stp>PHDYX US Equity</stp>
        <stp>LAST_CLOSE_TRR_5YR</stp>
        <stp>[grid1_3gmijm1c.xlsx]Worksheet!R126C9</stp>
        <tr r="I126" s="2"/>
      </tp>
      <tp>
        <v>25.42305</v>
        <stp/>
        <stp>##V3_BDPV12</stp>
        <stp>HWHIX US Equity</stp>
        <stp>CUST_TRR_RETURN_ANNUALIZED</stp>
        <stp>[grid1_3gmijm1c.xlsx]Worksheet!R43C3</stp>
        <stp>CUST_TRR_START_DT=20200626</stp>
        <stp>CUST_TRR_END_DT=20201226</stp>
        <tr r="C43" s="2"/>
      </tp>
      <tp>
        <v>1.3230390000000001</v>
        <stp/>
        <stp>##V3_BDPV12</stp>
        <stp>MZHSX US Equity</stp>
        <stp>LAST_CLOSE_TRR_1MO</stp>
        <stp>[grid1_3gmijm1c.xlsx]Worksheet!R149C4</stp>
        <tr r="D149" s="2"/>
      </tp>
      <tp>
        <v>5.700456</v>
        <stp/>
        <stp>##V3_BDPV12</stp>
        <stp>MZHSX US Equity</stp>
        <stp>LAST_CLOSE_TRR_3MO</stp>
        <stp>[grid1_3gmijm1c.xlsx]Worksheet!R149C5</stp>
        <tr r="E149" s="2"/>
      </tp>
      <tp>
        <v>10.66845</v>
        <stp/>
        <stp>##V3_BDPV12</stp>
        <stp>MXHYX US Equity</stp>
        <stp>LAST_CLOSE_TRR_YTD</stp>
        <stp>[grid1_3gmijm1c.xlsx]Worksheet!R140C6</stp>
        <tr r="F140" s="2"/>
      </tp>
      <tp>
        <v>0.84542790000000001</v>
        <stp/>
        <stp>##V3_BDPV12</stp>
        <stp>FJSIX US Equity</stp>
        <stp>LAST_CLOSE_TRR_1YR</stp>
        <stp>[grid1_3gmijm1c.xlsx]Worksheet!R124C7</stp>
        <tr r="G124" s="2"/>
      </tp>
      <tp>
        <v>3.8792900000000001</v>
        <stp/>
        <stp>##V3_BDPV12</stp>
        <stp>FJSIX US Equity</stp>
        <stp>LAST_CLOSE_TRR_3YR</stp>
        <stp>[grid1_3gmijm1c.xlsx]Worksheet!R124C8</stp>
        <tr r="H124" s="2"/>
      </tp>
      <tp>
        <v>7.9022600000000001</v>
        <stp/>
        <stp>##V3_BDPV12</stp>
        <stp>FJSIX US Equity</stp>
        <stp>LAST_CLOSE_TRR_5YR</stp>
        <stp>[grid1_3gmijm1c.xlsx]Worksheet!R124C9</stp>
        <tr r="I124" s="2"/>
      </tp>
      <tp>
        <v>23.020520000000001</v>
        <stp/>
        <stp>##V3_BDPV12</stp>
        <stp>IHIYX US Equity</stp>
        <stp>CUST_TRR_RETURN_ANNUALIZED</stp>
        <stp>[grid1_3gmijm1c.xlsx]Worksheet!R62C3</stp>
        <stp>CUST_TRR_START_DT=20200626</stp>
        <stp>CUST_TRR_END_DT=20201226</stp>
        <tr r="C62" s="2"/>
      </tp>
      <tp>
        <v>24.02018</v>
        <stp/>
        <stp>##V3_BDPV12</stp>
        <stp>NHFIX US Equity</stp>
        <stp>CUST_TRR_RETURN_ANNUALIZED</stp>
        <stp>[grid1_3gmijm1c.xlsx]Worksheet!R75C3</stp>
        <stp>CUST_TRR_START_DT=20200626</stp>
        <stp>CUST_TRR_END_DT=20201226</stp>
        <tr r="C75" s="2"/>
      </tp>
      <tp>
        <v>18.90429</v>
        <stp/>
        <stp>##V3_BDPV12</stp>
        <stp>LBHYX US Equity</stp>
        <stp>CUST_TRR_RETURN_ANNUALIZED</stp>
        <stp>[grid1_3gmijm1c.xlsx]Worksheet!R37C3</stp>
        <stp>CUST_TRR_START_DT=20200626</stp>
        <stp>CUST_TRR_END_DT=20201226</stp>
        <tr r="C37" s="2"/>
      </tp>
      <tp>
        <v>5.6418939999999997</v>
        <stp/>
        <stp>##V3_BDPV12</stp>
        <stp>IHFAX US Equity</stp>
        <stp>LAST_CLOSE_TRR_3YR</stp>
        <stp>[grid1_3gmijm1c.xlsx]Worksheet!R117C8</stp>
        <tr r="H117" s="2"/>
      </tp>
      <tp>
        <v>7.7347849999999996</v>
        <stp/>
        <stp>##V3_BDPV12</stp>
        <stp>IHFAX US Equity</stp>
        <stp>LAST_CLOSE_TRR_5YR</stp>
        <stp>[grid1_3gmijm1c.xlsx]Worksheet!R117C9</stp>
        <tr r="I117" s="2"/>
      </tp>
      <tp>
        <v>5.7823079999999996</v>
        <stp/>
        <stp>##V3_BDPV12</stp>
        <stp>IHFAX US Equity</stp>
        <stp>LAST_CLOSE_TRR_1YR</stp>
        <stp>[grid1_3gmijm1c.xlsx]Worksheet!R117C7</stp>
        <tr r="G117" s="2"/>
      </tp>
      <tp>
        <v>17.550640000000001</v>
        <stp/>
        <stp>##V3_BDPV12</stp>
        <stp>CYBIX US Equity</stp>
        <stp>CUST_TRR_RETURN_ANNUALIZED</stp>
        <stp>[grid1_3gmijm1c.xlsx]Worksheet!R49C3</stp>
        <stp>CUST_TRR_START_DT=20200626</stp>
        <stp>CUST_TRR_END_DT=20201226</stp>
        <tr r="C49" s="2"/>
      </tp>
      <tp>
        <v>21.49813</v>
        <stp/>
        <stp>##V3_BDPV12</stp>
        <stp>MPHAX US Equity</stp>
        <stp>CUST_TRR_RETURN_ANNUALIZED</stp>
        <stp>[grid1_3gmijm1c.xlsx]Worksheet!R57C3</stp>
        <stp>CUST_TRR_START_DT=20200626</stp>
        <stp>CUST_TRR_END_DT=20201226</stp>
        <tr r="C57" s="2"/>
      </tp>
      <tp>
        <v>4.429576</v>
        <stp/>
        <stp>##V3_BDPV12</stp>
        <stp>WHIAX US Equity</stp>
        <stp>LAST_CLOSE_TRR_3YR</stp>
        <stp>[grid1_3gmijm1c.xlsx]Worksheet!R107C8</stp>
        <tr r="H107" s="2"/>
      </tp>
      <tp t="s">
        <v>#N/A N/A</v>
        <stp/>
        <stp>##V3_BDPV12</stp>
        <stp>GHIAX US Equity</stp>
        <stp>LAST_CLOSE_TRR_3YR</stp>
        <stp>[grid1_3gmijm1c.xlsx]Worksheet!R147C8</stp>
        <tr r="H147" s="2"/>
      </tp>
      <tp>
        <v>12.47611</v>
        <stp/>
        <stp>##V3_BDPV12</stp>
        <stp>HIIFX US Equity</stp>
        <stp>LAST_CLOSE_TRR_5YR</stp>
        <stp>[grid1_3gmijm1c.xlsx]Worksheet!R146C9</stp>
        <tr r="I146" s="2"/>
      </tp>
      <tp>
        <v>7.5369929999999998</v>
        <stp/>
        <stp>##V3_BDPV12</stp>
        <stp>WHIAX US Equity</stp>
        <stp>LAST_CLOSE_TRR_5YR</stp>
        <stp>[grid1_3gmijm1c.xlsx]Worksheet!R107C9</stp>
        <tr r="I107" s="2"/>
      </tp>
      <tp t="s">
        <v>#N/A N/A</v>
        <stp/>
        <stp>##V3_BDPV12</stp>
        <stp>GHIAX US Equity</stp>
        <stp>LAST_CLOSE_TRR_5YR</stp>
        <stp>[grid1_3gmijm1c.xlsx]Worksheet!R147C9</stp>
        <tr r="I147" s="2"/>
      </tp>
      <tp>
        <v>5.3883520000000003</v>
        <stp/>
        <stp>##V3_BDPV12</stp>
        <stp>HIIFX US Equity</stp>
        <stp>LAST_CLOSE_TRR_3YR</stp>
        <stp>[grid1_3gmijm1c.xlsx]Worksheet!R146C8</stp>
        <tr r="H146" s="2"/>
      </tp>
      <tp>
        <v>9.3763290000000001</v>
        <stp/>
        <stp>##V3_BDPV12</stp>
        <stp>HIIFX US Equity</stp>
        <stp>LAST_CLOSE_TRR_1YR</stp>
        <stp>[grid1_3gmijm1c.xlsx]Worksheet!R146C7</stp>
        <tr r="G146" s="2"/>
      </tp>
      <tp>
        <v>4.8182640000000001</v>
        <stp/>
        <stp>##V3_BDPV12</stp>
        <stp>WHIAX US Equity</stp>
        <stp>LAST_CLOSE_TRR_1YR</stp>
        <stp>[grid1_3gmijm1c.xlsx]Worksheet!R107C7</stp>
        <tr r="G107" s="2"/>
      </tp>
      <tp t="s">
        <v>#N/A N/A</v>
        <stp/>
        <stp>##V3_BDPV12</stp>
        <stp>GHIAX US Equity</stp>
        <stp>LAST_CLOSE_TRR_1YR</stp>
        <stp>[grid1_3gmijm1c.xlsx]Worksheet!R147C7</stp>
        <tr r="G147" s="2"/>
      </tp>
      <tp>
        <v>28.308219999999999</v>
        <stp/>
        <stp>##V3_BDPV12</stp>
        <stp>LSHIX US Equity</stp>
        <stp>CUST_TRR_RETURN_ANNUALIZED</stp>
        <stp>[grid1_3gmijm1c.xlsx]Worksheet!R76C3</stp>
        <stp>CUST_TRR_START_DT=20200626</stp>
        <stp>CUST_TRR_END_DT=20201226</stp>
        <tr r="C76" s="2"/>
      </tp>
      <tp>
        <v>0.89035180000000003</v>
        <stp/>
        <stp>##V3_BDPV12</stp>
        <stp>FSHNX US Equity</stp>
        <stp>LAST_CLOSE_TRR_1MO</stp>
        <stp>[grid1_3gmijm1c.xlsx]Worksheet!R131C4</stp>
        <tr r="D131" s="2"/>
      </tp>
      <tp>
        <v>4.9545589999999997</v>
        <stp/>
        <stp>##V3_BDPV12</stp>
        <stp>ANHAX US Equity</stp>
        <stp>LAST_CLOSE_TRR_3YR</stp>
        <stp>[grid1_3gmijm1c.xlsx]Worksheet!R111C8</stp>
        <tr r="H111" s="2"/>
      </tp>
      <tp>
        <v>6.5097810000000003</v>
        <stp/>
        <stp>##V3_BDPV12</stp>
        <stp>JIHLX US Equity</stp>
        <stp>LAST_CLOSE_TRR_1YR</stp>
        <stp>[grid1_3gmijm1c.xlsx]Worksheet!R116C7</stp>
        <tr r="G116" s="2"/>
      </tp>
      <tp>
        <v>5.3280820000000002</v>
        <stp/>
        <stp>##V3_BDPV12</stp>
        <stp>FSHNX US Equity</stp>
        <stp>LAST_CLOSE_TRR_3MO</stp>
        <stp>[grid1_3gmijm1c.xlsx]Worksheet!R131C5</stp>
        <tr r="E131" s="2"/>
      </tp>
      <tp>
        <v>7.6106619999999996</v>
        <stp/>
        <stp>##V3_BDPV12</stp>
        <stp>ANHAX US Equity</stp>
        <stp>LAST_CLOSE_TRR_5YR</stp>
        <stp>[grid1_3gmijm1c.xlsx]Worksheet!R111C9</stp>
        <tr r="I111" s="2"/>
      </tp>
      <tp>
        <v>7.7283590000000002</v>
        <stp/>
        <stp>##V3_BDPV12</stp>
        <stp>JIHLX US Equity</stp>
        <stp>LAST_CLOSE_TRR_5YR</stp>
        <stp>[grid1_3gmijm1c.xlsx]Worksheet!R116C9</stp>
        <tr r="I116" s="2"/>
      </tp>
      <tp>
        <v>6.355912</v>
        <stp/>
        <stp>##V3_BDPV12</stp>
        <stp>TUHAX US Equity</stp>
        <stp>LAST_CLOSE_TRR_3MO</stp>
        <stp>[grid1_3gmijm1c.xlsx]Worksheet!R137C5</stp>
        <tr r="E137" s="2"/>
      </tp>
      <tp>
        <v>4.5391719999999998</v>
        <stp/>
        <stp>##V3_BDPV12</stp>
        <stp>ANHAX US Equity</stp>
        <stp>LAST_CLOSE_TRR_1YR</stp>
        <stp>[grid1_3gmijm1c.xlsx]Worksheet!R111C7</stp>
        <tr r="G111" s="2"/>
      </tp>
      <tp>
        <v>5.5283360000000004</v>
        <stp/>
        <stp>##V3_BDPV12</stp>
        <stp>JIHLX US Equity</stp>
        <stp>LAST_CLOSE_TRR_3YR</stp>
        <stp>[grid1_3gmijm1c.xlsx]Worksheet!R116C8</stp>
        <tr r="H116" s="2"/>
      </tp>
      <tp>
        <v>1.045382</v>
        <stp/>
        <stp>##V3_BDPV12</stp>
        <stp>TUHAX US Equity</stp>
        <stp>LAST_CLOSE_TRR_1MO</stp>
        <stp>[grid1_3gmijm1c.xlsx]Worksheet!R137C4</stp>
        <tr r="D137" s="2"/>
      </tp>
      <tp>
        <v>19.615449999999999</v>
        <stp/>
        <stp>##V3_BDPV12</stp>
        <stp>JHHBX US Equity</stp>
        <stp>CUST_TRR_RETURN_ANNUALIZED</stp>
        <stp>[grid1_3gmijm1c.xlsx]Worksheet!R80C3</stp>
        <stp>CUST_TRR_START_DT=20200626</stp>
        <stp>CUST_TRR_END_DT=20201226</stp>
        <tr r="C80" s="2"/>
      </tp>
      <tp t="s">
        <v>#N/A N/A</v>
        <stp/>
        <stp>##V3_BDPV12</stp>
        <stp>VHYLX US Equity</stp>
        <stp>LAST_CLOSE_TRR_1YR</stp>
        <stp>[grid1_3gmijm1c.xlsx]Worksheet!R177C7</stp>
        <tr r="G177" s="2"/>
      </tp>
      <tp t="s">
        <v>#N/A N/A</v>
        <stp/>
        <stp>##V3_BDPV12</stp>
        <stp>VHYLX US Equity</stp>
        <stp>LAST_CLOSE_TRR_5YR</stp>
        <stp>[grid1_3gmijm1c.xlsx]Worksheet!R177C9</stp>
        <tr r="I177" s="2"/>
      </tp>
      <tp t="s">
        <v>#N/A N/A</v>
        <stp/>
        <stp>##V3_BDPV12</stp>
        <stp>VHYLX US Equity</stp>
        <stp>LAST_CLOSE_TRR_3YR</stp>
        <stp>[grid1_3gmijm1c.xlsx]Worksheet!R177C8</stp>
        <tr r="H177" s="2"/>
      </tp>
      <tp>
        <v>7.6514360000000003</v>
        <stp/>
        <stp>##V3_BDPV12</stp>
        <stp>FRFEX US Equity</stp>
        <stp>CUST_TRR_RETURN_ANNUALIZED</stp>
        <stp>[grid1_3gmijm1c.xlsx]Worksheet!R5C3</stp>
        <stp>CUST_TRR_START_DT=20200626</stp>
        <stp>CUST_TRR_END_DT=20201226</stp>
        <tr r="C5" s="2"/>
      </tp>
      <tp>
        <v>19.919899999999998</v>
        <stp/>
        <stp>##V3_BDPV12</stp>
        <stp>AYBVX US Equity</stp>
        <stp>CUST_TRR_RETURN_ANNUALIZED</stp>
        <stp>[grid1_3gmijm1c.xlsx]Worksheet!R34C3</stp>
        <stp>CUST_TRR_START_DT=20200626</stp>
        <stp>CUST_TRR_END_DT=20201226</stp>
        <tr r="C34" s="2"/>
      </tp>
      <tp>
        <v>17.216899999999999</v>
        <stp/>
        <stp>##V3_BDPV12</stp>
        <stp>MWHYX US Equity</stp>
        <stp>CUST_TRR_RETURN_ANNUALIZED</stp>
        <stp>[grid1_3gmijm1c.xlsx]Worksheet!R78C3</stp>
        <stp>CUST_TRR_START_DT=20200626</stp>
        <stp>CUST_TRR_END_DT=20201226</stp>
        <tr r="C78" s="2"/>
      </tp>
      <tp t="s">
        <v>#N/A N/A</v>
        <stp/>
        <stp>##V3_BDPV12</stp>
        <stp>CBLDX US Equity</stp>
        <stp>LAST_CLOSE_TRR_5YR</stp>
        <stp>[grid1_3gmijm1c.xlsx]Worksheet!R162C9</stp>
        <tr r="I162" s="2"/>
      </tp>
      <tp t="s">
        <v>#N/A N/A</v>
        <stp/>
        <stp>##V3_BDPV12</stp>
        <stp>CBLDX US Equity</stp>
        <stp>LAST_CLOSE_TRR_3YR</stp>
        <stp>[grid1_3gmijm1c.xlsx]Worksheet!R162C8</stp>
        <tr r="H162" s="2"/>
      </tp>
      <tp>
        <v>3.656568</v>
        <stp/>
        <stp>##V3_BDPV12</stp>
        <stp>CBLDX US Equity</stp>
        <stp>LAST_CLOSE_TRR_1YR</stp>
        <stp>[grid1_3gmijm1c.xlsx]Worksheet!R162C7</stp>
        <tr r="G162" s="2"/>
      </tp>
      <tp>
        <v>0.56783050000000002</v>
        <stp/>
        <stp>##V3_BDPV12</stp>
        <stp>PSHNX US Equity</stp>
        <stp>LAST_CLOSE_TRR_YTD</stp>
        <stp>[grid1_3gmijm1c.xlsx]Worksheet!R155C6</stp>
        <tr r="F155" s="2"/>
      </tp>
      <tp t="s">
        <v>#N/A N/A</v>
        <stp/>
        <stp>##V3_BDPV12</stp>
        <stp>HVHYX US Equity</stp>
        <stp>LAST_CLOSE_TRR_YTD</stp>
        <stp>[grid1_3gmijm1c.xlsx]Worksheet!R150C6</stp>
        <tr r="F150" s="2"/>
      </tp>
      <tp>
        <v>23.90127</v>
        <stp/>
        <stp>##V3_BDPV12</stp>
        <stp>LMZIX US Equity</stp>
        <stp>CUST_TRR_RETURN_ANNUALIZED</stp>
        <stp>[grid1_3gmijm1c.xlsx]Worksheet!R89C3</stp>
        <stp>CUST_TRR_START_DT=20200626</stp>
        <stp>CUST_TRR_END_DT=20201226</stp>
        <tr r="C89" s="2"/>
      </tp>
      <tp>
        <v>15.77801</v>
        <stp/>
        <stp>##V3_BDPV12</stp>
        <stp>FIFIX US Equity</stp>
        <stp>CUST_TRR_RETURN_ANNUALIZED</stp>
        <stp>[grid1_3gmijm1c.xlsx]Worksheet!R33C3</stp>
        <stp>CUST_TRR_START_DT=20200626</stp>
        <stp>CUST_TRR_END_DT=20201226</stp>
        <tr r="C33" s="2"/>
      </tp>
      <tp t="s">
        <v>#N/A N/A</v>
        <stp/>
        <stp>##V3_BDPV12</stp>
        <stp>LSYAX US Equity</stp>
        <stp>LAST_CLOSE_TRR_YTD</stp>
        <stp>[grid1_3gmijm1c.xlsx]Worksheet!R175C6</stp>
        <tr r="F175" s="2"/>
      </tp>
      <tp>
        <v>11.109030000000001</v>
        <stp/>
        <stp>##V3_BDPV12</stp>
        <stp>SHRIX US Equity</stp>
        <stp>CUST_TRR_RETURN_ANNUALIZED</stp>
        <stp>[grid1_3gmijm1c.xlsx]Worksheet!R8C3</stp>
        <stp>CUST_TRR_START_DT=20200626</stp>
        <stp>CUST_TRR_END_DT=20201226</stp>
        <tr r="C8" s="2"/>
      </tp>
      <tp t="s">
        <v>#N/A N/A</v>
        <stp/>
        <stp>##V3_BDPV12</stp>
        <stp>HREIX US Equity</stp>
        <stp>LAST_CLOSE_TRR_YTD</stp>
        <stp>[grid1_3gmijm1c.xlsx]Worksheet!R165C6</stp>
        <tr r="F165" s="2"/>
      </tp>
      <tp>
        <v>14.41596</v>
        <stp/>
        <stp>##V3_BDPV12</stp>
        <stp>LZHYX US Equity</stp>
        <stp>CUST_TRR_RETURN_ANNUALIZED</stp>
        <stp>[grid1_3gmijm1c.xlsx]Worksheet!R28C3</stp>
        <stp>CUST_TRR_START_DT=20200626</stp>
        <stp>CUST_TRR_END_DT=20201226</stp>
        <tr r="C28" s="2"/>
      </tp>
      <tp>
        <v>6.7281779999999998</v>
        <stp/>
        <stp>##V3_BDPV12</stp>
        <stp>IPNAX US Equity</stp>
        <stp>LAST_CLOSE_TRR_YTD</stp>
        <stp>[grid1_3gmijm1c.xlsx]Worksheet!R157C6</stp>
        <tr r="F157" s="2"/>
      </tp>
      <tp t="s">
        <v>#N/A N/A</v>
        <stp/>
        <stp>##V3_BDPV12</stp>
        <stp>KAMAX US Equity</stp>
        <stp>LAST_CLOSE_TRR_3YR</stp>
        <stp>[grid1_3gmijm1c.xlsx]Worksheet!R170C8</stp>
        <tr r="H170" s="2"/>
      </tp>
      <tp t="s">
        <v>#N/A N/A</v>
        <stp/>
        <stp>##V3_BDPV12</stp>
        <stp>KAMAX US Equity</stp>
        <stp>LAST_CLOSE_TRR_5YR</stp>
        <stp>[grid1_3gmijm1c.xlsx]Worksheet!R170C9</stp>
        <tr r="I170" s="2"/>
      </tp>
      <tp>
        <v>7.5709379999999999</v>
        <stp/>
        <stp>##V3_BDPV12</stp>
        <stp>KAMAX US Equity</stp>
        <stp>LAST_CLOSE_TRR_1YR</stp>
        <stp>[grid1_3gmijm1c.xlsx]Worksheet!R170C7</stp>
        <tr r="G170" s="2"/>
      </tp>
      <tp>
        <v>6.1833980000000004</v>
        <stp/>
        <stp>##V3_BDPV12</stp>
        <stp>PBHAX US Equity</stp>
        <stp>LAST_CLOSE_TRR_3YR</stp>
        <stp>[grid1_3gmijm1c.xlsx]Worksheet!R133C8</stp>
        <tr r="H133" s="2"/>
      </tp>
      <tp>
        <v>8.189959</v>
        <stp/>
        <stp>##V3_BDPV12</stp>
        <stp>PBHAX US Equity</stp>
        <stp>LAST_CLOSE_TRR_5YR</stp>
        <stp>[grid1_3gmijm1c.xlsx]Worksheet!R133C9</stp>
        <tr r="I133" s="2"/>
      </tp>
      <tp>
        <v>4.8876660000000003</v>
        <stp/>
        <stp>##V3_BDPV12</stp>
        <stp>PBHAX US Equity</stp>
        <stp>LAST_CLOSE_TRR_1YR</stp>
        <stp>[grid1_3gmijm1c.xlsx]Worksheet!R133C7</stp>
        <tr r="G133" s="2"/>
      </tp>
      <tp>
        <v>16.188559999999999</v>
        <stp/>
        <stp>##V3_BDPV12</stp>
        <stp>MHOBX US Equity</stp>
        <stp>CUST_TRR_RETURN_ANNUALIZED</stp>
        <stp>[grid1_3gmijm1c.xlsx]Worksheet!R29C3</stp>
        <stp>CUST_TRR_START_DT=20200626</stp>
        <stp>CUST_TRR_END_DT=20201226</stp>
        <tr r="C29" s="2"/>
      </tp>
      <tp>
        <v>21.23582</v>
        <stp/>
        <stp>##V3_BDPV12</stp>
        <stp>FGHNX US Equity</stp>
        <stp>CUST_TRR_RETURN_ANNUALIZED</stp>
        <stp>[grid1_3gmijm1c.xlsx]Worksheet!R72C3</stp>
        <stp>CUST_TRR_START_DT=20200626</stp>
        <stp>CUST_TRR_END_DT=20201226</stp>
        <tr r="C72" s="2"/>
      </tp>
      <tp t="s">
        <v>#N/A N/A</v>
        <stp/>
        <stp>##V3_BDPV12</stp>
        <stp>QHYIX US Equity</stp>
        <stp>LAST_CLOSE_TRR_1YR</stp>
        <stp>[grid1_3gmijm1c.xlsx]Worksheet!R159C7</stp>
        <tr r="G159" s="2"/>
      </tp>
      <tp t="s">
        <v>#N/A N/A</v>
        <stp/>
        <stp>##V3_BDPV12</stp>
        <stp>QHYIX US Equity</stp>
        <stp>LAST_CLOSE_TRR_3YR</stp>
        <stp>[grid1_3gmijm1c.xlsx]Worksheet!R159C8</stp>
        <tr r="H159" s="2"/>
      </tp>
      <tp t="s">
        <v>#N/A N/A</v>
        <stp/>
        <stp>##V3_BDPV12</stp>
        <stp>QHYIX US Equity</stp>
        <stp>LAST_CLOSE_TRR_5YR</stp>
        <stp>[grid1_3gmijm1c.xlsx]Worksheet!R159C9</stp>
        <tr r="I159" s="2"/>
      </tp>
      <tp>
        <v>8.4710129999999992</v>
        <stp/>
        <stp>##V3_BDPV12</stp>
        <stp>HIYYX US Equity</stp>
        <stp>LAST_CLOSE_TRR_1YR</stp>
        <stp>[grid1_3gmijm1c.xlsx]Worksheet!R138C7</stp>
        <tr r="G138" s="2"/>
      </tp>
      <tp>
        <v>6.8569060000000004</v>
        <stp/>
        <stp>##V3_BDPV12</stp>
        <stp>HIYYX US Equity</stp>
        <stp>LAST_CLOSE_TRR_3YR</stp>
        <stp>[grid1_3gmijm1c.xlsx]Worksheet!R138C8</stp>
        <tr r="H138" s="2"/>
      </tp>
      <tp>
        <v>8.4055809999999997</v>
        <stp/>
        <stp>##V3_BDPV12</stp>
        <stp>HIYYX US Equity</stp>
        <stp>LAST_CLOSE_TRR_5YR</stp>
        <stp>[grid1_3gmijm1c.xlsx]Worksheet!R138C9</stp>
        <tr r="I138" s="2"/>
      </tp>
      <tp>
        <v>9.7020890000000009</v>
        <stp/>
        <stp>##V3_BDPV12</stp>
        <stp>APDFX US Equity</stp>
        <stp>LAST_CLOSE_TRR_YTD</stp>
        <stp>[grid1_3gmijm1c.xlsx]Worksheet!R144C6</stp>
        <tr r="F144" s="2"/>
      </tp>
      <tp t="s">
        <v>#N/A N/A</v>
        <stp/>
        <stp>##V3_BDPV12</stp>
        <stp>CRDOX US Equity</stp>
        <stp>LAST_CLOSE_TRR_YTD</stp>
        <stp>[grid1_3gmijm1c.xlsx]Worksheet!R166C6</stp>
        <tr r="F166" s="2"/>
      </tp>
      <tp>
        <v>5.4444330000000001</v>
        <stp/>
        <stp>##V3_BDPV12</stp>
        <stp>PAOPX US Equity</stp>
        <stp>LAST_CLOSE_TRR_3YR</stp>
        <stp>[grid1_3gmijm1c.xlsx]Worksheet!R123C8</stp>
        <tr r="H123" s="2"/>
      </tp>
      <tp>
        <v>7.8695649999999997</v>
        <stp/>
        <stp>##V3_BDPV12</stp>
        <stp>PAOPX US Equity</stp>
        <stp>LAST_CLOSE_TRR_5YR</stp>
        <stp>[grid1_3gmijm1c.xlsx]Worksheet!R123C9</stp>
        <tr r="I123" s="2"/>
      </tp>
      <tp>
        <v>4.9105809999999996</v>
        <stp/>
        <stp>##V3_BDPV12</stp>
        <stp>PAOPX US Equity</stp>
        <stp>LAST_CLOSE_TRR_1YR</stp>
        <stp>[grid1_3gmijm1c.xlsx]Worksheet!R123C7</stp>
        <tr r="G123" s="2"/>
      </tp>
      <tp>
        <v>27.257560000000002</v>
        <stp/>
        <stp>##V3_BDPV12</stp>
        <stp>BUFHX US Equity</stp>
        <stp>CUST_TRR_RETURN_ANNUALIZED</stp>
        <stp>[grid1_3gmijm1c.xlsx]Worksheet!R35C3</stp>
        <stp>CUST_TRR_START_DT=20200626</stp>
        <stp>CUST_TRR_END_DT=20201226</stp>
        <tr r="C35" s="2"/>
      </tp>
      <tp>
        <v>5.4550429999999999</v>
        <stp/>
        <stp>##V3_BDPV12</stp>
        <stp>RPIHX US Equity</stp>
        <stp>LAST_CLOSE_TRR_YTD</stp>
        <stp>[grid1_3gmijm1c.xlsx]Worksheet!R134C6</stp>
        <tr r="F134" s="2"/>
      </tp>
      <tp>
        <v>6.872344</v>
        <stp/>
        <stp>##V3_BDPV12</stp>
        <stp>MFHIX US Equity</stp>
        <stp>LAST_CLOSE_TRR_1YR</stp>
        <stp>[grid1_3gmijm1c.xlsx]Worksheet!R164C7</stp>
        <tr r="G164" s="2"/>
      </tp>
      <tp t="s">
        <v>#N/A N/A</v>
        <stp/>
        <stp>##V3_BDPV12</stp>
        <stp>MFHIX US Equity</stp>
        <stp>LAST_CLOSE_TRR_3YR</stp>
        <stp>[grid1_3gmijm1c.xlsx]Worksheet!R164C8</stp>
        <tr r="H164" s="2"/>
      </tp>
      <tp t="s">
        <v>#N/A N/A</v>
        <stp/>
        <stp>##V3_BDPV12</stp>
        <stp>MFHIX US Equity</stp>
        <stp>LAST_CLOSE_TRR_5YR</stp>
        <stp>[grid1_3gmijm1c.xlsx]Worksheet!R164C9</stp>
        <tr r="I164" s="2"/>
      </tp>
      <tp>
        <v>9.2396910000000005</v>
        <stp/>
        <stp>##V3_BDPV12</stp>
        <stp>RGHYX US Equity</stp>
        <stp>LAST_CLOSE_TRR_1YR</stp>
        <stp>[grid1_3gmijm1c.xlsx]Worksheet!R125C7</stp>
        <tr r="G125" s="2"/>
      </tp>
      <tp>
        <v>7.875718</v>
        <stp/>
        <stp>##V3_BDPV12</stp>
        <stp>RGHYX US Equity</stp>
        <stp>LAST_CLOSE_TRR_3YR</stp>
        <stp>[grid1_3gmijm1c.xlsx]Worksheet!R125C8</stp>
        <tr r="H125" s="2"/>
      </tp>
      <tp>
        <v>7.9470000000000001</v>
        <stp/>
        <stp>##V3_BDPV12</stp>
        <stp>RGHYX US Equity</stp>
        <stp>LAST_CLOSE_TRR_5YR</stp>
        <stp>[grid1_3gmijm1c.xlsx]Worksheet!R125C9</stp>
        <tr r="I125" s="2"/>
      </tp>
      <tp>
        <v>19.3019</v>
        <stp/>
        <stp>##V3_BDPV12</stp>
        <stp>OHYFX US Equity</stp>
        <stp>CUST_TRR_RETURN_ANNUALIZED</stp>
        <stp>[grid1_3gmijm1c.xlsx]Worksheet!R48C3</stp>
        <stp>CUST_TRR_START_DT=20200626</stp>
        <stp>CUST_TRR_END_DT=20201226</stp>
        <tr r="C48" s="2"/>
      </tp>
      <tp>
        <v>23.28913</v>
        <stp/>
        <stp>##V3_BDPV12</stp>
        <stp>DDJCX US Equity</stp>
        <stp>CUST_TRR_RETURN_ANNUALIZED</stp>
        <stp>[grid1_3gmijm1c.xlsx]Worksheet!R53C3</stp>
        <stp>CUST_TRR_START_DT=20200626</stp>
        <stp>CUST_TRR_END_DT=20201226</stp>
        <tr r="C53" s="2"/>
      </tp>
      <tp>
        <v>5.54514</v>
        <stp/>
        <stp>##V3_BDPV12</stp>
        <stp>SGYAX US Equity</stp>
        <stp>LAST_CLOSE_TRR_3YR</stp>
        <stp>[grid1_3gmijm1c.xlsx]Worksheet!R135C8</stp>
        <tr r="H135" s="2"/>
      </tp>
      <tp>
        <v>8.2838659999999997</v>
        <stp/>
        <stp>##V3_BDPV12</stp>
        <stp>SGYAX US Equity</stp>
        <stp>LAST_CLOSE_TRR_5YR</stp>
        <stp>[grid1_3gmijm1c.xlsx]Worksheet!R135C9</stp>
        <tr r="I135" s="2"/>
      </tp>
      <tp>
        <v>5.3721769999999998</v>
        <stp/>
        <stp>##V3_BDPV12</stp>
        <stp>SGYAX US Equity</stp>
        <stp>LAST_CLOSE_TRR_1YR</stp>
        <stp>[grid1_3gmijm1c.xlsx]Worksheet!R135C7</stp>
        <tr r="G135" s="2"/>
      </tp>
      <tp>
        <v>0.7944329</v>
        <stp/>
        <stp>##V3_BDPV12</stp>
        <stp>NWXIX US Equity</stp>
        <stp>LAST_CLOSE_TRR_YTD</stp>
        <stp>[grid1_3gmijm1c.xlsx]Worksheet!R103C6</stp>
        <tr r="F103" s="2"/>
      </tp>
      <tp>
        <v>9.4473380000000002</v>
        <stp/>
        <stp>##V3_BDPV12</stp>
        <stp>NTHEX US Equity</stp>
        <stp>CUST_TRR_RETURN_ANNUALIZED</stp>
        <stp>[grid1_3gmijm1c.xlsx]Worksheet!R6C3</stp>
        <stp>CUST_TRR_START_DT=20200626</stp>
        <stp>CUST_TRR_END_DT=20201226</stp>
        <tr r="C6" s="2"/>
      </tp>
      <tp>
        <v>9.1815610000000003</v>
        <stp/>
        <stp>##V3_BDPV12</stp>
        <stp>FAGIX US Equity</stp>
        <stp>LAST_CLOSE_TRR_1YR</stp>
        <stp>[grid1_3gmijm1c.xlsx]Worksheet!R142C7</stp>
        <tr r="G142" s="2"/>
      </tp>
      <tp>
        <v>6.8599329999999998</v>
        <stp/>
        <stp>##V3_BDPV12</stp>
        <stp>FAGIX US Equity</stp>
        <stp>LAST_CLOSE_TRR_3YR</stp>
        <stp>[grid1_3gmijm1c.xlsx]Worksheet!R142C8</stp>
        <tr r="H142" s="2"/>
      </tp>
      <tp>
        <v>8.5693450000000002</v>
        <stp/>
        <stp>##V3_BDPV12</stp>
        <stp>FAGIX US Equity</stp>
        <stp>LAST_CLOSE_TRR_5YR</stp>
        <stp>[grid1_3gmijm1c.xlsx]Worksheet!R142C9</stp>
        <tr r="I142" s="2"/>
      </tp>
      <tp>
        <v>15.15638</v>
        <stp/>
        <stp>##V3_BDPV12</stp>
        <stp>STBKX US Equity</stp>
        <stp>LAST_CLOSE_TRR_YTD</stp>
        <stp>[grid1_3gmijm1c.xlsx]Worksheet!R171C6</stp>
        <tr r="F171" s="2"/>
      </tp>
      <tp>
        <v>22.074739999999998</v>
        <stp/>
        <stp>##V3_BDPV12</stp>
        <stp>GSHAX US Equity</stp>
        <stp>CUST_TRR_RETURN_ANNUALIZED</stp>
        <stp>[grid1_3gmijm1c.xlsx]Worksheet!R61C3</stp>
        <stp>CUST_TRR_START_DT=20200626</stp>
        <stp>CUST_TRR_END_DT=20201226</stp>
        <tr r="C61" s="2"/>
      </tp>
      <tp>
        <v>4.9001330000000003</v>
        <stp/>
        <stp>##V3_BDPV12</stp>
        <stp>PKHIX US Equity</stp>
        <stp>LAST_CLOSE_TRR_1YR</stp>
        <stp>[grid1_3gmijm1c.xlsx]Worksheet!R158C7</stp>
        <tr r="G158" s="2"/>
      </tp>
      <tp t="s">
        <v>#N/A N/A</v>
        <stp/>
        <stp>##V3_BDPV12</stp>
        <stp>PKHIX US Equity</stp>
        <stp>LAST_CLOSE_TRR_3YR</stp>
        <stp>[grid1_3gmijm1c.xlsx]Worksheet!R158C8</stp>
        <tr r="H158" s="2"/>
      </tp>
      <tp t="s">
        <v>#N/A N/A</v>
        <stp/>
        <stp>##V3_BDPV12</stp>
        <stp>PKHIX US Equity</stp>
        <stp>LAST_CLOSE_TRR_5YR</stp>
        <stp>[grid1_3gmijm1c.xlsx]Worksheet!R158C9</stp>
        <tr r="I158" s="2"/>
      </tp>
      <tp>
        <v>6.539002</v>
        <stp/>
        <stp>##V3_BDPV12</stp>
        <stp>SAHYX US Equity</stp>
        <stp>LAST_CLOSE_TRR_1YR</stp>
        <stp>[grid1_3gmijm1c.xlsx]Worksheet!R102C7</stp>
        <tr r="G102" s="2"/>
      </tp>
      <tp>
        <v>4.9966739999999996</v>
        <stp/>
        <stp>##V3_BDPV12</stp>
        <stp>MGHYX US Equity</stp>
        <stp>LAST_CLOSE_TRR_1YR</stp>
        <stp>[grid1_3gmijm1c.xlsx]Worksheet!R114C7</stp>
        <tr r="G114" s="2"/>
      </tp>
      <tp>
        <v>4.9248440000000002</v>
        <stp/>
        <stp>##V3_BDPV12</stp>
        <stp>SAHYX US Equity</stp>
        <stp>LAST_CLOSE_TRR_3YR</stp>
        <stp>[grid1_3gmijm1c.xlsx]Worksheet!R102C8</stp>
        <tr r="H102" s="2"/>
      </tp>
      <tp>
        <v>5.9149330000000004</v>
        <stp/>
        <stp>##V3_BDPV12</stp>
        <stp>MGHYX US Equity</stp>
        <stp>LAST_CLOSE_TRR_3YR</stp>
        <stp>[grid1_3gmijm1c.xlsx]Worksheet!R114C8</stp>
        <tr r="H114" s="2"/>
      </tp>
      <tp>
        <v>7.522411</v>
        <stp/>
        <stp>##V3_BDPV12</stp>
        <stp>SAHYX US Equity</stp>
        <stp>LAST_CLOSE_TRR_5YR</stp>
        <stp>[grid1_3gmijm1c.xlsx]Worksheet!R102C9</stp>
        <tr r="I102" s="2"/>
      </tp>
      <tp>
        <v>7.7235690000000004</v>
        <stp/>
        <stp>##V3_BDPV12</stp>
        <stp>MGHYX US Equity</stp>
        <stp>LAST_CLOSE_TRR_5YR</stp>
        <stp>[grid1_3gmijm1c.xlsx]Worksheet!R114C9</stp>
        <tr r="I114" s="2"/>
      </tp>
      <tp>
        <v>6.9084409999999998</v>
        <stp/>
        <stp>##V3_BDPV12</stp>
        <stp>DPHYX US Equity</stp>
        <stp>LAST_CLOSE_TRR_YTD</stp>
        <stp>[grid1_3gmijm1c.xlsx]Worksheet!R105C6</stp>
        <tr r="F105" s="2"/>
      </tp>
      <tp>
        <v>22.279640000000001</v>
        <stp/>
        <stp>##V3_BDPV12</stp>
        <stp>AMHYX US Equity</stp>
        <stp>CUST_TRR_RETURN_ANNUALIZED</stp>
        <stp>[grid1_3gmijm1c.xlsx]Worksheet!R27C3</stp>
        <stp>CUST_TRR_START_DT=20200626</stp>
        <stp>CUST_TRR_END_DT=20201226</stp>
        <tr r="C27" s="2"/>
      </tp>
      <tp>
        <v>21.359190000000002</v>
        <stp/>
        <stp>##V3_BDPV12</stp>
        <stp>DHOAX US Equity</stp>
        <stp>CUST_TRR_RETURN_ANNUALIZED</stp>
        <stp>[grid1_3gmijm1c.xlsx]Worksheet!R82C3</stp>
        <stp>CUST_TRR_START_DT=20200626</stp>
        <stp>CUST_TRR_END_DT=20201226</stp>
        <tr r="C82" s="2"/>
      </tp>
      <tp>
        <v>13.934089999999999</v>
        <stp/>
        <stp>##V3_BDPV12</stp>
        <stp>FHIFX US Equity</stp>
        <stp>CUST_TRR_RETURN_ANNUALIZED</stp>
        <stp>[grid1_3gmijm1c.xlsx]Worksheet!R50C3</stp>
        <stp>CUST_TRR_START_DT=20200626</stp>
        <stp>CUST_TRR_END_DT=20201226</stp>
        <tr r="C50" s="2"/>
      </tp>
      <tp>
        <v>20.832660000000001</v>
        <stp/>
        <stp>##V3_BDPV12</stp>
        <stp>NCOAX US Equity</stp>
        <stp>CUST_TRR_RETURN_ANNUALIZED</stp>
        <stp>[grid1_3gmijm1c.xlsx]Worksheet!R98C3</stp>
        <stp>CUST_TRR_START_DT=20200626</stp>
        <stp>CUST_TRR_END_DT=20201226</stp>
        <tr r="C98" s="2"/>
      </tp>
      <tp>
        <v>22.639600000000002</v>
        <stp/>
        <stp>##V3_BDPV12</stp>
        <stp>CCHYX US Equity</stp>
        <stp>CUST_TRR_RETURN_ANNUALIZED</stp>
        <stp>[grid1_3gmijm1c.xlsx]Worksheet!R25C3</stp>
        <stp>CUST_TRR_START_DT=20200626</stp>
        <stp>CUST_TRR_END_DT=20201226</stp>
        <tr r="C25" s="2"/>
      </tp>
      <tp>
        <v>19.728449999999999</v>
        <stp/>
        <stp>##V3_BDPV12</stp>
        <stp>DCHYX US Equity</stp>
        <stp>CUST_TRR_RETURN_ANNUALIZED</stp>
        <stp>[grid1_3gmijm1c.xlsx]Worksheet!R32C3</stp>
        <stp>CUST_TRR_START_DT=20200626</stp>
        <stp>CUST_TRR_END_DT=20201226</stp>
        <tr r="C32" s="2"/>
      </tp>
      <tp t="s">
        <v>#N/A N/A</v>
        <stp/>
        <stp>##V3_BDPV12</stp>
        <stp>JMADX US Equity</stp>
        <stp>LAST_CLOSE_TRR_5YR</stp>
        <stp>[grid1_3gmijm1c.xlsx]Worksheet!R169C9</stp>
        <tr r="I169" s="2"/>
      </tp>
      <tp t="s">
        <v>#N/A N/A</v>
        <stp/>
        <stp>##V3_BDPV12</stp>
        <stp>JMADX US Equity</stp>
        <stp>LAST_CLOSE_TRR_3YR</stp>
        <stp>[grid1_3gmijm1c.xlsx]Worksheet!R169C8</stp>
        <tr r="H169" s="2"/>
      </tp>
      <tp>
        <v>-1.5952139999999999</v>
        <stp/>
        <stp>##V3_BDPV12</stp>
        <stp>JMADX US Equity</stp>
        <stp>LAST_CLOSE_TRR_1YR</stp>
        <stp>[grid1_3gmijm1c.xlsx]Worksheet!R169C7</stp>
        <tr r="G169" s="2"/>
      </tp>
      <tp>
        <v>10.45735</v>
        <stp/>
        <stp>##V3_BDPV12</stp>
        <stp>CWFIX US Equity</stp>
        <stp>CUST_TRR_RETURN_ANNUALIZED</stp>
        <stp>[grid1_3gmijm1c.xlsx]Worksheet!R12C3</stp>
        <stp>CUST_TRR_START_DT=20200626</stp>
        <stp>CUST_TRR_END_DT=20201226</stp>
        <tr r="C12" s="2"/>
      </tp>
      <tp>
        <v>18.80949</v>
        <stp/>
        <stp>##V3_BDPV12</stp>
        <stp>EVIBX US Equity</stp>
        <stp>CUST_TRR_RETURN_ANNUALIZED</stp>
        <stp>[grid1_3gmijm1c.xlsx]Worksheet!R44C3</stp>
        <stp>CUST_TRR_START_DT=20200626</stp>
        <stp>CUST_TRR_END_DT=20201226</stp>
        <tr r="C44" s="2"/>
      </tp>
      <tp>
        <v>14.2767</v>
        <stp/>
        <stp>##V3_BDPV12</stp>
        <stp>ESHAX US Equity</stp>
        <stp>CUST_TRR_RETURN_ANNUALIZED</stp>
        <stp>[grid1_3gmijm1c.xlsx]Worksheet!R14C3</stp>
        <stp>CUST_TRR_START_DT=20200626</stp>
        <stp>CUST_TRR_END_DT=20201226</stp>
        <tr r="C14" s="2"/>
      </tp>
      <tp>
        <v>10.929650000000001</v>
        <stp/>
        <stp>##V3_BDPV12</stp>
        <stp>FSBHX US Equity</stp>
        <stp>CUST_TRR_RETURN_ANNUALIZED</stp>
        <stp>[grid1_3gmijm1c.xlsx]Worksheet!R17C3</stp>
        <stp>CUST_TRR_START_DT=20200626</stp>
        <stp>CUST_TRR_END_DT=20201226</stp>
        <tr r="C17" s="2"/>
      </tp>
      <tp>
        <v>6.8230789999999999</v>
        <stp/>
        <stp>##V3_BDPV12</stp>
        <stp>SAHIX US Equity</stp>
        <stp>LAST_CLOSE_TRR_1YR</stp>
        <stp>[grid1_3gmijm1c.xlsx]Worksheet!R115C7</stp>
        <tr r="G115" s="2"/>
      </tp>
      <tp>
        <v>4.872293</v>
        <stp/>
        <stp>##V3_BDPV12</stp>
        <stp>SAHIX US Equity</stp>
        <stp>LAST_CLOSE_TRR_3YR</stp>
        <stp>[grid1_3gmijm1c.xlsx]Worksheet!R115C8</stp>
        <tr r="H115" s="2"/>
      </tp>
      <tp>
        <v>7.7245780000000002</v>
        <stp/>
        <stp>##V3_BDPV12</stp>
        <stp>SAHIX US Equity</stp>
        <stp>LAST_CLOSE_TRR_5YR</stp>
        <stp>[grid1_3gmijm1c.xlsx]Worksheet!R115C9</stp>
        <tr r="I115" s="2"/>
      </tp>
      <tp>
        <v>6.2970680000000003</v>
        <stp/>
        <stp>##V3_BDPV12</stp>
        <stp>TUHAX US Equity</stp>
        <stp>LAST_CLOSE_TRR_YTD</stp>
        <stp>[grid1_3gmijm1c.xlsx]Worksheet!R137C6</stp>
        <tr r="F137" s="2"/>
      </tp>
      <tp>
        <v>3.666569</v>
        <stp/>
        <stp>##V3_BDPV12</stp>
        <stp>FSHNX US Equity</stp>
        <stp>LAST_CLOSE_TRR_YTD</stp>
        <stp>[grid1_3gmijm1c.xlsx]Worksheet!R131C6</stp>
        <tr r="F131" s="2"/>
      </tp>
      <tp>
        <v>26.577449999999999</v>
        <stp/>
        <stp>##V3_BDPV12</stp>
        <stp>AGDAX US Equity</stp>
        <stp>CUST_TRR_RETURN_ANNUALIZED</stp>
        <stp>[grid1_3gmijm1c.xlsx]Worksheet!R40C3</stp>
        <stp>CUST_TRR_START_DT=20200626</stp>
        <stp>CUST_TRR_END_DT=20201226</stp>
        <tr r="C40" s="2"/>
      </tp>
      <tp>
        <v>21.060949999999998</v>
        <stp/>
        <stp>##V3_BDPV12</stp>
        <stp>HAHAX US Equity</stp>
        <stp>CUST_TRR_RETURN_ANNUALIZED</stp>
        <stp>[grid1_3gmijm1c.xlsx]Worksheet!R99C3</stp>
        <stp>CUST_TRR_START_DT=20200626</stp>
        <stp>CUST_TRR_END_DT=20201226</stp>
        <tr r="C99" s="2"/>
      </tp>
      <tp>
        <v>23.430700000000002</v>
        <stp/>
        <stp>##V3_BDPV12</stp>
        <stp>ICMUX US Equity</stp>
        <stp>CUST_TRR_RETURN_ANNUALIZED</stp>
        <stp>[grid1_3gmijm1c.xlsx]Worksheet!R18C3</stp>
        <stp>CUST_TRR_START_DT=20200626</stp>
        <stp>CUST_TRR_END_DT=20201226</stp>
        <tr r="C18" s="2"/>
      </tp>
      <tp>
        <v>10.428699999999999</v>
        <stp/>
        <stp>##V3_BDPV12</stp>
        <stp>CHYAX US Equity</stp>
        <stp>CUST_TRR_RETURN_ANNUALIZED</stp>
        <stp>[grid1_3gmijm1c.xlsx]Worksheet!R4C3</stp>
        <stp>CUST_TRR_START_DT=20200626</stp>
        <stp>CUST_TRR_END_DT=20201226</stp>
        <tr r="C4" s="2"/>
      </tp>
      <tp>
        <v>7.4114440000000004</v>
        <stp/>
        <stp>##V3_BDPV12</stp>
        <stp>NEFHX US Equity</stp>
        <stp>LAST_CLOSE_TRR_1YR</stp>
        <stp>[grid1_3gmijm1c.xlsx]Worksheet!R100C7</stp>
        <tr r="G100" s="2"/>
      </tp>
      <tp>
        <v>5.086144</v>
        <stp/>
        <stp>##V3_BDPV12</stp>
        <stp>NEFHX US Equity</stp>
        <stp>LAST_CLOSE_TRR_3YR</stp>
        <stp>[grid1_3gmijm1c.xlsx]Worksheet!R100C8</stp>
        <tr r="H100" s="2"/>
      </tp>
      <tp>
        <v>7.4872810000000003</v>
        <stp/>
        <stp>##V3_BDPV12</stp>
        <stp>NEFHX US Equity</stp>
        <stp>LAST_CLOSE_TRR_5YR</stp>
        <stp>[grid1_3gmijm1c.xlsx]Worksheet!R100C9</stp>
        <tr r="I100" s="2"/>
      </tp>
      <tp>
        <v>19.593060000000001</v>
        <stp/>
        <stp>##V3_BDPV12</stp>
        <stp>HYFAX US Equity</stp>
        <stp>CUST_TRR_RETURN_ANNUALIZED</stp>
        <stp>[grid1_3gmijm1c.xlsx]Worksheet!R68C3</stp>
        <stp>CUST_TRR_START_DT=20200626</stp>
        <stp>CUST_TRR_END_DT=20201226</stp>
        <tr r="C68" s="2"/>
      </tp>
      <tp>
        <v>16.715229999999998</v>
        <stp/>
        <stp>##V3_BDPV12</stp>
        <stp>FYAIX US Equity</stp>
        <stp>CUST_TRR_RETURN_ANNUALIZED</stp>
        <stp>[grid1_3gmijm1c.xlsx]Worksheet!R16C3</stp>
        <stp>CUST_TRR_START_DT=20200626</stp>
        <stp>CUST_TRR_END_DT=20201226</stp>
        <tr r="C16" s="2"/>
      </tp>
      <tp t="s">
        <v>#N/A N/A</v>
        <stp/>
        <stp>##V3_BDPV12</stp>
        <stp>TCOBX US Equity</stp>
        <stp>LAST_CLOSE_TRR_3YR</stp>
        <stp>[grid1_3gmijm1c.xlsx]Worksheet!R176C8</stp>
        <tr r="H176" s="2"/>
      </tp>
      <tp t="s">
        <v>#N/A N/A</v>
        <stp/>
        <stp>##V3_BDPV12</stp>
        <stp>TCOBX US Equity</stp>
        <stp>LAST_CLOSE_TRR_5YR</stp>
        <stp>[grid1_3gmijm1c.xlsx]Worksheet!R176C9</stp>
        <tr r="I176" s="2"/>
      </tp>
      <tp t="s">
        <v>#N/A N/A</v>
        <stp/>
        <stp>##V3_BDPV12</stp>
        <stp>TCOBX US Equity</stp>
        <stp>LAST_CLOSE_TRR_1YR</stp>
        <stp>[grid1_3gmijm1c.xlsx]Worksheet!R176C7</stp>
        <tr r="G176" s="2"/>
      </tp>
      <tp>
        <v>21.031870000000001</v>
        <stp/>
        <stp>##V3_BDPV12</stp>
        <stp>ETHIX US Equity</stp>
        <stp>CUST_TRR_RETURN_ANNUALIZED</stp>
        <stp>[grid1_3gmijm1c.xlsx]Worksheet!R45C3</stp>
        <stp>CUST_TRR_START_DT=20200626</stp>
        <stp>CUST_TRR_END_DT=20201226</stp>
        <tr r="C45" s="2"/>
      </tp>
      <tp>
        <v>2.6133060000000001</v>
        <stp/>
        <stp>##V3_BDPV12</stp>
        <stp>IAIRX US Equity</stp>
        <stp>LAST_CLOSE_TRR_3YR</stp>
        <stp>[grid1_3gmijm1c.xlsx]Worksheet!R154C8</stp>
        <tr r="H154" s="2"/>
      </tp>
      <tp t="s">
        <v>#N/A N/A</v>
        <stp/>
        <stp>##V3_BDPV12</stp>
        <stp>IAIRX US Equity</stp>
        <stp>LAST_CLOSE_TRR_5YR</stp>
        <stp>[grid1_3gmijm1c.xlsx]Worksheet!R154C9</stp>
        <tr r="I154" s="2"/>
      </tp>
      <tp>
        <v>-0.27686919999999998</v>
        <stp/>
        <stp>##V3_BDPV12</stp>
        <stp>IAIRX US Equity</stp>
        <stp>LAST_CLOSE_TRR_1YR</stp>
        <stp>[grid1_3gmijm1c.xlsx]Worksheet!R154C7</stp>
        <tr r="G154" s="2"/>
      </tp>
      <tp>
        <v>17.609850000000002</v>
        <stp/>
        <stp>##V3_BDPV12</stp>
        <stp>ASHAX US Equity</stp>
        <stp>CUST_TRR_RETURN_ANNUALIZED</stp>
        <stp>[grid1_3gmijm1c.xlsx]Worksheet!R21C3</stp>
        <stp>CUST_TRR_START_DT=20200626</stp>
        <stp>CUST_TRR_END_DT=20201226</stp>
        <tr r="C21" s="2"/>
      </tp>
      <tp>
        <v>5.306559</v>
        <stp/>
        <stp>##V3_BDPV12</stp>
        <stp>PLHIX US Equity</stp>
        <stp>LAST_CLOSE_TRR_1YR</stp>
        <stp>[grid1_3gmijm1c.xlsx]Worksheet!R119C7</stp>
        <tr r="G119" s="2"/>
      </tp>
      <tp>
        <v>5.1870269999999996</v>
        <stp/>
        <stp>##V3_BDPV12</stp>
        <stp>PLHIX US Equity</stp>
        <stp>LAST_CLOSE_TRR_3YR</stp>
        <stp>[grid1_3gmijm1c.xlsx]Worksheet!R119C8</stp>
        <tr r="H119" s="2"/>
      </tp>
      <tp>
        <v>7.8054350000000001</v>
        <stp/>
        <stp>##V3_BDPV12</stp>
        <stp>PLHIX US Equity</stp>
        <stp>LAST_CLOSE_TRR_5YR</stp>
        <stp>[grid1_3gmijm1c.xlsx]Worksheet!R119C9</stp>
        <tr r="I119" s="2"/>
      </tp>
      <tp>
        <v>7.741117</v>
        <stp/>
        <stp>##V3_BDPV12</stp>
        <stp>MXHYX US Equity</stp>
        <stp>LAST_CLOSE_TRR_3MO</stp>
        <stp>[grid1_3gmijm1c.xlsx]Worksheet!R140C5</stp>
        <tr r="E140" s="2"/>
      </tp>
      <tp>
        <v>11.29461</v>
        <stp/>
        <stp>##V3_BDPV12</stp>
        <stp>HCHYX US Equity</stp>
        <stp>LAST_CLOSE_TRR_1YR</stp>
        <stp>[grid1_3gmijm1c.xlsx]Worksheet!R136C7</stp>
        <tr r="G136" s="2"/>
      </tp>
      <tp>
        <v>5.5825509999999996</v>
        <stp/>
        <stp>##V3_BDPV12</stp>
        <stp>NMHYX US Equity</stp>
        <stp>LAST_CLOSE_TRR_1YR</stp>
        <stp>[grid1_3gmijm1c.xlsx]Worksheet!R108C7</stp>
        <tr r="G108" s="2"/>
      </tp>
      <tp>
        <v>2.1660650000000001</v>
        <stp/>
        <stp>##V3_BDPV12</stp>
        <stp>MXHYX US Equity</stp>
        <stp>LAST_CLOSE_TRR_1MO</stp>
        <stp>[grid1_3gmijm1c.xlsx]Worksheet!R140C4</stp>
        <tr r="D140" s="2"/>
      </tp>
      <tp>
        <v>7.4944860000000002</v>
        <stp/>
        <stp>##V3_BDPV12</stp>
        <stp>HCHYX US Equity</stp>
        <stp>LAST_CLOSE_TRR_3YR</stp>
        <stp>[grid1_3gmijm1c.xlsx]Worksheet!R136C8</stp>
        <tr r="H136" s="2"/>
      </tp>
      <tp>
        <v>4.5523689999999997</v>
        <stp/>
        <stp>##V3_BDPV12</stp>
        <stp>NMHYX US Equity</stp>
        <stp>LAST_CLOSE_TRR_3YR</stp>
        <stp>[grid1_3gmijm1c.xlsx]Worksheet!R108C8</stp>
        <tr r="H108" s="2"/>
      </tp>
      <tp>
        <v>8.3116459999999996</v>
        <stp/>
        <stp>##V3_BDPV12</stp>
        <stp>HCHYX US Equity</stp>
        <stp>LAST_CLOSE_TRR_5YR</stp>
        <stp>[grid1_3gmijm1c.xlsx]Worksheet!R136C9</stp>
        <tr r="I136" s="2"/>
      </tp>
      <tp>
        <v>7.564953</v>
        <stp/>
        <stp>##V3_BDPV12</stp>
        <stp>NMHYX US Equity</stp>
        <stp>LAST_CLOSE_TRR_5YR</stp>
        <stp>[grid1_3gmijm1c.xlsx]Worksheet!R108C9</stp>
        <tr r="I108" s="2"/>
      </tp>
      <tp>
        <v>6.3355300000000003</v>
        <stp/>
        <stp>##V3_BDPV12</stp>
        <stp>MZHSX US Equity</stp>
        <stp>LAST_CLOSE_TRR_YTD</stp>
        <stp>[grid1_3gmijm1c.xlsx]Worksheet!R149C6</stp>
        <tr r="F149" s="2"/>
      </tp>
      <tp>
        <v>6.5737259999999997</v>
        <stp/>
        <stp>##V3_BDPV12</stp>
        <stp>PLSRX US Equity</stp>
        <stp>LAST_CLOSE_TRR_3YR</stp>
        <stp>[grid1_3gmijm1c.xlsx]Worksheet!R109C8</stp>
        <tr r="H109" s="2"/>
      </tp>
      <tp>
        <v>7.5764500000000004</v>
        <stp/>
        <stp>##V3_BDPV12</stp>
        <stp>PLSRX US Equity</stp>
        <stp>LAST_CLOSE_TRR_5YR</stp>
        <stp>[grid1_3gmijm1c.xlsx]Worksheet!R109C9</stp>
        <tr r="I109" s="2"/>
      </tp>
      <tp>
        <v>9.3584530000000008</v>
        <stp/>
        <stp>##V3_BDPV12</stp>
        <stp>PLSRX US Equity</stp>
        <stp>LAST_CLOSE_TRR_1YR</stp>
        <stp>[grid1_3gmijm1c.xlsx]Worksheet!R109C7</stp>
        <tr r="G109" s="2"/>
      </tp>
      <tp>
        <v>19.35894</v>
        <stp/>
        <stp>##V3_BDPV12</stp>
        <stp>FHIIX US Equity</stp>
        <stp>CUST_TRR_RETURN_ANNUALIZED</stp>
        <stp>[grid1_3gmijm1c.xlsx]Worksheet!R96C3</stp>
        <stp>CUST_TRR_START_DT=20200626</stp>
        <stp>CUST_TRR_END_DT=20201226</stp>
        <tr r="C96" s="2"/>
      </tp>
      <tp>
        <v>21.290479999999999</v>
        <stp/>
        <stp>##V3_BDPV12</stp>
        <stp>BJBHX US Equity</stp>
        <stp>CUST_TRR_RETURN_ANNUALIZED</stp>
        <stp>[grid1_3gmijm1c.xlsx]Worksheet!R42C3</stp>
        <stp>CUST_TRR_START_DT=20200626</stp>
        <stp>CUST_TRR_END_DT=20201226</stp>
        <tr r="C42" s="2"/>
      </tp>
      <tp>
        <v>7.2211610000000004</v>
        <stp/>
        <stp>##V3_BDPV12</stp>
        <stp>PAXHX US Equity</stp>
        <stp>LAST_CLOSE_TRR_1YR</stp>
        <stp>[grid1_3gmijm1c.xlsx]Worksheet!R104C7</stp>
        <tr r="G104" s="2"/>
      </tp>
      <tp>
        <v>5.8883999999999999</v>
        <stp/>
        <stp>##V3_BDPV12</stp>
        <stp>PAXHX US Equity</stp>
        <stp>LAST_CLOSE_TRR_3YR</stp>
        <stp>[grid1_3gmijm1c.xlsx]Worksheet!R104C8</stp>
        <tr r="H104" s="2"/>
      </tp>
      <tp>
        <v>7.5254260000000004</v>
        <stp/>
        <stp>##V3_BDPV12</stp>
        <stp>PAXHX US Equity</stp>
        <stp>LAST_CLOSE_TRR_5YR</stp>
        <stp>[grid1_3gmijm1c.xlsx]Worksheet!R104C9</stp>
        <tr r="I104" s="2"/>
      </tp>
      <tp>
        <v>14.98264</v>
        <stp/>
        <stp>##V3_BDPV12</stp>
        <stp>HBIAX US Equity</stp>
        <stp>CUST_TRR_RETURN_ANNUALIZED</stp>
        <stp>[grid1_3gmijm1c.xlsx]Worksheet!R38C3</stp>
        <stp>CUST_TRR_START_DT=20200626</stp>
        <stp>CUST_TRR_END_DT=20201226</stp>
        <tr r="C38" s="2"/>
      </tp>
      <tp>
        <v>21.560700000000001</v>
        <stp/>
        <stp>##V3_BDPV12</stp>
        <stp>HBYAX US Equity</stp>
        <stp>CUST_TRR_RETURN_ANNUALIZED</stp>
        <stp>[grid1_3gmijm1c.xlsx]Worksheet!R58C3</stp>
        <stp>CUST_TRR_START_DT=20200626</stp>
        <stp>CUST_TRR_END_DT=20201226</stp>
        <tr r="C58" s="2"/>
      </tp>
      <tp t="s">
        <v>#N/A N/A</v>
        <stp/>
        <stp>##V3_BDPV12</stp>
        <stp>TACBX US Equity</stp>
        <stp>LAST_CLOSE_TRR_3YR</stp>
        <stp>[grid1_3gmijm1c.xlsx]Worksheet!R167C8</stp>
        <tr r="H167" s="2"/>
      </tp>
      <tp t="s">
        <v>#N/A N/A</v>
        <stp/>
        <stp>##V3_BDPV12</stp>
        <stp>TACBX US Equity</stp>
        <stp>LAST_CLOSE_TRR_5YR</stp>
        <stp>[grid1_3gmijm1c.xlsx]Worksheet!R167C9</stp>
        <tr r="I167" s="2"/>
      </tp>
      <tp t="s">
        <v>#N/A N/A</v>
        <stp/>
        <stp>##V3_BDPV12</stp>
        <stp>TACBX US Equity</stp>
        <stp>LAST_CLOSE_TRR_1YR</stp>
        <stp>[grid1_3gmijm1c.xlsx]Worksheet!R167C7</stp>
        <tr r="G167" s="2"/>
      </tp>
      <tp>
        <v>19.535889999999998</v>
        <stp/>
        <stp>##V3_BDPV12</stp>
        <stp>BXIAX US Equity</stp>
        <stp>CUST_TRR_RETURN_ANNUALIZED</stp>
        <stp>[grid1_3gmijm1c.xlsx]Worksheet!R31C3</stp>
        <stp>CUST_TRR_START_DT=20200626</stp>
        <stp>CUST_TRR_END_DT=20201226</stp>
        <tr r="C31" s="2"/>
      </tp>
      <tp>
        <v>11.97579</v>
        <stp/>
        <stp>##V3_BDPV12</stp>
        <stp>HSNAX US Equity</stp>
        <stp>LAST_CLOSE_TRR_YTD</stp>
        <stp>[grid1_3gmijm1c.xlsx]Worksheet!R113C6</stp>
        <tr r="F113" s="2"/>
      </tp>
      <tp>
        <v>8.5408229999999996</v>
        <stp/>
        <stp>##V3_BDPV12</stp>
        <stp>LSIOX US Equity</stp>
        <stp>LAST_CLOSE_TRR_YTD</stp>
        <stp>[grid1_3gmijm1c.xlsx]Worksheet!R143C6</stp>
        <tr r="F143" s="2"/>
      </tp>
      <tp>
        <v>6.5865989999999996</v>
        <stp/>
        <stp>##V3_BDPV12</stp>
        <stp>GUHYX US Equity</stp>
        <stp>LAST_CLOSE_TRR_YTD</stp>
        <stp>[grid1_3gmijm1c.xlsx]Worksheet!R145C6</stp>
        <tr r="F145" s="2"/>
      </tp>
      <tp>
        <v>18.933579999999999</v>
        <stp/>
        <stp>##V3_BDPV12</stp>
        <stp>AHYVX US Equity</stp>
        <stp>CUST_TRR_RETURN_ANNUALIZED</stp>
        <stp>[grid1_3gmijm1c.xlsx]Worksheet!R52C3</stp>
        <stp>CUST_TRR_START_DT=20200626</stp>
        <stp>CUST_TRR_END_DT=20201226</stp>
        <tr r="C52" s="2"/>
      </tp>
      <tp>
        <v>18.314409999999999</v>
        <stp/>
        <stp>##V3_BDPV12</stp>
        <stp>EKHAX US Equity</stp>
        <stp>CUST_TRR_RETURN_ANNUALIZED</stp>
        <stp>[grid1_3gmijm1c.xlsx]Worksheet!R46C3</stp>
        <stp>CUST_TRR_START_DT=20200626</stp>
        <stp>CUST_TRR_END_DT=20201226</stp>
        <tr r="C46" s="2"/>
      </tp>
      <tp>
        <v>12.810969999999999</v>
        <stp/>
        <stp>##V3_BDPV12</stp>
        <stp>FDHAX US Equity</stp>
        <stp>CUST_TRR_RETURN_ANNUALIZED</stp>
        <stp>[grid1_3gmijm1c.xlsx]Worksheet!R15C3</stp>
        <stp>CUST_TRR_START_DT=20200626</stp>
        <stp>CUST_TRR_END_DT=20201226</stp>
        <tr r="C15" s="2"/>
      </tp>
      <tp>
        <v>21.068729999999999</v>
        <stp/>
        <stp>##V3_BDPV12</stp>
        <stp>BXHAX US Equity</stp>
        <stp>CUST_TRR_RETURN_ANNUALIZED</stp>
        <stp>[grid1_3gmijm1c.xlsx]Worksheet!R70C3</stp>
        <stp>CUST_TRR_START_DT=20200626</stp>
        <stp>CUST_TRR_END_DT=20201226</stp>
        <tr r="C70" s="2"/>
      </tp>
      <tp>
        <v>14.930289999999999</v>
        <stp/>
        <stp>##V3_BDPV12</stp>
        <stp>ATIPX US Equity</stp>
        <stp>CUST_TRR_RETURN_ANNUALIZED</stp>
        <stp>[grid1_3gmijm1c.xlsx]Worksheet!R13C3</stp>
        <stp>CUST_TRR_START_DT=20200626</stp>
        <stp>CUST_TRR_END_DT=20201226</stp>
        <tr r="C13" s="2"/>
      </tp>
      <tp>
        <v>18.907720000000001</v>
        <stp/>
        <stp>##V3_BDPV12</stp>
        <stp>DPLTX US Equity</stp>
        <stp>CUST_TRR_RETURN_ANNUALIZED</stp>
        <stp>[grid1_3gmijm1c.xlsx]Worksheet!R56C3</stp>
        <stp>CUST_TRR_START_DT=20200626</stp>
        <stp>CUST_TRR_END_DT=20201226</stp>
        <tr r="C56" s="2"/>
      </tp>
      <tp>
        <v>7.5255010000000002</v>
        <stp/>
        <stp>##V3_BDPV12</stp>
        <stp>DXHYX US Equity</stp>
        <stp>LAST_CLOSE_TRR_3MO</stp>
        <stp>[grid1_3gmijm1c.xlsx]Worksheet!R152C5</stp>
        <tr r="E152" s="2"/>
      </tp>
      <tp>
        <v>5.7676350000000003</v>
        <stp/>
        <stp>##V3_BDPV12</stp>
        <stp>TRHYX US Equity</stp>
        <stp>LAST_CLOSE_TRR_3MO</stp>
        <stp>[grid1_3gmijm1c.xlsx]Worksheet!R118C5</stp>
        <tr r="E118" s="2"/>
      </tp>
      <tp>
        <v>1.9416819999999999</v>
        <stp/>
        <stp>##V3_BDPV12</stp>
        <stp>DXHYX US Equity</stp>
        <stp>LAST_CLOSE_TRR_1MO</stp>
        <stp>[grid1_3gmijm1c.xlsx]Worksheet!R152C4</stp>
        <tr r="D152" s="2"/>
      </tp>
      <tp>
        <v>1.1861489999999999</v>
        <stp/>
        <stp>##V3_BDPV12</stp>
        <stp>TRHYX US Equity</stp>
        <stp>LAST_CLOSE_TRR_1MO</stp>
        <stp>[grid1_3gmijm1c.xlsx]Worksheet!R118C4</stp>
        <tr r="D118" s="2"/>
      </tp>
      <tp>
        <v>25.710159999999998</v>
        <stp/>
        <stp>##V3_BDPV12</stp>
        <stp>FHYTX US Equity</stp>
        <stp>CUST_TRR_RETURN_ANNUALIZED</stp>
        <stp>[grid1_3gmijm1c.xlsx]Worksheet!R94C3</stp>
        <stp>CUST_TRR_START_DT=20200626</stp>
        <stp>CUST_TRR_END_DT=20201226</stp>
        <tr r="C94" s="2"/>
      </tp>
      <tp>
        <v>7.0996059999999996</v>
        <stp/>
        <stp>##V3_BDPV12</stp>
        <stp>AHGNX US Equity</stp>
        <stp>LAST_CLOSE_TRR_YTD</stp>
        <stp>[grid1_3gmijm1c.xlsx]Worksheet!R156C6</stp>
        <tr r="F156" s="2"/>
      </tp>
      <tp>
        <v>7.9620110000000004</v>
        <stp/>
        <stp>##V3_BDPV12</stp>
        <stp>NEFHX US Equity</stp>
        <stp>LAST_CLOSE_TRR_3MO</stp>
        <stp>[grid1_3gmijm1c.xlsx]Worksheet!R100C5</stp>
        <tr r="E100" s="2"/>
      </tp>
      <tp>
        <v>1.4235880000000001</v>
        <stp/>
        <stp>##V3_BDPV12</stp>
        <stp>NEFHX US Equity</stp>
        <stp>LAST_CLOSE_TRR_1MO</stp>
        <stp>[grid1_3gmijm1c.xlsx]Worksheet!R100C4</stp>
        <tr r="D100" s="2"/>
      </tp>
      <tp>
        <v>6.8639229999999998</v>
        <stp/>
        <stp>##V3_BDPV12</stp>
        <stp>PHDYX US Equity</stp>
        <stp>LAST_CLOSE_TRR_YTD</stp>
        <stp>[grid1_3gmijm1c.xlsx]Worksheet!R126C6</stp>
        <tr r="F126" s="2"/>
      </tp>
      <tp t="s">
        <v>#N/A N/A</v>
        <stp/>
        <stp>##V3_BDPV12</stp>
        <stp>TCOBX US Equity</stp>
        <stp>LAST_CLOSE_TRR_1MO</stp>
        <stp>[grid1_3gmijm1c.xlsx]Worksheet!R176C4</stp>
        <tr r="D176" s="2"/>
      </tp>
      <tp t="s">
        <v>#N/A N/A</v>
        <stp/>
        <stp>##V3_BDPV12</stp>
        <stp>TCOBX US Equity</stp>
        <stp>LAST_CLOSE_TRR_3MO</stp>
        <stp>[grid1_3gmijm1c.xlsx]Worksheet!R176C5</stp>
        <tr r="E176" s="2"/>
      </tp>
      <tp>
        <v>0.85341140000000004</v>
        <stp/>
        <stp>##V3_BDPV12</stp>
        <stp>IAIRX US Equity</stp>
        <stp>LAST_CLOSE_TRR_1MO</stp>
        <stp>[grid1_3gmijm1c.xlsx]Worksheet!R154C4</stp>
        <tr r="D154" s="2"/>
      </tp>
      <tp>
        <v>6.0774030000000003</v>
        <stp/>
        <stp>##V3_BDPV12</stp>
        <stp>IAIRX US Equity</stp>
        <stp>LAST_CLOSE_TRR_3MO</stp>
        <stp>[grid1_3gmijm1c.xlsx]Worksheet!R154C5</stp>
        <tr r="E154" s="2"/>
      </tp>
      <tp>
        <v>6.9647290000000002</v>
        <stp/>
        <stp>##V3_BDPV12</stp>
        <stp>PLHIX US Equity</stp>
        <stp>LAST_CLOSE_TRR_3MO</stp>
        <stp>[grid1_3gmijm1c.xlsx]Worksheet!R119C5</stp>
        <tr r="E119" s="2"/>
      </tp>
      <tp>
        <v>1.3195749999999999</v>
        <stp/>
        <stp>##V3_BDPV12</stp>
        <stp>PLHIX US Equity</stp>
        <stp>LAST_CLOSE_TRR_1MO</stp>
        <stp>[grid1_3gmijm1c.xlsx]Worksheet!R119C4</stp>
        <tr r="D119" s="2"/>
      </tp>
      <tp>
        <v>7.3419150000000002</v>
        <stp/>
        <stp>##V3_BDPV12</stp>
        <stp>NMHYX US Equity</stp>
        <stp>LAST_CLOSE_TRR_3MO</stp>
        <stp>[grid1_3gmijm1c.xlsx]Worksheet!R108C5</stp>
        <tr r="E108" s="2"/>
      </tp>
      <tp>
        <v>5.3497940000000002</v>
        <stp/>
        <stp>##V3_BDPV12</stp>
        <stp>HCHYX US Equity</stp>
        <stp>LAST_CLOSE_TRR_3MO</stp>
        <stp>[grid1_3gmijm1c.xlsx]Worksheet!R136C5</stp>
        <tr r="E136" s="2"/>
      </tp>
      <tp>
        <v>10.465669999999999</v>
        <stp/>
        <stp>##V3_BDPV12</stp>
        <stp>MXHYX US Equity</stp>
        <stp>LAST_CLOSE_TRR_1YR</stp>
        <stp>[grid1_3gmijm1c.xlsx]Worksheet!R140C7</stp>
        <tr r="G140" s="2"/>
      </tp>
      <tp>
        <v>1.763838</v>
        <stp/>
        <stp>##V3_BDPV12</stp>
        <stp>NMHYX US Equity</stp>
        <stp>LAST_CLOSE_TRR_1MO</stp>
        <stp>[grid1_3gmijm1c.xlsx]Worksheet!R108C4</stp>
        <tr r="D108" s="2"/>
      </tp>
      <tp>
        <v>0.9198423</v>
        <stp/>
        <stp>##V3_BDPV12</stp>
        <stp>HCHYX US Equity</stp>
        <stp>LAST_CLOSE_TRR_1MO</stp>
        <stp>[grid1_3gmijm1c.xlsx]Worksheet!R136C4</stp>
        <tr r="D136" s="2"/>
      </tp>
      <tp>
        <v>6.8464660000000004</v>
        <stp/>
        <stp>##V3_BDPV12</stp>
        <stp>MXHYX US Equity</stp>
        <stp>LAST_CLOSE_TRR_3YR</stp>
        <stp>[grid1_3gmijm1c.xlsx]Worksheet!R140C8</stp>
        <tr r="H140" s="2"/>
      </tp>
      <tp>
        <v>8.489058</v>
        <stp/>
        <stp>##V3_BDPV12</stp>
        <stp>MXHYX US Equity</stp>
        <stp>LAST_CLOSE_TRR_5YR</stp>
        <stp>[grid1_3gmijm1c.xlsx]Worksheet!R140C9</stp>
        <tr r="I140" s="2"/>
      </tp>
      <tp>
        <v>1.382749</v>
        <stp/>
        <stp>##V3_BDPV12</stp>
        <stp>PLSRX US Equity</stp>
        <stp>LAST_CLOSE_TRR_1MO</stp>
        <stp>[grid1_3gmijm1c.xlsx]Worksheet!R109C4</stp>
        <tr r="D109" s="2"/>
      </tp>
      <tp>
        <v>6.045839</v>
        <stp/>
        <stp>##V3_BDPV12</stp>
        <stp>PLSRX US Equity</stp>
        <stp>LAST_CLOSE_TRR_3MO</stp>
        <stp>[grid1_3gmijm1c.xlsx]Worksheet!R109C5</stp>
        <tr r="E109" s="2"/>
      </tp>
      <tp>
        <v>0.62660009999999999</v>
        <stp/>
        <stp>##V3_BDPV12</stp>
        <stp>FJSIX US Equity</stp>
        <stp>LAST_CLOSE_TRR_YTD</stp>
        <stp>[grid1_3gmijm1c.xlsx]Worksheet!R124C6</stp>
        <tr r="F124" s="2"/>
      </tp>
      <tp>
        <v>23.340979999999998</v>
        <stp/>
        <stp>##V3_BDPV12</stp>
        <stp>TAHYX US Equity</stp>
        <stp>CUST_TRR_RETURN_ANNUALIZED</stp>
        <stp>[grid1_3gmijm1c.xlsx]Worksheet!R59C3</stp>
        <stp>CUST_TRR_START_DT=20200626</stp>
        <stp>CUST_TRR_END_DT=20201226</stp>
        <tr r="C59" s="2"/>
      </tp>
      <tp>
        <v>4.9572620000000001</v>
        <stp/>
        <stp>##V3_BDPV12</stp>
        <stp>PAXHX US Equity</stp>
        <stp>LAST_CLOSE_TRR_3MO</stp>
        <stp>[grid1_3gmijm1c.xlsx]Worksheet!R104C5</stp>
        <tr r="E104" s="2"/>
      </tp>
      <tp>
        <v>0.85192829999999997</v>
        <stp/>
        <stp>##V3_BDPV12</stp>
        <stp>PAXHX US Equity</stp>
        <stp>LAST_CLOSE_TRR_1MO</stp>
        <stp>[grid1_3gmijm1c.xlsx]Worksheet!R104C4</stp>
        <tr r="D104" s="2"/>
      </tp>
      <tp t="s">
        <v>#N/A N/A</v>
        <stp/>
        <stp>##V3_BDPV12</stp>
        <stp>EVAASFL US Equity</stp>
        <stp>CUST_TRR_RETURN_ANNUALIZED</stp>
        <stp>[grid1_3gmijm1c.xlsx]Worksheet!R153C3</stp>
        <stp>CUST_TRR_START_DT=20200626</stp>
        <stp>CUST_TRR_END_DT=20201226</stp>
        <tr r="C153" s="2"/>
      </tp>
      <tp>
        <v>5.359076</v>
        <stp/>
        <stp>##V3_BDPV12</stp>
        <stp>IHFAX US Equity</stp>
        <stp>LAST_CLOSE_TRR_YTD</stp>
        <stp>[grid1_3gmijm1c.xlsx]Worksheet!R117C6</stp>
        <tr r="F117" s="2"/>
      </tp>
      <tp>
        <v>4.6659600000000001</v>
        <stp/>
        <stp>##V3_BDPV12</stp>
        <stp>JMADX US Equity</stp>
        <stp>LAST_CLOSE_TRR_3MO</stp>
        <stp>[grid1_3gmijm1c.xlsx]Worksheet!R169C5</stp>
        <tr r="E169" s="2"/>
      </tp>
      <tp>
        <v>0.81716040000000001</v>
        <stp/>
        <stp>##V3_BDPV12</stp>
        <stp>JMADX US Equity</stp>
        <stp>LAST_CLOSE_TRR_1MO</stp>
        <stp>[grid1_3gmijm1c.xlsx]Worksheet!R169C4</stp>
        <tr r="D169" s="2"/>
      </tp>
      <tp>
        <v>9.4563489999999994</v>
        <stp/>
        <stp>##V3_BDPV12</stp>
        <stp>HIIFX US Equity</stp>
        <stp>LAST_CLOSE_TRR_YTD</stp>
        <stp>[grid1_3gmijm1c.xlsx]Worksheet!R146C6</stp>
        <tr r="F146" s="2"/>
      </tp>
      <tp>
        <v>4.7696699999999996</v>
        <stp/>
        <stp>##V3_BDPV12</stp>
        <stp>WHIAX US Equity</stp>
        <stp>LAST_CLOSE_TRR_YTD</stp>
        <stp>[grid1_3gmijm1c.xlsx]Worksheet!R107C6</stp>
        <tr r="F107" s="2"/>
      </tp>
      <tp t="s">
        <v>#N/A N/A</v>
        <stp/>
        <stp>##V3_BDPV12</stp>
        <stp>GHIAX US Equity</stp>
        <stp>LAST_CLOSE_TRR_YTD</stp>
        <stp>[grid1_3gmijm1c.xlsx]Worksheet!R147C6</stp>
        <tr r="F147" s="2"/>
      </tp>
      <tp>
        <v>7.5087140000000003</v>
        <stp/>
        <stp>##V3_BDPV12</stp>
        <stp>SAHIX US Equity</stp>
        <stp>LAST_CLOSE_TRR_3MO</stp>
        <stp>[grid1_3gmijm1c.xlsx]Worksheet!R115C5</stp>
        <tr r="E115" s="2"/>
      </tp>
      <tp>
        <v>1.389351</v>
        <stp/>
        <stp>##V3_BDPV12</stp>
        <stp>SAHIX US Equity</stp>
        <stp>LAST_CLOSE_TRR_1MO</stp>
        <stp>[grid1_3gmijm1c.xlsx]Worksheet!R115C4</stp>
        <tr r="D115" s="2"/>
      </tp>
      <tp>
        <v>4.2666259999999996</v>
        <stp/>
        <stp>##V3_BDPV12</stp>
        <stp>ANHAX US Equity</stp>
        <stp>LAST_CLOSE_TRR_YTD</stp>
        <stp>[grid1_3gmijm1c.xlsx]Worksheet!R111C6</stp>
        <tr r="F111" s="2"/>
      </tp>
      <tp>
        <v>6.3194160000000004</v>
        <stp/>
        <stp>##V3_BDPV12</stp>
        <stp>JIHLX US Equity</stp>
        <stp>LAST_CLOSE_TRR_YTD</stp>
        <stp>[grid1_3gmijm1c.xlsx]Worksheet!R116C6</stp>
        <tr r="F116" s="2"/>
      </tp>
      <tp t="s">
        <v>#N/A N/A</v>
        <stp/>
        <stp>##V3_BDPV12</stp>
        <stp>VHYLX US Equity</stp>
        <stp>LAST_CLOSE_TRR_YTD</stp>
        <stp>[grid1_3gmijm1c.xlsx]Worksheet!R177C6</stp>
        <tr r="F177" s="2"/>
      </tp>
      <tp>
        <v>4.3313819999999996</v>
        <stp/>
        <stp>##V3_BDPV12</stp>
        <stp>TRHYX US Equity</stp>
        <stp>LAST_CLOSE_TRR_1YR</stp>
        <stp>[grid1_3gmijm1c.xlsx]Worksheet!R118C7</stp>
        <tr r="G118" s="2"/>
      </tp>
      <tp>
        <v>2.0658020000000001</v>
        <stp/>
        <stp>##V3_BDPV12</stp>
        <stp>DXHYX US Equity</stp>
        <stp>LAST_CLOSE_TRR_1YR</stp>
        <stp>[grid1_3gmijm1c.xlsx]Worksheet!R152C7</stp>
        <tr r="G152" s="2"/>
      </tp>
      <tp>
        <v>5.1388379999999998</v>
        <stp/>
        <stp>##V3_BDPV12</stp>
        <stp>TRHYX US Equity</stp>
        <stp>LAST_CLOSE_TRR_3YR</stp>
        <stp>[grid1_3gmijm1c.xlsx]Worksheet!R118C8</stp>
        <tr r="H118" s="2"/>
      </tp>
      <tp>
        <v>3.5077240000000001</v>
        <stp/>
        <stp>##V3_BDPV12</stp>
        <stp>DXHYX US Equity</stp>
        <stp>LAST_CLOSE_TRR_3YR</stp>
        <stp>[grid1_3gmijm1c.xlsx]Worksheet!R152C8</stp>
        <tr r="H152" s="2"/>
      </tp>
      <tp>
        <v>7.7480190000000002</v>
        <stp/>
        <stp>##V3_BDPV12</stp>
        <stp>TRHYX US Equity</stp>
        <stp>LAST_CLOSE_TRR_5YR</stp>
        <stp>[grid1_3gmijm1c.xlsx]Worksheet!R118C9</stp>
        <tr r="I118" s="2"/>
      </tp>
      <tp t="s">
        <v>#N/A N/A</v>
        <stp/>
        <stp>##V3_BDPV12</stp>
        <stp>DXHYX US Equity</stp>
        <stp>LAST_CLOSE_TRR_5YR</stp>
        <stp>[grid1_3gmijm1c.xlsx]Worksheet!R152C9</stp>
        <tr r="I152" s="2"/>
      </tp>
      <tp t="s">
        <v>#N/A N/A</v>
        <stp/>
        <stp>##V3_BDPV12</stp>
        <stp>BHHGX US Equity</stp>
        <stp>LAST_CLOSE_TRR_YTD</stp>
        <stp>[grid1_3gmijm1c.xlsx]Worksheet!R174C6</stp>
        <tr r="F174" s="2"/>
      </tp>
      <tp t="s">
        <v>#N/A N/A</v>
        <stp/>
        <stp>##V3_BDPV12</stp>
        <stp>TACBX US Equity</stp>
        <stp>LAST_CLOSE_TRR_1MO</stp>
        <stp>[grid1_3gmijm1c.xlsx]Worksheet!R167C4</stp>
        <tr r="D167" s="2"/>
      </tp>
      <tp t="s">
        <v>#N/A N/A</v>
        <stp/>
        <stp>##V3_BDPV12</stp>
        <stp>TACBX US Equity</stp>
        <stp>LAST_CLOSE_TRR_3MO</stp>
        <stp>[grid1_3gmijm1c.xlsx]Worksheet!R167C5</stp>
        <tr r="E167" s="2"/>
      </tp>
      <tp>
        <v>16.007480000000001</v>
        <stp/>
        <stp>##V3_BDPV12</stp>
        <stp>WTLTX US Equity</stp>
        <stp>CUST_TRR_RETURN_ANNUALIZED</stp>
        <stp>[grid1_3gmijm1c.xlsx]Worksheet!R79C3</stp>
        <stp>CUST_TRR_START_DT=20200626</stp>
        <stp>CUST_TRR_END_DT=20201226</stp>
        <tr r="C79" s="2"/>
      </tp>
      <tp>
        <v>4.3262179999999999</v>
        <stp/>
        <stp>##V3_BDPV12</stp>
        <stp>KAMAX US Equity</stp>
        <stp>LAST_CLOSE_TRR_3MO</stp>
        <stp>[grid1_3gmijm1c.xlsx]Worksheet!R170C5</stp>
        <tr r="E170" s="2"/>
      </tp>
      <tp>
        <v>1.1752849999999999</v>
        <stp/>
        <stp>##V3_BDPV12</stp>
        <stp>KAMAX US Equity</stp>
        <stp>LAST_CLOSE_TRR_1MO</stp>
        <stp>[grid1_3gmijm1c.xlsx]Worksheet!R170C4</stp>
        <tr r="D170" s="2"/>
      </tp>
      <tp>
        <v>6.1259769999999998</v>
        <stp/>
        <stp>##V3_BDPV12</stp>
        <stp>PBHAX US Equity</stp>
        <stp>LAST_CLOSE_TRR_3MO</stp>
        <stp>[grid1_3gmijm1c.xlsx]Worksheet!R133C5</stp>
        <tr r="E133" s="2"/>
      </tp>
      <tp>
        <v>1.663278</v>
        <stp/>
        <stp>##V3_BDPV12</stp>
        <stp>PBHAX US Equity</stp>
        <stp>LAST_CLOSE_TRR_1MO</stp>
        <stp>[grid1_3gmijm1c.xlsx]Worksheet!R133C4</stp>
        <tr r="D133" s="2"/>
      </tp>
      <tp>
        <v>6.8335780000000002</v>
        <stp/>
        <stp>##V3_BDPV12</stp>
        <stp>FHHIX US Equity</stp>
        <stp>LAST_CLOSE_TRR_YTD</stp>
        <stp>[grid1_3gmijm1c.xlsx]Worksheet!R172C6</stp>
        <tr r="F172" s="2"/>
      </tp>
      <tp>
        <v>26.376619999999999</v>
        <stp/>
        <stp>##V3_BDPV12</stp>
        <stp>PGHYX US Equity</stp>
        <stp>CUST_TRR_RETURN_ANNUALIZED</stp>
        <stp>[grid1_3gmijm1c.xlsx]Worksheet!R39C3</stp>
        <stp>CUST_TRR_START_DT=20200626</stp>
        <stp>CUST_TRR_END_DT=20201226</stp>
        <tr r="C39" s="2"/>
      </tp>
      <tp t="s">
        <v>#N/A N/A</v>
        <stp/>
        <stp>##V3_BDPV12</stp>
        <stp>QHYIX US Equity</stp>
        <stp>LAST_CLOSE_TRR_3MO</stp>
        <stp>[grid1_3gmijm1c.xlsx]Worksheet!R159C5</stp>
        <tr r="E159" s="2"/>
      </tp>
      <tp t="s">
        <v>#N/A N/A</v>
        <stp/>
        <stp>##V3_BDPV12</stp>
        <stp>QHYIX US Equity</stp>
        <stp>LAST_CLOSE_TRR_1MO</stp>
        <stp>[grid1_3gmijm1c.xlsx]Worksheet!R159C4</stp>
        <tr r="D159" s="2"/>
      </tp>
      <tp>
        <v>7.9115029999999997</v>
        <stp/>
        <stp>##V3_BDPV12</stp>
        <stp>HIYYX US Equity</stp>
        <stp>LAST_CLOSE_TRR_3MO</stp>
        <stp>[grid1_3gmijm1c.xlsx]Worksheet!R138C5</stp>
        <tr r="E138" s="2"/>
      </tp>
      <tp>
        <v>2.2774329999999998</v>
        <stp/>
        <stp>##V3_BDPV12</stp>
        <stp>HIYYX US Equity</stp>
        <stp>LAST_CLOSE_TRR_1MO</stp>
        <stp>[grid1_3gmijm1c.xlsx]Worksheet!R138C4</stp>
        <tr r="D138" s="2"/>
      </tp>
      <tp>
        <v>4.0334830000000004</v>
        <stp/>
        <stp>##V3_BDPV12</stp>
        <stp>SHYAX US Equity</stp>
        <stp>LAST_CLOSE_TRR_YTD</stp>
        <stp>[grid1_3gmijm1c.xlsx]Worksheet!R112C6</stp>
        <tr r="F112" s="2"/>
      </tp>
      <tp>
        <v>5.1930769999999997</v>
        <stp/>
        <stp>##V3_BDPV12</stp>
        <stp>BHYIX US Equity</stp>
        <stp>LAST_CLOSE_TRR_YTD</stp>
        <stp>[grid1_3gmijm1c.xlsx]Worksheet!R122C6</stp>
        <tr r="F122" s="2"/>
      </tp>
      <tp t="s">
        <v>#N/A N/A</v>
        <stp/>
        <stp>##V3_BDPV12</stp>
        <stp>BHDIX US Equity</stp>
        <stp>LAST_CLOSE_TRR_YTD</stp>
        <stp>[grid1_3gmijm1c.xlsx]Worksheet!R173C6</stp>
        <tr r="F173" s="2"/>
      </tp>
      <tp>
        <v>2.5392939999999999</v>
        <stp/>
        <stp>##V3_BDPV12</stp>
        <stp>CBLDX US Equity</stp>
        <stp>LAST_CLOSE_TRR_3MO</stp>
        <stp>[grid1_3gmijm1c.xlsx]Worksheet!R162C5</stp>
        <tr r="E162" s="2"/>
      </tp>
      <tp>
        <v>1.38801</v>
        <stp/>
        <stp>##V3_BDPV12</stp>
        <stp>CBLDX US Equity</stp>
        <stp>LAST_CLOSE_TRR_1MO</stp>
        <stp>[grid1_3gmijm1c.xlsx]Worksheet!R162C4</stp>
        <tr r="D162" s="2"/>
      </tp>
      <tp>
        <v>5.2075149999999999</v>
        <stp/>
        <stp>##V3_BDPV12</stp>
        <stp>JIHDX US Equity</stp>
        <stp>LAST_CLOSE_TRR_YTD</stp>
        <stp>[grid1_3gmijm1c.xlsx]Worksheet!R132C6</stp>
        <tr r="F132" s="2"/>
      </tp>
      <tp>
        <v>5.0620320000000003</v>
        <stp/>
        <stp>##V3_BDPV12</stp>
        <stp>GHVIX US Equity</stp>
        <stp>LAST_CLOSE_TRR_YTD</stp>
        <stp>[grid1_3gmijm1c.xlsx]Worksheet!R163C6</stp>
        <tr r="F163" s="2"/>
      </tp>
      <tp t="s">
        <v>#N/A N/A</v>
        <stp/>
        <stp>##V3_BDPV12</stp>
        <stp>ACRFX US Equity</stp>
        <stp>LAST_CLOSE_TRR_YTD</stp>
        <stp>[grid1_3gmijm1c.xlsx]Worksheet!R168C6</stp>
        <tr r="F168" s="2"/>
      </tp>
      <tp>
        <v>-7.6194290000000002</v>
        <stp/>
        <stp>##V3_BDPV12</stp>
        <stp>RCRAX US Equity</stp>
        <stp>LAST_CLOSE_TRR_YTD</stp>
        <stp>[grid1_3gmijm1c.xlsx]Worksheet!R148C6</stp>
        <tr r="F148" s="2"/>
      </tp>
      <tp>
        <v>10.163410000000001</v>
        <stp/>
        <stp>##V3_BDPV12</stp>
        <stp>FAGIX US Equity</stp>
        <stp>LAST_CLOSE_TRR_3MO</stp>
        <stp>[grid1_3gmijm1c.xlsx]Worksheet!R142C5</stp>
        <tr r="E142" s="2"/>
      </tp>
      <tp>
        <v>2.417446</v>
        <stp/>
        <stp>##V3_BDPV12</stp>
        <stp>FAGIX US Equity</stp>
        <stp>LAST_CLOSE_TRR_1MO</stp>
        <stp>[grid1_3gmijm1c.xlsx]Worksheet!R142C4</stp>
        <tr r="D142" s="2"/>
      </tp>
      <tp>
        <v>9.2166429999999995</v>
        <stp/>
        <stp>##V3_BDPV12</stp>
        <stp>SAMHX US Equity</stp>
        <stp>LAST_CLOSE_TRR_YTD</stp>
        <stp>[grid1_3gmijm1c.xlsx]Worksheet!R129C6</stp>
        <tr r="F129" s="2"/>
      </tp>
      <tp>
        <v>6.2629859999999997</v>
        <stp/>
        <stp>##V3_BDPV12</stp>
        <stp>AHITX US Equity</stp>
        <stp>LAST_CLOSE_TRR_YTD</stp>
        <stp>[grid1_3gmijm1c.xlsx]Worksheet!R120C6</stp>
        <tr r="F120" s="2"/>
      </tp>
      <tp>
        <v>6.8681219999999996</v>
        <stp/>
        <stp>##V3_BDPV12</stp>
        <stp>PKHIX US Equity</stp>
        <stp>LAST_CLOSE_TRR_3MO</stp>
        <stp>[grid1_3gmijm1c.xlsx]Worksheet!R158C5</stp>
        <tr r="E158" s="2"/>
      </tp>
      <tp>
        <v>1.558778</v>
        <stp/>
        <stp>##V3_BDPV12</stp>
        <stp>PKHIX US Equity</stp>
        <stp>LAST_CLOSE_TRR_1MO</stp>
        <stp>[grid1_3gmijm1c.xlsx]Worksheet!R158C4</stp>
        <tr r="D158" s="2"/>
      </tp>
      <tp>
        <v>5.9371479999999996</v>
        <stp/>
        <stp>##V3_BDPV12</stp>
        <stp>MGHYX US Equity</stp>
        <stp>LAST_CLOSE_TRR_3MO</stp>
        <stp>[grid1_3gmijm1c.xlsx]Worksheet!R114C5</stp>
        <tr r="E114" s="2"/>
      </tp>
      <tp>
        <v>6.7516109999999996</v>
        <stp/>
        <stp>##V3_BDPV12</stp>
        <stp>SAHYX US Equity</stp>
        <stp>LAST_CLOSE_TRR_3MO</stp>
        <stp>[grid1_3gmijm1c.xlsx]Worksheet!R102C5</stp>
        <tr r="E102" s="2"/>
      </tp>
      <tp>
        <v>0.85105109999999995</v>
        <stp/>
        <stp>##V3_BDPV12</stp>
        <stp>MGHYX US Equity</stp>
        <stp>LAST_CLOSE_TRR_1MO</stp>
        <stp>[grid1_3gmijm1c.xlsx]Worksheet!R114C4</stp>
        <tr r="D114" s="2"/>
      </tp>
      <tp>
        <v>1.525101</v>
        <stp/>
        <stp>##V3_BDPV12</stp>
        <stp>SAHYX US Equity</stp>
        <stp>LAST_CLOSE_TRR_1MO</stp>
        <stp>[grid1_3gmijm1c.xlsx]Worksheet!R102C4</stp>
        <tr r="D102" s="2"/>
      </tp>
      <tp>
        <v>6.4635660000000001</v>
        <stp/>
        <stp>##V3_BDPV12</stp>
        <stp>TNHAX US Equity</stp>
        <stp>LAST_CLOSE_TRR_YTD</stp>
        <stp>[grid1_3gmijm1c.xlsx]Worksheet!R106C6</stp>
        <tr r="F106" s="2"/>
      </tp>
      <tp>
        <v>5.4362649999999997</v>
        <stp/>
        <stp>##V3_BDPV12</stp>
        <stp>FIHBX US Equity</stp>
        <stp>LAST_CLOSE_TRR_YTD</stp>
        <stp>[grid1_3gmijm1c.xlsx]Worksheet!R121C6</stp>
        <tr r="F121" s="2"/>
      </tp>
      <tp>
        <v>7.6613309999999997</v>
        <stp/>
        <stp>##V3_BDPV12</stp>
        <stp>FAHYX US Equity</stp>
        <stp>LAST_CLOSE_TRR_YTD</stp>
        <stp>[grid1_3gmijm1c.xlsx]Worksheet!R139C6</stp>
        <tr r="F139" s="2"/>
      </tp>
      <tp>
        <v>5.6530699999999996</v>
        <stp/>
        <stp>##V3_BDPV12</stp>
        <stp>PHSIX US Equity</stp>
        <stp>LAST_CLOSE_TRR_YTD</stp>
        <stp>[grid1_3gmijm1c.xlsx]Worksheet!R130C6</stp>
        <tr r="F130" s="2"/>
      </tp>
      <tp>
        <v>22.00742</v>
        <stp/>
        <stp>##V3_BDPV12</stp>
        <stp>SHYIX US Equity</stp>
        <stp>CUST_TRR_RETURN_ANNUALIZED</stp>
        <stp>[grid1_3gmijm1c.xlsx]Worksheet!R88C3</stp>
        <stp>CUST_TRR_START_DT=20200626</stp>
        <stp>CUST_TRR_END_DT=20201226</stp>
        <tr r="C88" s="2"/>
      </tp>
      <tp>
        <v>7.6755560000000003</v>
        <stp/>
        <stp>##V3_BDPV12</stp>
        <stp>PHYSX US Equity</stp>
        <stp>LAST_CLOSE_TRR_YTD</stp>
        <stp>[grid1_3gmijm1c.xlsx]Worksheet!R110C6</stp>
        <tr r="F110" s="2"/>
      </tp>
      <tp>
        <v>8.6898940000000007</v>
        <stp/>
        <stp>##V3_BDPV12</stp>
        <stp>PIAMX US Equity</stp>
        <stp>LAST_CLOSE_TRR_YTD</stp>
        <stp>[grid1_3gmijm1c.xlsx]Worksheet!R160C6</stp>
        <tr r="F160" s="2"/>
      </tp>
      <tp>
        <v>6.2734519999999998</v>
        <stp/>
        <stp>##V3_BDPV12</stp>
        <stp>FHAIX US Equity</stp>
        <stp>LAST_CLOSE_TRR_YTD</stp>
        <stp>[grid1_3gmijm1c.xlsx]Worksheet!R141C6</stp>
        <tr r="F141" s="2"/>
      </tp>
      <tp>
        <v>5.847245</v>
        <stp/>
        <stp>##V3_BDPV12</stp>
        <stp>PAOPX US Equity</stp>
        <stp>LAST_CLOSE_TRR_3MO</stp>
        <stp>[grid1_3gmijm1c.xlsx]Worksheet!R123C5</stp>
        <tr r="E123" s="2"/>
      </tp>
      <tp>
        <v>1.1678440000000001</v>
        <stp/>
        <stp>##V3_BDPV12</stp>
        <stp>PAOPX US Equity</stp>
        <stp>LAST_CLOSE_TRR_1MO</stp>
        <stp>[grid1_3gmijm1c.xlsx]Worksheet!R123C4</stp>
        <tr r="D123" s="2"/>
      </tp>
      <tp>
        <v>6.9848990000000004</v>
        <stp/>
        <stp>##V3_BDPV12</stp>
        <stp>AHIAX US Equity</stp>
        <stp>LAST_CLOSE_TRR_YTD</stp>
        <stp>[grid1_3gmijm1c.xlsx]Worksheet!R161C6</stp>
        <tr r="F161" s="2"/>
      </tp>
      <tp>
        <v>9.5401790000000002</v>
        <stp/>
        <stp>##V3_BDPV12</stp>
        <stp>MFHIX US Equity</stp>
        <stp>LAST_CLOSE_TRR_3MO</stp>
        <stp>[grid1_3gmijm1c.xlsx]Worksheet!R164C5</stp>
        <tr r="E164" s="2"/>
      </tp>
      <tp>
        <v>2.825088</v>
        <stp/>
        <stp>##V3_BDPV12</stp>
        <stp>MFHIX US Equity</stp>
        <stp>LAST_CLOSE_TRR_1MO</stp>
        <stp>[grid1_3gmijm1c.xlsx]Worksheet!R164C4</stp>
        <tr r="D164" s="2"/>
      </tp>
      <tp>
        <v>6.5439699999999998</v>
        <stp/>
        <stp>##V3_BDPV12</stp>
        <stp>RGHYX US Equity</stp>
        <stp>LAST_CLOSE_TRR_3MO</stp>
        <stp>[grid1_3gmijm1c.xlsx]Worksheet!R125C5</stp>
        <tr r="E125" s="2"/>
      </tp>
      <tp>
        <v>1.100336</v>
        <stp/>
        <stp>##V3_BDPV12</stp>
        <stp>RGHYX US Equity</stp>
        <stp>LAST_CLOSE_TRR_1MO</stp>
        <stp>[grid1_3gmijm1c.xlsx]Worksheet!R125C4</stp>
        <tr r="D125" s="2"/>
      </tp>
      <tp>
        <v>12.78153</v>
        <stp/>
        <stp>##V3_BDPV12</stp>
        <stp>DHHAX US Equity</stp>
        <stp>LAST_CLOSE_TRR_YTD</stp>
        <stp>[grid1_3gmijm1c.xlsx]Worksheet!R151C6</stp>
        <tr r="F151" s="2"/>
      </tp>
      <tp>
        <v>5.9674779999999998</v>
        <stp/>
        <stp>##V3_BDPV12</stp>
        <stp>WAHYX US Equity</stp>
        <stp>LAST_CLOSE_TRR_YTD</stp>
        <stp>[grid1_3gmijm1c.xlsx]Worksheet!R128C6</stp>
        <tr r="F128" s="2"/>
      </tp>
      <tp>
        <v>5.8575290000000004</v>
        <stp/>
        <stp>##V3_BDPV12</stp>
        <stp>MNHYX US Equity</stp>
        <stp>LAST_CLOSE_TRR_YTD</stp>
        <stp>[grid1_3gmijm1c.xlsx]Worksheet!R127C6</stp>
        <tr r="F127" s="2"/>
      </tp>
      <tp>
        <v>7.9900969999999996</v>
        <stp/>
        <stp>##V3_BDPV12</stp>
        <stp>SGYAX US Equity</stp>
        <stp>LAST_CLOSE_TRR_3MO</stp>
        <stp>[grid1_3gmijm1c.xlsx]Worksheet!R135C5</stp>
        <tr r="E135" s="2"/>
      </tp>
      <tp>
        <v>2.0807250000000002</v>
        <stp/>
        <stp>##V3_BDPV12</stp>
        <stp>SGYAX US Equity</stp>
        <stp>LAST_CLOSE_TRR_1MO</stp>
        <stp>[grid1_3gmijm1c.xlsx]Worksheet!R135C4</stp>
        <tr r="D135" s="2"/>
      </tp>
      <tp>
        <v>5.789879</v>
        <stp/>
        <stp>##V3_BDPV12</stp>
        <stp>PHYIX US Equity</stp>
        <stp>LAST_CLOSE_TRR_YTD</stp>
        <stp>[grid1_3gmijm1c.xlsx]Worksheet!R101C6</stp>
        <tr r="F101" s="2"/>
      </tp>
      <tp t="s">
        <v>#N/A N/A</v>
        <stp/>
        <stp>##V3_BDPV12</stp>
        <stp>TACBX US Equity</stp>
        <stp>LAST_CLOSE_TRR_YTD</stp>
        <stp>[grid1_3gmijm1c.xlsx]Worksheet!R167C6</stp>
        <tr r="F167" s="2"/>
      </tp>
      <tp>
        <v>7.1969269999999996</v>
        <stp/>
        <stp>##V3_BDPV12</stp>
        <stp>HSNAX US Equity</stp>
        <stp>LAST_CLOSE_TRR_3YR</stp>
        <stp>[grid1_3gmijm1c.xlsx]Worksheet!R113C8</stp>
        <tr r="H113" s="2"/>
      </tp>
      <tp>
        <v>7.7096039999999997</v>
        <stp/>
        <stp>##V3_BDPV12</stp>
        <stp>HSNAX US Equity</stp>
        <stp>LAST_CLOSE_TRR_5YR</stp>
        <stp>[grid1_3gmijm1c.xlsx]Worksheet!R113C9</stp>
        <tr r="I113" s="2"/>
      </tp>
      <tp>
        <v>12.14818</v>
        <stp/>
        <stp>##V3_BDPV12</stp>
        <stp>HSNAX US Equity</stp>
        <stp>LAST_CLOSE_TRR_1YR</stp>
        <stp>[grid1_3gmijm1c.xlsx]Worksheet!R113C7</stp>
        <tr r="G113" s="2"/>
      </tp>
      <tp>
        <v>8.6437050000000006</v>
        <stp/>
        <stp>##V3_BDPV12</stp>
        <stp>LSIOX US Equity</stp>
        <stp>LAST_CLOSE_TRR_1YR</stp>
        <stp>[grid1_3gmijm1c.xlsx]Worksheet!R143C7</stp>
        <tr r="G143" s="2"/>
      </tp>
      <tp>
        <v>8.6244239999999994</v>
        <stp/>
        <stp>##V3_BDPV12</stp>
        <stp>LSIOX US Equity</stp>
        <stp>LAST_CLOSE_TRR_5YR</stp>
        <stp>[grid1_3gmijm1c.xlsx]Worksheet!R143C9</stp>
        <tr r="I143" s="2"/>
      </tp>
      <tp>
        <v>6.347207</v>
        <stp/>
        <stp>##V3_BDPV12</stp>
        <stp>LSIOX US Equity</stp>
        <stp>LAST_CLOSE_TRR_3YR</stp>
        <stp>[grid1_3gmijm1c.xlsx]Worksheet!R143C8</stp>
        <tr r="H143" s="2"/>
      </tp>
      <tp>
        <v>6.9345400000000001</v>
        <stp/>
        <stp>##V3_BDPV12</stp>
        <stp>GUHYX US Equity</stp>
        <stp>LAST_CLOSE_TRR_1YR</stp>
        <stp>[grid1_3gmijm1c.xlsx]Worksheet!R145C7</stp>
        <tr r="G145" s="2"/>
      </tp>
      <tp>
        <v>7.0631459999999997</v>
        <stp/>
        <stp>##V3_BDPV12</stp>
        <stp>GUHYX US Equity</stp>
        <stp>LAST_CLOSE_TRR_3YR</stp>
        <stp>[grid1_3gmijm1c.xlsx]Worksheet!R145C8</stp>
        <tr r="H145" s="2"/>
      </tp>
      <tp>
        <v>9.3389760000000006</v>
        <stp/>
        <stp>##V3_BDPV12</stp>
        <stp>GUHYX US Equity</stp>
        <stp>LAST_CLOSE_TRR_5YR</stp>
        <stp>[grid1_3gmijm1c.xlsx]Worksheet!R145C9</stp>
        <tr r="I145" s="2"/>
      </tp>
      <tp>
        <v>20.198640000000001</v>
        <stp/>
        <stp>##V3_BDPV12</stp>
        <stp>SHIAX US Equity</stp>
        <stp>CUST_TRR_RETURN_ANNUALIZED</stp>
        <stp>[grid1_3gmijm1c.xlsx]Worksheet!R36C3</stp>
        <stp>CUST_TRR_START_DT=20200626</stp>
        <stp>CUST_TRR_END_DT=20201226</stp>
        <tr r="C36" s="2"/>
      </tp>
      <tp>
        <v>19.636230000000001</v>
        <stp/>
        <stp>##V3_BDPV12</stp>
        <stp>THYUX US Equity</stp>
        <stp>CUST_TRR_RETURN_ANNUALIZED</stp>
        <stp>[grid1_3gmijm1c.xlsx]Worksheet!R51C3</stp>
        <stp>CUST_TRR_START_DT=20200626</stp>
        <stp>CUST_TRR_END_DT=20201226</stp>
        <tr r="C51" s="2"/>
      </tp>
      <tp>
        <v>21.84966</v>
        <stp/>
        <stp>##V3_BDPV12</stp>
        <stp>PYHIX US Equity</stp>
        <stp>CUST_TRR_RETURN_ANNUALIZED</stp>
        <stp>[grid1_3gmijm1c.xlsx]Worksheet!R54C3</stp>
        <stp>CUST_TRR_START_DT=20200626</stp>
        <stp>CUST_TRR_END_DT=20201226</stp>
        <tr r="C54" s="2"/>
      </tp>
      <tp t="s">
        <v>#N/A N/A</v>
        <stp/>
        <stp>##V3_BDPV12</stp>
        <stp>BHHGX US Equity</stp>
        <stp>LAST_CLOSE_TRR_1MO</stp>
        <stp>[grid1_3gmijm1c.xlsx]Worksheet!R174C4</stp>
        <tr r="D174" s="2"/>
      </tp>
      <tp t="s">
        <v>#N/A N/A</v>
        <stp/>
        <stp>##V3_BDPV12</stp>
        <stp>BHHGX US Equity</stp>
        <stp>LAST_CLOSE_TRR_3MO</stp>
        <stp>[grid1_3gmijm1c.xlsx]Worksheet!R174C5</stp>
        <tr r="E174" s="2"/>
      </tp>
      <tp>
        <v>30.855370000000001</v>
        <stp/>
        <stp>##V3_BDPV12</stp>
        <stp>WHGHX US Equity</stp>
        <stp>CUST_TRR_RETURN_ANNUALIZED</stp>
        <stp>[grid1_3gmijm1c.xlsx]Worksheet!R73C3</stp>
        <stp>CUST_TRR_START_DT=20200626</stp>
        <stp>CUST_TRR_END_DT=20201226</stp>
        <tr r="C73" s="2"/>
      </tp>
      <tp>
        <v>6.0323779999999996</v>
        <stp/>
        <stp>##V3_BDPV12</stp>
        <stp>IHFAX US Equity</stp>
        <stp>LAST_CLOSE_TRR_3MO</stp>
        <stp>[grid1_3gmijm1c.xlsx]Worksheet!R117C5</stp>
        <tr r="E117" s="2"/>
      </tp>
      <tp>
        <v>1.367772</v>
        <stp/>
        <stp>##V3_BDPV12</stp>
        <stp>IHFAX US Equity</stp>
        <stp>LAST_CLOSE_TRR_1MO</stp>
        <stp>[grid1_3gmijm1c.xlsx]Worksheet!R117C4</stp>
        <tr r="D117" s="2"/>
      </tp>
      <tp>
        <v>-1.5952139999999999</v>
        <stp/>
        <stp>##V3_BDPV12</stp>
        <stp>JMADX US Equity</stp>
        <stp>LAST_CLOSE_TRR_YTD</stp>
        <stp>[grid1_3gmijm1c.xlsx]Worksheet!R169C6</stp>
        <tr r="F169" s="2"/>
      </tp>
      <tp>
        <v>16.82338</v>
        <stp/>
        <stp>##V3_BDPV12</stp>
        <stp>SPHIX US Equity</stp>
        <stp>CUST_TRR_RETURN_ANNUALIZED</stp>
        <stp>[grid1_3gmijm1c.xlsx]Worksheet!R84C3</stp>
        <stp>CUST_TRR_START_DT=20200626</stp>
        <stp>CUST_TRR_END_DT=20201226</stp>
        <tr r="C84" s="2"/>
      </tp>
      <tp>
        <v>1.78538</v>
        <stp/>
        <stp>##V3_BDPV12</stp>
        <stp>HIIFX US Equity</stp>
        <stp>LAST_CLOSE_TRR_1MO</stp>
        <stp>[grid1_3gmijm1c.xlsx]Worksheet!R146C4</stp>
        <tr r="D146" s="2"/>
      </tp>
      <tp>
        <v>7.0724140000000002</v>
        <stp/>
        <stp>##V3_BDPV12</stp>
        <stp>HIIFX US Equity</stp>
        <stp>LAST_CLOSE_TRR_3MO</stp>
        <stp>[grid1_3gmijm1c.xlsx]Worksheet!R146C5</stp>
        <tr r="E146" s="2"/>
      </tp>
      <tp t="s">
        <v>#N/A N/A</v>
        <stp/>
        <stp>##V3_BDPV12</stp>
        <stp>GHIAX US Equity</stp>
        <stp>LAST_CLOSE_TRR_3MO</stp>
        <stp>[grid1_3gmijm1c.xlsx]Worksheet!R147C5</stp>
        <tr r="E147" s="2"/>
      </tp>
      <tp>
        <v>7.6730980000000004</v>
        <stp/>
        <stp>##V3_BDPV12</stp>
        <stp>WHIAX US Equity</stp>
        <stp>LAST_CLOSE_TRR_3MO</stp>
        <stp>[grid1_3gmijm1c.xlsx]Worksheet!R107C5</stp>
        <tr r="E107" s="2"/>
      </tp>
      <tp t="s">
        <v>#N/A N/A</v>
        <stp/>
        <stp>##V3_BDPV12</stp>
        <stp>GHIAX US Equity</stp>
        <stp>LAST_CLOSE_TRR_1MO</stp>
        <stp>[grid1_3gmijm1c.xlsx]Worksheet!R147C4</stp>
        <tr r="D147" s="2"/>
      </tp>
      <tp>
        <v>2.6141079999999999</v>
        <stp/>
        <stp>##V3_BDPV12</stp>
        <stp>WHIAX US Equity</stp>
        <stp>LAST_CLOSE_TRR_1MO</stp>
        <stp>[grid1_3gmijm1c.xlsx]Worksheet!R107C4</stp>
        <tr r="D107" s="2"/>
      </tp>
      <tp>
        <v>5.8771909999999998</v>
        <stp/>
        <stp>##V3_BDPV12</stp>
        <stp>TUHAX US Equity</stp>
        <stp>LAST_CLOSE_TRR_3YR</stp>
        <stp>[grid1_3gmijm1c.xlsx]Worksheet!R137C8</stp>
        <tr r="H137" s="2"/>
      </tp>
      <tp>
        <v>6.7040110000000004</v>
        <stp/>
        <stp>##V3_BDPV12</stp>
        <stp>JIHLX US Equity</stp>
        <stp>LAST_CLOSE_TRR_3MO</stp>
        <stp>[grid1_3gmijm1c.xlsx]Worksheet!R116C5</stp>
        <tr r="E116" s="2"/>
      </tp>
      <tp>
        <v>1.8581479999999999</v>
        <stp/>
        <stp>##V3_BDPV12</stp>
        <stp>JIHLX US Equity</stp>
        <stp>LAST_CLOSE_TRR_1MO</stp>
        <stp>[grid1_3gmijm1c.xlsx]Worksheet!R116C4</stp>
        <tr r="D116" s="2"/>
      </tp>
      <tp>
        <v>3.7771870000000001</v>
        <stp/>
        <stp>##V3_BDPV12</stp>
        <stp>FSHNX US Equity</stp>
        <stp>LAST_CLOSE_TRR_1YR</stp>
        <stp>[grid1_3gmijm1c.xlsx]Worksheet!R131C7</stp>
        <tr r="G131" s="2"/>
      </tp>
      <tp>
        <v>8.3646130000000003</v>
        <stp/>
        <stp>##V3_BDPV12</stp>
        <stp>TUHAX US Equity</stp>
        <stp>LAST_CLOSE_TRR_5YR</stp>
        <stp>[grid1_3gmijm1c.xlsx]Worksheet!R137C9</stp>
        <tr r="I137" s="2"/>
      </tp>
      <tp>
        <v>8.0974369999999993</v>
        <stp/>
        <stp>##V3_BDPV12</stp>
        <stp>FSHNX US Equity</stp>
        <stp>LAST_CLOSE_TRR_5YR</stp>
        <stp>[grid1_3gmijm1c.xlsx]Worksheet!R131C9</stp>
        <tr r="I131" s="2"/>
      </tp>
      <tp>
        <v>6.5026869999999999</v>
        <stp/>
        <stp>##V3_BDPV12</stp>
        <stp>TUHAX US Equity</stp>
        <stp>LAST_CLOSE_TRR_1YR</stp>
        <stp>[grid1_3gmijm1c.xlsx]Worksheet!R137C7</stp>
        <tr r="G137" s="2"/>
      </tp>
      <tp>
        <v>6.3308559999999998</v>
        <stp/>
        <stp>##V3_BDPV12</stp>
        <stp>ANHAX US Equity</stp>
        <stp>LAST_CLOSE_TRR_3MO</stp>
        <stp>[grid1_3gmijm1c.xlsx]Worksheet!R111C5</stp>
        <tr r="E111" s="2"/>
      </tp>
      <tp>
        <v>5.1589039999999997</v>
        <stp/>
        <stp>##V3_BDPV12</stp>
        <stp>FSHNX US Equity</stp>
        <stp>LAST_CLOSE_TRR_3YR</stp>
        <stp>[grid1_3gmijm1c.xlsx]Worksheet!R131C8</stp>
        <tr r="H131" s="2"/>
      </tp>
      <tp>
        <v>1.783547</v>
        <stp/>
        <stp>##V3_BDPV12</stp>
        <stp>ANHAX US Equity</stp>
        <stp>LAST_CLOSE_TRR_1MO</stp>
        <stp>[grid1_3gmijm1c.xlsx]Worksheet!R111C4</stp>
        <tr r="D111" s="2"/>
      </tp>
      <tp>
        <v>6.5428810000000004</v>
        <stp/>
        <stp>##V3_BDPV12</stp>
        <stp>SAHIX US Equity</stp>
        <stp>LAST_CLOSE_TRR_YTD</stp>
        <stp>[grid1_3gmijm1c.xlsx]Worksheet!R115C6</stp>
        <tr r="F115" s="2"/>
      </tp>
      <tp>
        <v>18.667490000000001</v>
        <stp/>
        <stp>##V3_BDPV12</stp>
        <stp>TIHYX US Equity</stp>
        <stp>CUST_TRR_RETURN_ANNUALIZED</stp>
        <stp>[grid1_3gmijm1c.xlsx]Worksheet!R83C3</stp>
        <stp>CUST_TRR_START_DT=20200626</stp>
        <stp>CUST_TRR_END_DT=20201226</stp>
        <tr r="C83" s="2"/>
      </tp>
      <tp>
        <v>18.019500000000001</v>
        <stp/>
        <stp>##V3_BDPV12</stp>
        <stp>PHDAX US Equity</stp>
        <stp>CUST_TRR_RETURN_ANNUALIZED</stp>
        <stp>[grid1_3gmijm1c.xlsx]Worksheet!R67C3</stp>
        <stp>CUST_TRR_START_DT=20200626</stp>
        <stp>CUST_TRR_END_DT=20201226</stp>
        <tr r="C67" s="2"/>
      </tp>
      <tp t="s">
        <v>#N/A N/A</v>
        <stp/>
        <stp>##V3_BDPV12</stp>
        <stp>VHYLX US Equity</stp>
        <stp>LAST_CLOSE_TRR_3MO</stp>
        <stp>[grid1_3gmijm1c.xlsx]Worksheet!R177C5</stp>
        <tr r="E177" s="2"/>
      </tp>
      <tp t="s">
        <v>#N/A N/A</v>
        <stp/>
        <stp>##V3_BDPV12</stp>
        <stp>VHYLX US Equity</stp>
        <stp>LAST_CLOSE_TRR_1MO</stp>
        <stp>[grid1_3gmijm1c.xlsx]Worksheet!R177C4</stp>
        <tr r="D177" s="2"/>
      </tp>
      <tp>
        <v>7.6040390000000002</v>
        <stp/>
        <stp>##V3_BDPV12</stp>
        <stp>PMOTX US Equity</stp>
        <stp>CUST_TRR_RETURN_ANNUALIZED</stp>
        <stp>[grid1_3gmijm1c.xlsx]Worksheet!R7C3</stp>
        <stp>CUST_TRR_START_DT=20200626</stp>
        <stp>CUST_TRR_END_DT=20201226</stp>
        <tr r="C7" s="2"/>
      </tp>
      <tp>
        <v>1.989676</v>
        <stp/>
        <stp>##V3_BDPV12</stp>
        <stp>AHGNX US Equity</stp>
        <stp>LAST_CLOSE_TRR_1MO</stp>
        <stp>[grid1_3gmijm1c.xlsx]Worksheet!R156C4</stp>
        <tr r="D156" s="2"/>
      </tp>
      <tp>
        <v>7.999752</v>
        <stp/>
        <stp>##V3_BDPV12</stp>
        <stp>AHGNX US Equity</stp>
        <stp>LAST_CLOSE_TRR_3MO</stp>
        <stp>[grid1_3gmijm1c.xlsx]Worksheet!R156C5</stp>
        <tr r="E156" s="2"/>
      </tp>
      <tp>
        <v>7.4114440000000004</v>
        <stp/>
        <stp>##V3_BDPV12</stp>
        <stp>NEFHX US Equity</stp>
        <stp>LAST_CLOSE_TRR_YTD</stp>
        <stp>[grid1_3gmijm1c.xlsx]Worksheet!R100C6</stp>
        <tr r="F100" s="2"/>
      </tp>
      <tp>
        <v>8.1497530000000005</v>
        <stp/>
        <stp>##V3_BDPV12</stp>
        <stp>PHDYX US Equity</stp>
        <stp>LAST_CLOSE_TRR_3MO</stp>
        <stp>[grid1_3gmijm1c.xlsx]Worksheet!R126C5</stp>
        <tr r="E126" s="2"/>
      </tp>
      <tp>
        <v>2.3916369999999998</v>
        <stp/>
        <stp>##V3_BDPV12</stp>
        <stp>PHDYX US Equity</stp>
        <stp>LAST_CLOSE_TRR_1MO</stp>
        <stp>[grid1_3gmijm1c.xlsx]Worksheet!R126C4</stp>
        <tr r="D126" s="2"/>
      </tp>
      <tp t="s">
        <v>#N/A N/A</v>
        <stp/>
        <stp>##V3_BDPV12</stp>
        <stp>TCOBX US Equity</stp>
        <stp>LAST_CLOSE_TRR_YTD</stp>
        <stp>[grid1_3gmijm1c.xlsx]Worksheet!R176C6</stp>
        <tr r="F176" s="2"/>
      </tp>
      <tp>
        <v>-0.1725563</v>
        <stp/>
        <stp>##V3_BDPV12</stp>
        <stp>IAIRX US Equity</stp>
        <stp>LAST_CLOSE_TRR_YTD</stp>
        <stp>[grid1_3gmijm1c.xlsx]Worksheet!R154C6</stp>
        <tr r="F154" s="2"/>
      </tp>
      <tp>
        <v>5.6549820000000004</v>
        <stp/>
        <stp>##V3_BDPV12</stp>
        <stp>MZHSX US Equity</stp>
        <stp>LAST_CLOSE_TRR_3YR</stp>
        <stp>[grid1_3gmijm1c.xlsx]Worksheet!R149C8</stp>
        <tr r="H149" s="2"/>
      </tp>
      <tp t="s">
        <v>#N/A N/A</v>
        <stp/>
        <stp>##V3_BDPV12</stp>
        <stp>MZHSX US Equity</stp>
        <stp>LAST_CLOSE_TRR_5YR</stp>
        <stp>[grid1_3gmijm1c.xlsx]Worksheet!R149C9</stp>
        <tr r="I149" s="2"/>
      </tp>
      <tp>
        <v>6.4860069999999999</v>
        <stp/>
        <stp>##V3_BDPV12</stp>
        <stp>MZHSX US Equity</stp>
        <stp>LAST_CLOSE_TRR_1YR</stp>
        <stp>[grid1_3gmijm1c.xlsx]Worksheet!R149C7</stp>
        <tr r="G149" s="2"/>
      </tp>
      <tp>
        <v>18.643840000000001</v>
        <stp/>
        <stp>##V3_BDPV12</stp>
        <stp>PRHYX US Equity</stp>
        <stp>CUST_TRR_RETURN_ANNUALIZED</stp>
        <stp>[grid1_3gmijm1c.xlsx]Worksheet!R86C3</stp>
        <stp>CUST_TRR_START_DT=20200626</stp>
        <stp>CUST_TRR_END_DT=20201226</stp>
        <tr r="C86" s="2"/>
      </tp>
      <tp>
        <v>5.314019</v>
        <stp/>
        <stp>##V3_BDPV12</stp>
        <stp>PLHIX US Equity</stp>
        <stp>LAST_CLOSE_TRR_YTD</stp>
        <stp>[grid1_3gmijm1c.xlsx]Worksheet!R119C6</stp>
        <tr r="F119" s="2"/>
      </tp>
      <tp>
        <v>5.4709409999999998</v>
        <stp/>
        <stp>##V3_BDPV12</stp>
        <stp>NMHYX US Equity</stp>
        <stp>LAST_CLOSE_TRR_YTD</stp>
        <stp>[grid1_3gmijm1c.xlsx]Worksheet!R108C6</stp>
        <tr r="F108" s="2"/>
      </tp>
      <tp>
        <v>11.13401</v>
        <stp/>
        <stp>##V3_BDPV12</stp>
        <stp>HCHYX US Equity</stp>
        <stp>LAST_CLOSE_TRR_YTD</stp>
        <stp>[grid1_3gmijm1c.xlsx]Worksheet!R136C6</stp>
        <tr r="F136" s="2"/>
      </tp>
      <tp>
        <v>6.8899499999999998</v>
        <stp/>
        <stp>##V3_BDPV12</stp>
        <stp>FJSIX US Equity</stp>
        <stp>LAST_CLOSE_TRR_3MO</stp>
        <stp>[grid1_3gmijm1c.xlsx]Worksheet!R124C5</stp>
        <tr r="E124" s="2"/>
      </tp>
      <tp>
        <v>1.9360569999999999</v>
        <stp/>
        <stp>##V3_BDPV12</stp>
        <stp>FJSIX US Equity</stp>
        <stp>LAST_CLOSE_TRR_1MO</stp>
        <stp>[grid1_3gmijm1c.xlsx]Worksheet!R124C4</stp>
        <tr r="D124" s="2"/>
      </tp>
      <tp>
        <v>9.3772950000000002</v>
        <stp/>
        <stp>##V3_BDPV12</stp>
        <stp>PLSRX US Equity</stp>
        <stp>LAST_CLOSE_TRR_YTD</stp>
        <stp>[grid1_3gmijm1c.xlsx]Worksheet!R109C6</stp>
        <tr r="F109" s="2"/>
      </tp>
      <tp>
        <v>27.314990000000002</v>
        <stp/>
        <stp>##V3_BDPV12</stp>
        <stp>SHOAX US Equity</stp>
        <stp>CUST_TRR_RETURN_ANNUALIZED</stp>
        <stp>[grid1_3gmijm1c.xlsx]Worksheet!R95C3</stp>
        <stp>CUST_TRR_START_DT=20200626</stp>
        <stp>CUST_TRR_END_DT=20201226</stp>
        <tr r="C95" s="2"/>
      </tp>
      <tp>
        <v>21.864429999999999</v>
        <stp/>
        <stp>##V3_BDPV12</stp>
        <stp>SHHYX US Equity</stp>
        <stp>CUST_TRR_RETURN_ANNUALIZED</stp>
        <stp>[grid1_3gmijm1c.xlsx]Worksheet!R65C3</stp>
        <stp>CUST_TRR_START_DT=20200626</stp>
        <stp>CUST_TRR_END_DT=20201226</stp>
        <tr r="C65" s="2"/>
      </tp>
      <tp>
        <v>7.1293170000000003</v>
        <stp/>
        <stp>##V3_BDPV12</stp>
        <stp>PAXHX US Equity</stp>
        <stp>LAST_CLOSE_TRR_YTD</stp>
        <stp>[grid1_3gmijm1c.xlsx]Worksheet!R104C6</stp>
        <tr r="F104" s="2"/>
      </tp>
      <tp>
        <v>9.2457550000000008</v>
        <stp/>
        <stp>##V3_BDPV12</stp>
        <stp>APDFX US Equity</stp>
        <stp>LAST_CLOSE_TRR_5YR</stp>
        <stp>[grid1_3gmijm1c.xlsx]Worksheet!R144C9</stp>
        <tr r="I144" s="2"/>
      </tp>
      <tp t="s">
        <v>#N/A N/A</v>
        <stp/>
        <stp>##V3_BDPV12</stp>
        <stp>CRDOX US Equity</stp>
        <stp>LAST_CLOSE_TRR_1YR</stp>
        <stp>[grid1_3gmijm1c.xlsx]Worksheet!R166C7</stp>
        <tr r="G166" s="2"/>
      </tp>
      <tp>
        <v>7.445074</v>
        <stp/>
        <stp>##V3_BDPV12</stp>
        <stp>APDFX US Equity</stp>
        <stp>LAST_CLOSE_TRR_3YR</stp>
        <stp>[grid1_3gmijm1c.xlsx]Worksheet!R144C8</stp>
        <tr r="H144" s="2"/>
      </tp>
      <tp t="s">
        <v>#N/A N/A</v>
        <stp/>
        <stp>##V3_BDPV12</stp>
        <stp>CRDOX US Equity</stp>
        <stp>LAST_CLOSE_TRR_5YR</stp>
        <stp>[grid1_3gmijm1c.xlsx]Worksheet!R166C9</stp>
        <tr r="I166" s="2"/>
      </tp>
      <tp>
        <v>9.7045349999999999</v>
        <stp/>
        <stp>##V3_BDPV12</stp>
        <stp>APDFX US Equity</stp>
        <stp>LAST_CLOSE_TRR_1YR</stp>
        <stp>[grid1_3gmijm1c.xlsx]Worksheet!R144C7</stp>
        <tr r="G144" s="2"/>
      </tp>
      <tp t="s">
        <v>#N/A N/A</v>
        <stp/>
        <stp>##V3_BDPV12</stp>
        <stp>CRDOX US Equity</stp>
        <stp>LAST_CLOSE_TRR_3YR</stp>
        <stp>[grid1_3gmijm1c.xlsx]Worksheet!R166C8</stp>
        <tr r="H166" s="2"/>
      </tp>
      <tp>
        <v>7.5963669999999999</v>
        <stp/>
        <stp>##V3_BDPV12</stp>
        <stp>PIAMX US Equity</stp>
        <stp>LAST_CLOSE_TRR_3MO</stp>
        <stp>[grid1_3gmijm1c.xlsx]Worksheet!R160C5</stp>
        <tr r="E160" s="2"/>
      </tp>
      <tp>
        <v>2.1122990000000001</v>
        <stp/>
        <stp>##V3_BDPV12</stp>
        <stp>PIAMX US Equity</stp>
        <stp>LAST_CLOSE_TRR_1MO</stp>
        <stp>[grid1_3gmijm1c.xlsx]Worksheet!R160C4</stp>
        <tr r="D160" s="2"/>
      </tp>
      <tp>
        <v>6.4254179999999996</v>
        <stp/>
        <stp>##V3_BDPV12</stp>
        <stp>FHAIX US Equity</stp>
        <stp>LAST_CLOSE_TRR_3MO</stp>
        <stp>[grid1_3gmijm1c.xlsx]Worksheet!R141C5</stp>
        <tr r="E141" s="2"/>
      </tp>
      <tp>
        <v>1.504567</v>
        <stp/>
        <stp>##V3_BDPV12</stp>
        <stp>FHAIX US Equity</stp>
        <stp>LAST_CLOSE_TRR_1MO</stp>
        <stp>[grid1_3gmijm1c.xlsx]Worksheet!R141C4</stp>
        <tr r="D141" s="2"/>
      </tp>
      <tp>
        <v>4.7727639999999996</v>
        <stp/>
        <stp>##V3_BDPV12</stp>
        <stp>PAOPX US Equity</stp>
        <stp>LAST_CLOSE_TRR_YTD</stp>
        <stp>[grid1_3gmijm1c.xlsx]Worksheet!R123C6</stp>
        <tr r="F123" s="2"/>
      </tp>
      <tp>
        <v>5.567062</v>
        <stp/>
        <stp>##V3_BDPV12</stp>
        <stp>RPIHX US Equity</stp>
        <stp>LAST_CLOSE_TRR_1YR</stp>
        <stp>[grid1_3gmijm1c.xlsx]Worksheet!R134C7</stp>
        <tr r="G134" s="2"/>
      </tp>
      <tp>
        <v>5.8581950000000003</v>
        <stp/>
        <stp>##V3_BDPV12</stp>
        <stp>RPIHX US Equity</stp>
        <stp>LAST_CLOSE_TRR_3YR</stp>
        <stp>[grid1_3gmijm1c.xlsx]Worksheet!R134C8</stp>
        <tr r="H134" s="2"/>
      </tp>
      <tp>
        <v>7.3347020000000001</v>
        <stp/>
        <stp>##V3_BDPV12</stp>
        <stp>AHIAX US Equity</stp>
        <stp>LAST_CLOSE_TRR_3MO</stp>
        <stp>[grid1_3gmijm1c.xlsx]Worksheet!R161C5</stp>
        <tr r="E161" s="2"/>
      </tp>
      <tp>
        <v>1.820956</v>
        <stp/>
        <stp>##V3_BDPV12</stp>
        <stp>AHIAX US Equity</stp>
        <stp>LAST_CLOSE_TRR_1MO</stp>
        <stp>[grid1_3gmijm1c.xlsx]Worksheet!R161C4</stp>
        <tr r="D161" s="2"/>
      </tp>
      <tp>
        <v>8.2583590000000004</v>
        <stp/>
        <stp>##V3_BDPV12</stp>
        <stp>RPIHX US Equity</stp>
        <stp>LAST_CLOSE_TRR_5YR</stp>
        <stp>[grid1_3gmijm1c.xlsx]Worksheet!R134C9</stp>
        <tr r="I134" s="2"/>
      </tp>
      <tp>
        <v>6.6874589999999996</v>
        <stp/>
        <stp>##V3_BDPV12</stp>
        <stp>DHHAX US Equity</stp>
        <stp>LAST_CLOSE_TRR_3MO</stp>
        <stp>[grid1_3gmijm1c.xlsx]Worksheet!R151C5</stp>
        <tr r="E151" s="2"/>
      </tp>
      <tp>
        <v>1.539663</v>
        <stp/>
        <stp>##V3_BDPV12</stp>
        <stp>DHHAX US Equity</stp>
        <stp>LAST_CLOSE_TRR_1MO</stp>
        <stp>[grid1_3gmijm1c.xlsx]Worksheet!R151C4</stp>
        <tr r="D151" s="2"/>
      </tp>
      <tp>
        <v>6.7038019999999996</v>
        <stp/>
        <stp>##V3_BDPV12</stp>
        <stp>MNHYX US Equity</stp>
        <stp>LAST_CLOSE_TRR_3MO</stp>
        <stp>[grid1_3gmijm1c.xlsx]Worksheet!R127C5</stp>
        <tr r="E127" s="2"/>
      </tp>
      <tp>
        <v>7.0393210000000002</v>
        <stp/>
        <stp>##V3_BDPV12</stp>
        <stp>WAHYX US Equity</stp>
        <stp>LAST_CLOSE_TRR_3MO</stp>
        <stp>[grid1_3gmijm1c.xlsx]Worksheet!R128C5</stp>
        <tr r="E128" s="2"/>
      </tp>
      <tp>
        <v>2.2797540000000001</v>
        <stp/>
        <stp>##V3_BDPV12</stp>
        <stp>MNHYX US Equity</stp>
        <stp>LAST_CLOSE_TRR_1MO</stp>
        <stp>[grid1_3gmijm1c.xlsx]Worksheet!R127C4</stp>
        <tr r="D127" s="2"/>
      </tp>
      <tp>
        <v>1.338937</v>
        <stp/>
        <stp>##V3_BDPV12</stp>
        <stp>WAHYX US Equity</stp>
        <stp>LAST_CLOSE_TRR_1MO</stp>
        <stp>[grid1_3gmijm1c.xlsx]Worksheet!R128C4</stp>
        <tr r="D128" s="2"/>
      </tp>
      <tp>
        <v>6.7538460000000002</v>
        <stp/>
        <stp>##V3_BDPV12</stp>
        <stp>MFHIX US Equity</stp>
        <stp>LAST_CLOSE_TRR_YTD</stp>
        <stp>[grid1_3gmijm1c.xlsx]Worksheet!R164C6</stp>
        <tr r="F164" s="2"/>
      </tp>
      <tp>
        <v>9.1358510000000006</v>
        <stp/>
        <stp>##V3_BDPV12</stp>
        <stp>RGHYX US Equity</stp>
        <stp>LAST_CLOSE_TRR_YTD</stp>
        <stp>[grid1_3gmijm1c.xlsx]Worksheet!R125C6</stp>
        <tr r="F125" s="2"/>
      </tp>
      <tp>
        <v>23.454709999999999</v>
        <stp/>
        <stp>##V3_BDPV12</stp>
        <stp>PHCHX US Equity</stp>
        <stp>CUST_TRR_RETURN_ANNUALIZED</stp>
        <stp>[grid1_3gmijm1c.xlsx]Worksheet!R81C3</stp>
        <stp>CUST_TRR_START_DT=20200626</stp>
        <stp>CUST_TRR_END_DT=20201226</stp>
        <tr r="C81" s="2"/>
      </tp>
      <tp>
        <v>26.652329999999999</v>
        <stp/>
        <stp>##V3_BDPV12</stp>
        <stp>PHYNX US Equity</stp>
        <stp>CUST_TRR_RETURN_ANNUALIZED</stp>
        <stp>[grid1_3gmijm1c.xlsx]Worksheet!R71C3</stp>
        <stp>CUST_TRR_START_DT=20200626</stp>
        <stp>CUST_TRR_END_DT=20201226</stp>
        <tr r="C71" s="2"/>
      </tp>
      <tp>
        <v>16.489139999999999</v>
        <stp/>
        <stp>##V3_BDPV12</stp>
        <stp>TGHYX US Equity</stp>
        <stp>CUST_TRR_RETURN_ANNUALIZED</stp>
        <stp>[grid1_3gmijm1c.xlsx]Worksheet!R85C3</stp>
        <stp>CUST_TRR_START_DT=20200626</stp>
        <stp>CUST_TRR_END_DT=20201226</stp>
        <tr r="C85" s="2"/>
      </tp>
      <tp>
        <v>5.9436499999999999</v>
        <stp/>
        <stp>##V3_BDPV12</stp>
        <stp>PHYIX US Equity</stp>
        <stp>LAST_CLOSE_TRR_3MO</stp>
        <stp>[grid1_3gmijm1c.xlsx]Worksheet!R101C5</stp>
        <tr r="E101" s="2"/>
      </tp>
      <tp>
        <v>1.042735</v>
        <stp/>
        <stp>##V3_BDPV12</stp>
        <stp>PHYIX US Equity</stp>
        <stp>LAST_CLOSE_TRR_1MO</stp>
        <stp>[grid1_3gmijm1c.xlsx]Worksheet!R101C4</stp>
        <tr r="D101" s="2"/>
      </tp>
      <tp>
        <v>4.6918600000000001</v>
        <stp/>
        <stp>##V3_BDPV12</stp>
        <stp>SGYAX US Equity</stp>
        <stp>LAST_CLOSE_TRR_YTD</stp>
        <stp>[grid1_3gmijm1c.xlsx]Worksheet!R135C6</stp>
        <tr r="F135" s="2"/>
      </tp>
      <tp>
        <v>0.89634840000000005</v>
        <stp/>
        <stp>##V3_BDPV12</stp>
        <stp>NWXIX US Equity</stp>
        <stp>LAST_CLOSE_TRR_1YR</stp>
        <stp>[grid1_3gmijm1c.xlsx]Worksheet!R103C7</stp>
        <tr r="G103" s="2"/>
      </tp>
      <tp>
        <v>4.2856690000000004</v>
        <stp/>
        <stp>##V3_BDPV12</stp>
        <stp>NWXIX US Equity</stp>
        <stp>LAST_CLOSE_TRR_3YR</stp>
        <stp>[grid1_3gmijm1c.xlsx]Worksheet!R103C8</stp>
        <tr r="H103" s="2"/>
      </tp>
      <tp>
        <v>7.5224070000000003</v>
        <stp/>
        <stp>##V3_BDPV12</stp>
        <stp>NWXIX US Equity</stp>
        <stp>LAST_CLOSE_TRR_5YR</stp>
        <stp>[grid1_3gmijm1c.xlsx]Worksheet!R103C9</stp>
        <tr r="I103" s="2"/>
      </tp>
      <tp>
        <v>9.2350949999999994</v>
        <stp/>
        <stp>##V3_BDPV12</stp>
        <stp>FAGIX US Equity</stp>
        <stp>LAST_CLOSE_TRR_YTD</stp>
        <stp>[grid1_3gmijm1c.xlsx]Worksheet!R142C6</stp>
        <tr r="F142" s="2"/>
      </tp>
      <tp>
        <v>15.251469999999999</v>
        <stp/>
        <stp>##V3_BDPV12</stp>
        <stp>STBKX US Equity</stp>
        <stp>LAST_CLOSE_TRR_1YR</stp>
        <stp>[grid1_3gmijm1c.xlsx]Worksheet!R171C7</stp>
        <tr r="G171" s="2"/>
      </tp>
      <tp t="s">
        <v>#N/A N/A</v>
        <stp/>
        <stp>##V3_BDPV12</stp>
        <stp>STBKX US Equity</stp>
        <stp>LAST_CLOSE_TRR_3YR</stp>
        <stp>[grid1_3gmijm1c.xlsx]Worksheet!R171C8</stp>
        <tr r="H171" s="2"/>
      </tp>
      <tp t="s">
        <v>#N/A N/A</v>
        <stp/>
        <stp>##V3_BDPV12</stp>
        <stp>STBKX US Equity</stp>
        <stp>LAST_CLOSE_TRR_5YR</stp>
        <stp>[grid1_3gmijm1c.xlsx]Worksheet!R171C9</stp>
        <tr r="I171" s="2"/>
      </tp>
      <tp>
        <v>6.5732749999999998</v>
        <stp/>
        <stp>##V3_BDPV12</stp>
        <stp>SAMHX US Equity</stp>
        <stp>LAST_CLOSE_TRR_3MO</stp>
        <stp>[grid1_3gmijm1c.xlsx]Worksheet!R129C5</stp>
        <tr r="E129" s="2"/>
      </tp>
      <tp>
        <v>1.1047849999999999</v>
        <stp/>
        <stp>##V3_BDPV12</stp>
        <stp>SAMHX US Equity</stp>
        <stp>LAST_CLOSE_TRR_1MO</stp>
        <stp>[grid1_3gmijm1c.xlsx]Worksheet!R129C4</stp>
        <tr r="D129" s="2"/>
      </tp>
      <tp>
        <v>7.2620050000000003</v>
        <stp/>
        <stp>##V3_BDPV12</stp>
        <stp>AHITX US Equity</stp>
        <stp>LAST_CLOSE_TRR_3MO</stp>
        <stp>[grid1_3gmijm1c.xlsx]Worksheet!R120C5</stp>
        <tr r="E120" s="2"/>
      </tp>
      <tp>
        <v>2.0023569999999999</v>
        <stp/>
        <stp>##V3_BDPV12</stp>
        <stp>AHITX US Equity</stp>
        <stp>LAST_CLOSE_TRR_1MO</stp>
        <stp>[grid1_3gmijm1c.xlsx]Worksheet!R120C4</stp>
        <tr r="D120" s="2"/>
      </tp>
      <tp>
        <v>1.2175819999999999</v>
        <stp/>
        <stp>##V3_BDPV12</stp>
        <stp>FIHBX US Equity</stp>
        <stp>LAST_CLOSE_TRR_1MO</stp>
        <stp>[grid1_3gmijm1c.xlsx]Worksheet!R121C4</stp>
        <tr r="D121" s="2"/>
      </tp>
      <tp>
        <v>5.1090920000000004</v>
        <stp/>
        <stp>##V3_BDPV12</stp>
        <stp>TNHAX US Equity</stp>
        <stp>LAST_CLOSE_TRR_3MO</stp>
        <stp>[grid1_3gmijm1c.xlsx]Worksheet!R106C5</stp>
        <tr r="E106" s="2"/>
      </tp>
      <tp>
        <v>5.9491329999999998</v>
        <stp/>
        <stp>##V3_BDPV12</stp>
        <stp>FIHBX US Equity</stp>
        <stp>LAST_CLOSE_TRR_3MO</stp>
        <stp>[grid1_3gmijm1c.xlsx]Worksheet!R121C5</stp>
        <tr r="E121" s="2"/>
      </tp>
      <tp>
        <v>1.09836</v>
        <stp/>
        <stp>##V3_BDPV12</stp>
        <stp>TNHAX US Equity</stp>
        <stp>LAST_CLOSE_TRR_1MO</stp>
        <stp>[grid1_3gmijm1c.xlsx]Worksheet!R106C4</stp>
        <tr r="D106" s="2"/>
      </tp>
      <tp>
        <v>9.9865670000000009</v>
        <stp/>
        <stp>##V3_BDPV12</stp>
        <stp>FAHYX US Equity</stp>
        <stp>LAST_CLOSE_TRR_3MO</stp>
        <stp>[grid1_3gmijm1c.xlsx]Worksheet!R139C5</stp>
        <tr r="E139" s="2"/>
      </tp>
      <tp>
        <v>7.0548909999999996</v>
        <stp/>
        <stp>##V3_BDPV12</stp>
        <stp>DPHYX US Equity</stp>
        <stp>LAST_CLOSE_TRR_1YR</stp>
        <stp>[grid1_3gmijm1c.xlsx]Worksheet!R105C7</stp>
        <tr r="G105" s="2"/>
      </tp>
      <tp>
        <v>2.3136999999999999</v>
        <stp/>
        <stp>##V3_BDPV12</stp>
        <stp>FAHYX US Equity</stp>
        <stp>LAST_CLOSE_TRR_1MO</stp>
        <stp>[grid1_3gmijm1c.xlsx]Worksheet!R139C4</stp>
        <tr r="D139" s="2"/>
      </tp>
      <tp>
        <v>5.6443390000000004</v>
        <stp/>
        <stp>##V3_BDPV12</stp>
        <stp>DPHYX US Equity</stp>
        <stp>LAST_CLOSE_TRR_3YR</stp>
        <stp>[grid1_3gmijm1c.xlsx]Worksheet!R105C8</stp>
        <tr r="H105" s="2"/>
      </tp>
      <tp>
        <v>7.5290090000000003</v>
        <stp/>
        <stp>##V3_BDPV12</stp>
        <stp>DPHYX US Equity</stp>
        <stp>LAST_CLOSE_TRR_5YR</stp>
        <stp>[grid1_3gmijm1c.xlsx]Worksheet!R105C9</stp>
        <tr r="I105" s="2"/>
      </tp>
      <tp>
        <v>4.4307429999999997</v>
        <stp/>
        <stp>##V3_BDPV12</stp>
        <stp>PKHIX US Equity</stp>
        <stp>LAST_CLOSE_TRR_YTD</stp>
        <stp>[grid1_3gmijm1c.xlsx]Worksheet!R158C6</stp>
        <tr r="F158" s="2"/>
      </tp>
      <tp>
        <v>6.2524300000000004</v>
        <stp/>
        <stp>##V3_BDPV12</stp>
        <stp>SAHYX US Equity</stp>
        <stp>LAST_CLOSE_TRR_YTD</stp>
        <stp>[grid1_3gmijm1c.xlsx]Worksheet!R102C6</stp>
        <tr r="F102" s="2"/>
      </tp>
      <tp>
        <v>5.1058810000000001</v>
        <stp/>
        <stp>##V3_BDPV12</stp>
        <stp>MGHYX US Equity</stp>
        <stp>LAST_CLOSE_TRR_YTD</stp>
        <stp>[grid1_3gmijm1c.xlsx]Worksheet!R114C6</stp>
        <tr r="F114" s="2"/>
      </tp>
      <tp>
        <v>7.2312969999999996</v>
        <stp/>
        <stp>##V3_BDPV12</stp>
        <stp>PHSIX US Equity</stp>
        <stp>LAST_CLOSE_TRR_3MO</stp>
        <stp>[grid1_3gmijm1c.xlsx]Worksheet!R130C5</stp>
        <tr r="E130" s="2"/>
      </tp>
      <tp>
        <v>1.5359350000000001</v>
        <stp/>
        <stp>##V3_BDPV12</stp>
        <stp>PHSIX US Equity</stp>
        <stp>LAST_CLOSE_TRR_1MO</stp>
        <stp>[grid1_3gmijm1c.xlsx]Worksheet!R130C4</stp>
        <tr r="D130" s="2"/>
      </tp>
      <tp>
        <v>20.97099</v>
        <stp/>
        <stp>##V3_BDPV12</stp>
        <stp>PHYTX US Equity</stp>
        <stp>CUST_TRR_RETURN_ANNUALIZED</stp>
        <stp>[grid1_3gmijm1c.xlsx]Worksheet!R90C3</stp>
        <stp>CUST_TRR_START_DT=20200626</stp>
        <stp>CUST_TRR_END_DT=20201226</stp>
        <tr r="C90" s="2"/>
      </tp>
      <tp>
        <v>2.1187109999999998</v>
        <stp/>
        <stp>##V3_BDPV12</stp>
        <stp>PHYSX US Equity</stp>
        <stp>LAST_CLOSE_TRR_1MO</stp>
        <stp>[grid1_3gmijm1c.xlsx]Worksheet!R110C4</stp>
        <tr r="D110" s="2"/>
      </tp>
      <tp>
        <v>7.6363919999999998</v>
        <stp/>
        <stp>##V3_BDPV12</stp>
        <stp>PHYSX US Equity</stp>
        <stp>LAST_CLOSE_TRR_3MO</stp>
        <stp>[grid1_3gmijm1c.xlsx]Worksheet!R110C5</stp>
        <tr r="E110" s="2"/>
      </tp>
      <tp t="s">
        <v>#N/A N/A</v>
        <stp/>
        <stp>##V3_BDPV12</stp>
        <stp>BHDIX US Equity</stp>
        <stp>LAST_CLOSE_TRR_3MO</stp>
        <stp>[grid1_3gmijm1c.xlsx]Worksheet!R173C5</stp>
        <tr r="E173" s="2"/>
      </tp>
      <tp t="s">
        <v>#N/A N/A</v>
        <stp/>
        <stp>##V3_BDPV12</stp>
        <stp>BHDIX US Equity</stp>
        <stp>LAST_CLOSE_TRR_1MO</stp>
        <stp>[grid1_3gmijm1c.xlsx]Worksheet!R173C4</stp>
        <tr r="D173" s="2"/>
      </tp>
      <tp>
        <v>23.96641</v>
        <stp/>
        <stp>##V3_BDPV12</stp>
        <stp>PYHRX US Equity</stp>
        <stp>CUST_TRR_RETURN_ANNUALIZED</stp>
        <stp>[grid1_3gmijm1c.xlsx]Worksheet!R93C3</stp>
        <stp>CUST_TRR_START_DT=20200626</stp>
        <stp>CUST_TRR_END_DT=20201226</stp>
        <tr r="C93" s="2"/>
      </tp>
      <tp>
        <v>3.5765509999999998</v>
        <stp/>
        <stp>##V3_BDPV12</stp>
        <stp>CBLDX US Equity</stp>
        <stp>LAST_CLOSE_TRR_YTD</stp>
        <stp>[grid1_3gmijm1c.xlsx]Worksheet!R162C6</stp>
        <tr r="F162" s="2"/>
      </tp>
      <tp>
        <v>11.86567</v>
        <stp/>
        <stp>##V3_BDPV12</stp>
        <stp>SSTHX US Equity</stp>
        <stp>CUST_TRR_RETURN_ANNUALIZED</stp>
        <stp>[grid1_3gmijm1c.xlsx]Worksheet!R10C3</stp>
        <stp>CUST_TRR_START_DT=20200626</stp>
        <stp>CUST_TRR_END_DT=20201226</stp>
        <tr r="C10" s="2"/>
      </tp>
      <tp>
        <v>0.66859979999999997</v>
        <stp/>
        <stp>##V3_BDPV12</stp>
        <stp>PSHNX US Equity</stp>
        <stp>LAST_CLOSE_TRR_1YR</stp>
        <stp>[grid1_3gmijm1c.xlsx]Worksheet!R155C7</stp>
        <tr r="G155" s="2"/>
      </tp>
      <tp t="s">
        <v>#N/A N/A</v>
        <stp/>
        <stp>##V3_BDPV12</stp>
        <stp>PSHNX US Equity</stp>
        <stp>LAST_CLOSE_TRR_5YR</stp>
        <stp>[grid1_3gmijm1c.xlsx]Worksheet!R155C9</stp>
        <tr r="I155" s="2"/>
      </tp>
      <tp>
        <v>7.0820210000000001</v>
        <stp/>
        <stp>##V3_BDPV12</stp>
        <stp>JIHDX US Equity</stp>
        <stp>LAST_CLOSE_TRR_3MO</stp>
        <stp>[grid1_3gmijm1c.xlsx]Worksheet!R132C5</stp>
        <tr r="E132" s="2"/>
      </tp>
      <tp>
        <v>1.362112</v>
        <stp/>
        <stp>##V3_BDPV12</stp>
        <stp>JIHDX US Equity</stp>
        <stp>LAST_CLOSE_TRR_1MO</stp>
        <stp>[grid1_3gmijm1c.xlsx]Worksheet!R132C4</stp>
        <tr r="D132" s="2"/>
      </tp>
      <tp>
        <v>2.8356110000000001</v>
        <stp/>
        <stp>##V3_BDPV12</stp>
        <stp>PSHNX US Equity</stp>
        <stp>LAST_CLOSE_TRR_3YR</stp>
        <stp>[grid1_3gmijm1c.xlsx]Worksheet!R155C8</stp>
        <tr r="H155" s="2"/>
      </tp>
      <tp t="s">
        <v>#N/A N/A</v>
        <stp/>
        <stp>##V3_BDPV12</stp>
        <stp>HVHYX US Equity</stp>
        <stp>LAST_CLOSE_TRR_1YR</stp>
        <stp>[grid1_3gmijm1c.xlsx]Worksheet!R150C7</stp>
        <tr r="G150" s="2"/>
      </tp>
      <tp t="s">
        <v>#N/A N/A</v>
        <stp/>
        <stp>##V3_BDPV12</stp>
        <stp>HVHYX US Equity</stp>
        <stp>LAST_CLOSE_TRR_3YR</stp>
        <stp>[grid1_3gmijm1c.xlsx]Worksheet!R150C8</stp>
        <tr r="H150" s="2"/>
      </tp>
      <tp t="s">
        <v>#N/A N/A</v>
        <stp/>
        <stp>##V3_BDPV12</stp>
        <stp>HVHYX US Equity</stp>
        <stp>LAST_CLOSE_TRR_5YR</stp>
        <stp>[grid1_3gmijm1c.xlsx]Worksheet!R150C9</stp>
        <tr r="I150" s="2"/>
      </tp>
      <tp>
        <v>7.2714530000000002</v>
        <stp/>
        <stp>##V3_BDPV12</stp>
        <stp>GHVIX US Equity</stp>
        <stp>LAST_CLOSE_TRR_3MO</stp>
        <stp>[grid1_3gmijm1c.xlsx]Worksheet!R163C5</stp>
        <tr r="E163" s="2"/>
      </tp>
      <tp>
        <v>1.4381159999999999</v>
        <stp/>
        <stp>##V3_BDPV12</stp>
        <stp>GHVIX US Equity</stp>
        <stp>LAST_CLOSE_TRR_1MO</stp>
        <stp>[grid1_3gmijm1c.xlsx]Worksheet!R163C4</stp>
        <tr r="D163" s="2"/>
      </tp>
      <tp t="s">
        <v>#N/A N/A</v>
        <stp/>
        <stp>##V3_BDPV12</stp>
        <stp>ACRFX US Equity</stp>
        <stp>LAST_CLOSE_TRR_1MO</stp>
        <stp>[grid1_3gmijm1c.xlsx]Worksheet!R168C4</stp>
        <tr r="D168" s="2"/>
      </tp>
      <tp t="s">
        <v>#N/A N/A</v>
        <stp/>
        <stp>##V3_BDPV12</stp>
        <stp>ACRFX US Equity</stp>
        <stp>LAST_CLOSE_TRR_3MO</stp>
        <stp>[grid1_3gmijm1c.xlsx]Worksheet!R168C5</stp>
        <tr r="E168" s="2"/>
      </tp>
      <tp>
        <v>-4.7624279999999999</v>
        <stp/>
        <stp>##V3_BDPV12</stp>
        <stp>RCRAX US Equity</stp>
        <stp>LAST_CLOSE_TRR_3MO</stp>
        <stp>[grid1_3gmijm1c.xlsx]Worksheet!R148C5</stp>
        <tr r="E148" s="2"/>
      </tp>
      <tp>
        <v>1.3020149999999999</v>
        <stp/>
        <stp>##V3_BDPV12</stp>
        <stp>RCRAX US Equity</stp>
        <stp>LAST_CLOSE_TRR_1MO</stp>
        <stp>[grid1_3gmijm1c.xlsx]Worksheet!R148C4</stp>
        <tr r="D148" s="2"/>
      </tp>
      <tp t="s">
        <v>#N/A N/A</v>
        <stp/>
        <stp>##V3_BDPV12</stp>
        <stp>LSYAX US Equity</stp>
        <stp>LAST_CLOSE_TRR_3YR</stp>
        <stp>[grid1_3gmijm1c.xlsx]Worksheet!R175C8</stp>
        <tr r="H175" s="2"/>
      </tp>
      <tp t="s">
        <v>#N/A N/A</v>
        <stp/>
        <stp>##V3_BDPV12</stp>
        <stp>LSYAX US Equity</stp>
        <stp>LAST_CLOSE_TRR_5YR</stp>
        <stp>[grid1_3gmijm1c.xlsx]Worksheet!R175C9</stp>
        <tr r="I175" s="2"/>
      </tp>
      <tp t="s">
        <v>#N/A N/A</v>
        <stp/>
        <stp>##V3_BDPV12</stp>
        <stp>LSYAX US Equity</stp>
        <stp>LAST_CLOSE_TRR_1YR</stp>
        <stp>[grid1_3gmijm1c.xlsx]Worksheet!R175C7</stp>
        <tr r="G175" s="2"/>
      </tp>
      <tp>
        <v>5.4464740000000003</v>
        <stp/>
        <stp>##V3_BDPV12</stp>
        <stp>RBTRX US Equity</stp>
        <stp>CUST_TRR_RETURN_ANNUALIZED</stp>
        <stp>[grid1_3gmijm1c.xlsx]Worksheet!R11C3</stp>
        <stp>CUST_TRR_START_DT=20200626</stp>
        <stp>CUST_TRR_END_DT=20201226</stp>
        <tr r="C11" s="2"/>
      </tp>
      <tp t="s">
        <v>#N/A N/A</v>
        <stp/>
        <stp>##V3_BDPV12</stp>
        <stp>HREIX US Equity</stp>
        <stp>LAST_CLOSE_TRR_1YR</stp>
        <stp>[grid1_3gmijm1c.xlsx]Worksheet!R165C7</stp>
        <tr r="G165" s="2"/>
      </tp>
      <tp t="s">
        <v>#N/A N/A</v>
        <stp/>
        <stp>##V3_BDPV12</stp>
        <stp>HREIX US Equity</stp>
        <stp>LAST_CLOSE_TRR_3YR</stp>
        <stp>[grid1_3gmijm1c.xlsx]Worksheet!R165C8</stp>
        <tr r="H165" s="2"/>
      </tp>
      <tp t="s">
        <v>#N/A N/A</v>
        <stp/>
        <stp>##V3_BDPV12</stp>
        <stp>HREIX US Equity</stp>
        <stp>LAST_CLOSE_TRR_5YR</stp>
        <stp>[grid1_3gmijm1c.xlsx]Worksheet!R165C9</stp>
        <tr r="I165" s="2"/>
      </tp>
      <tp>
        <v>5.6093390000000003</v>
        <stp/>
        <stp>##V3_BDPV12</stp>
        <stp>IPNAX US Equity</stp>
        <stp>LAST_CLOSE_TRR_3YR</stp>
        <stp>[grid1_3gmijm1c.xlsx]Worksheet!R157C8</stp>
        <tr r="H157" s="2"/>
      </tp>
      <tp t="s">
        <v>#N/A N/A</v>
        <stp/>
        <stp>##V3_BDPV12</stp>
        <stp>IPNAX US Equity</stp>
        <stp>LAST_CLOSE_TRR_5YR</stp>
        <stp>[grid1_3gmijm1c.xlsx]Worksheet!R157C9</stp>
        <tr r="I157" s="2"/>
      </tp>
      <tp>
        <v>6.8355499999999996</v>
        <stp/>
        <stp>##V3_BDPV12</stp>
        <stp>IPNAX US Equity</stp>
        <stp>LAST_CLOSE_TRR_1YR</stp>
        <stp>[grid1_3gmijm1c.xlsx]Worksheet!R157C7</stp>
        <tr r="G157" s="2"/>
      </tp>
      <tp>
        <v>17.1785</v>
        <stp/>
        <stp>##V3_BDPV12</stp>
        <stp>VWEHX US Equity</stp>
        <stp>CUST_TRR_RETURN_ANNUALIZED</stp>
        <stp>[grid1_3gmijm1c.xlsx]Worksheet!R74C3</stp>
        <stp>CUST_TRR_START_DT=20200626</stp>
        <stp>CUST_TRR_END_DT=20201226</stp>
        <tr r="C74" s="2"/>
      </tp>
      <tp>
        <v>7.4654769999999999</v>
        <stp/>
        <stp>##V3_BDPV12</stp>
        <stp>KAMAX US Equity</stp>
        <stp>LAST_CLOSE_TRR_YTD</stp>
        <stp>[grid1_3gmijm1c.xlsx]Worksheet!R170C6</stp>
        <tr r="F170" s="2"/>
      </tp>
      <tp>
        <v>20.31232</v>
        <stp/>
        <stp>##V3_BDPV12</stp>
        <stp>TPHAX US Equity</stp>
        <stp>CUST_TRR_RETURN_ANNUALIZED</stp>
        <stp>[grid1_3gmijm1c.xlsx]Worksheet!R66C3</stp>
        <stp>CUST_TRR_START_DT=20200626</stp>
        <stp>CUST_TRR_END_DT=20201226</stp>
        <tr r="C66" s="2"/>
      </tp>
      <tp>
        <v>23.58616</v>
        <stp/>
        <stp>##V3_BDPV12</stp>
        <stp>USHYX US Equity</stp>
        <stp>CUST_TRR_RETURN_ANNUALIZED</stp>
        <stp>[grid1_3gmijm1c.xlsx]Worksheet!R87C3</stp>
        <stp>CUST_TRR_START_DT=20200626</stp>
        <stp>CUST_TRR_END_DT=20201226</stp>
        <tr r="C87" s="2"/>
      </tp>
      <tp>
        <v>6.0870119999999996</v>
        <stp/>
        <stp>##V3_BDPV12</stp>
        <stp>FHHIX US Equity</stp>
        <stp>LAST_CLOSE_TRR_3MO</stp>
        <stp>[grid1_3gmijm1c.xlsx]Worksheet!R172C5</stp>
        <tr r="E172" s="2"/>
      </tp>
      <tp>
        <v>1.265638</v>
        <stp/>
        <stp>##V3_BDPV12</stp>
        <stp>FHHIX US Equity</stp>
        <stp>LAST_CLOSE_TRR_1MO</stp>
        <stp>[grid1_3gmijm1c.xlsx]Worksheet!R172C4</stp>
        <tr r="D172" s="2"/>
      </tp>
      <tp>
        <v>4.7875779999999999</v>
        <stp/>
        <stp>##V3_BDPV12</stp>
        <stp>PBHAX US Equity</stp>
        <stp>LAST_CLOSE_TRR_YTD</stp>
        <stp>[grid1_3gmijm1c.xlsx]Worksheet!R133C6</stp>
        <tr r="F133" s="2"/>
      </tp>
      <tp>
        <v>17.21555</v>
        <stp/>
        <stp>##V3_BDPV12</stp>
        <stp>RIMOX US Equity</stp>
        <stp>CUST_TRR_RETURN_ANNUALIZED</stp>
        <stp>[grid1_3gmijm1c.xlsx]Worksheet!R20C3</stp>
        <stp>CUST_TRR_START_DT=20200626</stp>
        <stp>CUST_TRR_END_DT=20201226</stp>
        <tr r="C20" s="2"/>
      </tp>
      <tp>
        <v>20.094000000000001</v>
        <stp/>
        <stp>##V3_BDPV12</stp>
        <stp>THYCX US Equity</stp>
        <stp>CUST_TRR_RETURN_ANNUALIZED</stp>
        <stp>[grid1_3gmijm1c.xlsx]Worksheet!R26C3</stp>
        <stp>CUST_TRR_START_DT=20200626</stp>
        <stp>CUST_TRR_END_DT=20201226</stp>
        <tr r="C26" s="2"/>
      </tp>
      <tp>
        <v>6.5349300000000001</v>
        <stp/>
        <stp>##V3_BDPV12</stp>
        <stp>BHYIX US Equity</stp>
        <stp>LAST_CLOSE_TRR_3MO</stp>
        <stp>[grid1_3gmijm1c.xlsx]Worksheet!R122C5</stp>
        <tr r="E122" s="2"/>
      </tp>
      <tp>
        <v>1.245506</v>
        <stp/>
        <stp>##V3_BDPV12</stp>
        <stp>BHYIX US Equity</stp>
        <stp>LAST_CLOSE_TRR_1MO</stp>
        <stp>[grid1_3gmijm1c.xlsx]Worksheet!R122C4</stp>
        <tr r="D122" s="2"/>
      </tp>
      <tp>
        <v>8.3573550000000001</v>
        <stp/>
        <stp>##V3_BDPV12</stp>
        <stp>SHYAX US Equity</stp>
        <stp>LAST_CLOSE_TRR_3MO</stp>
        <stp>[grid1_3gmijm1c.xlsx]Worksheet!R112C5</stp>
        <tr r="E112" s="2"/>
      </tp>
      <tp>
        <v>2.15882</v>
        <stp/>
        <stp>##V3_BDPV12</stp>
        <stp>SHYAX US Equity</stp>
        <stp>LAST_CLOSE_TRR_1MO</stp>
        <stp>[grid1_3gmijm1c.xlsx]Worksheet!R112C4</stp>
        <tr r="D112" s="2"/>
      </tp>
      <tp t="s">
        <v>#N/A N/A</v>
        <stp/>
        <stp>##V3_BDPV12</stp>
        <stp>QHYIX US Equity</stp>
        <stp>LAST_CLOSE_TRR_YTD</stp>
        <stp>[grid1_3gmijm1c.xlsx]Worksheet!R159C6</stp>
        <tr r="F159" s="2"/>
      </tp>
      <tp>
        <v>8.2797990000000006</v>
        <stp/>
        <stp>##V3_BDPV12</stp>
        <stp>HIYYX US Equity</stp>
        <stp>LAST_CLOSE_TRR_YTD</stp>
        <stp>[grid1_3gmijm1c.xlsx]Worksheet!R138C6</stp>
        <tr r="F138" s="2"/>
      </tp>
    </main>
    <main first="bloomberg.rtd">
      <tp t="s">
        <v>12/24/2020</v>
        <stp/>
        <stp>##V3_BDPV12</stp>
        <stp>IAIRX US Equity</stp>
        <stp>PX_CLOSE_DT</stp>
        <stp>[grid1_3gmijm1c.xlsx]Worksheet!R154C10</stp>
        <tr r="J154" s="2"/>
      </tp>
      <tp t="s">
        <v>12/24/2020</v>
        <stp/>
        <stp>##V3_BDPV12</stp>
        <stp>PLSRX US Equity</stp>
        <stp>PX_CLOSE_DT</stp>
        <stp>[grid1_3gmijm1c.xlsx]Worksheet!R109C10</stp>
        <tr r="J109" s="2"/>
      </tp>
      <tp t="s">
        <v>#N/A N/A</v>
        <stp/>
        <stp>##V3_BDPV12</stp>
        <stp>EVAASFL US Equity</stp>
        <stp>PX_CLOSE_DT</stp>
        <stp>[grid1_3gmijm1c.xlsx]Worksheet!R153C10</stp>
        <tr r="J153" s="2"/>
      </tp>
      <tp t="s">
        <v>12/24/2020</v>
        <stp/>
        <stp>##V3_BDPV12</stp>
        <stp>MZHSX US Equity</stp>
        <stp>PX_CLOSE_DT</stp>
        <stp>[grid1_3gmijm1c.xlsx]Worksheet!R149C10</stp>
        <tr r="J149" s="2"/>
      </tp>
      <tp t="s">
        <v>12/24/2020</v>
        <stp/>
        <stp>##V3_BDPV12</stp>
        <stp>PHYSX US Equity</stp>
        <stp>PX_CLOSE_DT</stp>
        <stp>[grid1_3gmijm1c.xlsx]Worksheet!R110C10</stp>
        <tr r="J110" s="2"/>
      </tp>
      <tp t="s">
        <v>12/24/2020</v>
        <stp/>
        <stp>##V3_BDPV12</stp>
        <stp>PAOPX US Equity</stp>
        <stp>PX_CLOSE_DT</stp>
        <stp>[grid1_3gmijm1c.xlsx]Worksheet!R123C10</stp>
        <tr r="J123" s="2"/>
      </tp>
      <tp t="s">
        <v>12/24/2020</v>
        <stp/>
        <stp>##V3_BDPV12</stp>
        <stp>SHRIX US Equity</stp>
        <stp>PX_CLOSE_DT</stp>
        <stp>[grid1_3gmijm1c.xlsx]Worksheet!R8C10</stp>
        <tr r="J8" s="2"/>
      </tp>
      <tp t="s">
        <v>12/24/2020</v>
        <stp/>
        <stp>##V3_BDPV12</stp>
        <stp>CHYAX US Equity</stp>
        <stp>PX_CLOSE_DT</stp>
        <stp>[grid1_3gmijm1c.xlsx]Worksheet!R4C10</stp>
        <tr r="J4" s="2"/>
      </tp>
      <tp t="s">
        <v>12/24/2020</v>
        <stp/>
        <stp>##V3_BDPV12</stp>
        <stp>PMOTX US Equity</stp>
        <stp>PX_CLOSE_DT</stp>
        <stp>[grid1_3gmijm1c.xlsx]Worksheet!R7C10</stp>
        <tr r="J7" s="2"/>
      </tp>
      <tp t="s">
        <v>12/24/2020</v>
        <stp/>
        <stp>##V3_BDPV12</stp>
        <stp>AHITX US Equity</stp>
        <stp>PX_CLOSE_DT</stp>
        <stp>[grid1_3gmijm1c.xlsx]Worksheet!R120C10</stp>
        <tr r="J120" s="2"/>
      </tp>
      <tp t="s">
        <v>12/24/2020</v>
        <stp/>
        <stp>##V3_BDPV12</stp>
        <stp>SCFAX US Equity</stp>
        <stp>PX_CLOSE_DT</stp>
        <stp>[grid1_3gmijm1c.xlsx]Worksheet!R9C10</stp>
        <tr r="J9" s="2"/>
      </tp>
      <tp>
        <v>1.249695</v>
        <stp/>
        <stp>##V3_BDPV12</stp>
        <stp>PMOTX US Equity</stp>
        <stp>LAST_CLOSE_TRR_1MO</stp>
        <stp>[grid1_3gmijm1c.xlsx]Worksheet!R7C4</stp>
        <tr r="D7" s="2"/>
      </tp>
      <tp>
        <v>-6.3757000000000001</v>
        <stp/>
        <stp>##V3_BDPV12</stp>
        <stp>PMOTX US Equity</stp>
        <stp>LAST_CLOSE_TRR_1YR</stp>
        <stp>[grid1_3gmijm1c.xlsx]Worksheet!R7C7</stp>
        <tr r="G7" s="2"/>
      </tp>
      <tp>
        <v>4.520054</v>
        <stp/>
        <stp>##V3_BDPV12</stp>
        <stp>PMOTX US Equity</stp>
        <stp>LAST_CLOSE_TRR_3MO</stp>
        <stp>[grid1_3gmijm1c.xlsx]Worksheet!R7C5</stp>
        <tr r="E7" s="2"/>
      </tp>
      <tp>
        <v>2.1487910000000001</v>
        <stp/>
        <stp>##V3_BDPV12</stp>
        <stp>PMOTX US Equity</stp>
        <stp>LAST_CLOSE_TRR_3YR</stp>
        <stp>[grid1_3gmijm1c.xlsx]Worksheet!R7C8</stp>
        <tr r="H7" s="2"/>
      </tp>
      <tp t="s">
        <v>12/24/2020</v>
        <stp/>
        <stp>##V3_BDPV12</stp>
        <stp>FAHYX US Equity</stp>
        <stp>PX_CLOSE_DT</stp>
        <stp>[grid1_3gmijm1c.xlsx]Worksheet!R139C10</stp>
        <tr r="J139" s="2"/>
      </tp>
      <tp t="s">
        <v>12/24/2020</v>
        <stp/>
        <stp>##V3_BDPV12</stp>
        <stp>GUHYX US Equity</stp>
        <stp>PX_CLOSE_DT</stp>
        <stp>[grid1_3gmijm1c.xlsx]Worksheet!R145C10</stp>
        <tr r="J145" s="2"/>
      </tp>
      <tp t="s">
        <v>12/24/2020</v>
        <stp/>
        <stp>##V3_BDPV12</stp>
        <stp>DXHYX US Equity</stp>
        <stp>PX_CLOSE_DT</stp>
        <stp>[grid1_3gmijm1c.xlsx]Worksheet!R152C10</stp>
        <tr r="J152" s="2"/>
      </tp>
      <tp t="s">
        <v>12/24/2020</v>
        <stp/>
        <stp>##V3_BDPV12</stp>
        <stp>DPHYX US Equity</stp>
        <stp>PX_CLOSE_DT</stp>
        <stp>[grid1_3gmijm1c.xlsx]Worksheet!R105C10</stp>
        <tr r="J105" s="2"/>
      </tp>
      <tp t="s">
        <v>12/24/2020</v>
        <stp/>
        <stp>##V3_BDPV12</stp>
        <stp>HIYYX US Equity</stp>
        <stp>PX_CLOSE_DT</stp>
        <stp>[grid1_3gmijm1c.xlsx]Worksheet!R138C10</stp>
        <tr r="J138" s="2"/>
      </tp>
      <tp t="s">
        <v>12/24/2020</v>
        <stp/>
        <stp>##V3_BDPV12</stp>
        <stp>HCHYX US Equity</stp>
        <stp>PX_CLOSE_DT</stp>
        <stp>[grid1_3gmijm1c.xlsx]Worksheet!R136C10</stp>
        <tr r="J136" s="2"/>
      </tp>
      <tp t="s">
        <v>#N/A N/A</v>
        <stp/>
        <stp>##V3_BDPV12</stp>
        <stp>HVHYX US Equity</stp>
        <stp>PX_CLOSE_DT</stp>
        <stp>[grid1_3gmijm1c.xlsx]Worksheet!R150C10</stp>
        <tr r="J150" s="2"/>
      </tp>
      <tp t="s">
        <v>12/24/2020</v>
        <stp/>
        <stp>##V3_BDPV12</stp>
        <stp>NMHYX US Equity</stp>
        <stp>PX_CLOSE_DT</stp>
        <stp>[grid1_3gmijm1c.xlsx]Worksheet!R108C10</stp>
        <tr r="J108" s="2"/>
      </tp>
      <tp t="s">
        <v>12/24/2020</v>
        <stp/>
        <stp>##V3_BDPV12</stp>
        <stp>MNHYX US Equity</stp>
        <stp>PX_CLOSE_DT</stp>
        <stp>[grid1_3gmijm1c.xlsx]Worksheet!R127C10</stp>
        <tr r="J127" s="2"/>
      </tp>
      <tp t="s">
        <v>12/24/2020</v>
        <stp/>
        <stp>##V3_BDPV12</stp>
        <stp>MGHYX US Equity</stp>
        <stp>PX_CLOSE_DT</stp>
        <stp>[grid1_3gmijm1c.xlsx]Worksheet!R114C10</stp>
        <tr r="J114" s="2"/>
      </tp>
      <tp t="s">
        <v>12/24/2020</v>
        <stp/>
        <stp>##V3_BDPV12</stp>
        <stp>MXHYX US Equity</stp>
        <stp>PX_CLOSE_DT</stp>
        <stp>[grid1_3gmijm1c.xlsx]Worksheet!R140C10</stp>
        <tr r="J140" s="2"/>
      </tp>
      <tp t="s">
        <v>12/24/2020</v>
        <stp/>
        <stp>##V3_BDPV12</stp>
        <stp>RGHYX US Equity</stp>
        <stp>PX_CLOSE_DT</stp>
        <stp>[grid1_3gmijm1c.xlsx]Worksheet!R125C10</stp>
        <tr r="J125" s="2"/>
      </tp>
      <tp t="s">
        <v>12/24/2020</v>
        <stp/>
        <stp>##V3_BDPV12</stp>
        <stp>SAHYX US Equity</stp>
        <stp>PX_CLOSE_DT</stp>
        <stp>[grid1_3gmijm1c.xlsx]Worksheet!R102C10</stp>
        <tr r="J102" s="2"/>
      </tp>
      <tp t="s">
        <v>12/24/2020</v>
        <stp/>
        <stp>##V3_BDPV12</stp>
        <stp>PHDYX US Equity</stp>
        <stp>PX_CLOSE_DT</stp>
        <stp>[grid1_3gmijm1c.xlsx]Worksheet!R126C10</stp>
        <tr r="J126" s="2"/>
      </tp>
      <tp t="s">
        <v>12/24/2020</v>
        <stp/>
        <stp>##V3_BDPV12</stp>
        <stp>WAHYX US Equity</stp>
        <stp>PX_CLOSE_DT</stp>
        <stp>[grid1_3gmijm1c.xlsx]Worksheet!R128C10</stp>
        <tr r="J128" s="2"/>
      </tp>
      <tp t="s">
        <v>12/24/2020</v>
        <stp/>
        <stp>##V3_BDPV12</stp>
        <stp>TRHYX US Equity</stp>
        <stp>PX_CLOSE_DT</stp>
        <stp>[grid1_3gmijm1c.xlsx]Worksheet!R118C10</stp>
        <tr r="J118" s="2"/>
      </tp>
      <tp>
        <v>3.3261370000000001</v>
        <stp/>
        <stp>##V3_BDPV12</stp>
        <stp>PMOTX US Equity</stp>
        <stp>LAST_CLOSE_TRR_5YR</stp>
        <stp>[grid1_3gmijm1c.xlsx]Worksheet!R7C9</stp>
        <tr r="I7" s="2"/>
      </tp>
      <tp t="s">
        <v>12/24/2020</v>
        <stp/>
        <stp>##V3_BDPV12</stp>
        <stp>FIHBX US Equity</stp>
        <stp>PX_CLOSE_DT</stp>
        <stp>[grid1_3gmijm1c.xlsx]Worksheet!R121C10</stp>
        <tr r="J121" s="2"/>
      </tp>
      <tp t="s">
        <v>#N/A N/A</v>
        <stp/>
        <stp>##V3_BDPV12</stp>
        <stp>TCOBX US Equity</stp>
        <stp>PX_CLOSE_DT</stp>
        <stp>[grid1_3gmijm1c.xlsx]Worksheet!R176C10</stp>
        <tr r="J176" s="2"/>
      </tp>
      <tp t="s">
        <v>#N/A N/A</v>
        <stp/>
        <stp>##V3_BDPV12</stp>
        <stp>TACBX US Equity</stp>
        <stp>PX_CLOSE_DT</stp>
        <stp>[grid1_3gmijm1c.xlsx]Worksheet!R167C10</stp>
        <tr r="J167" s="2"/>
      </tp>
      <tp>
        <v>2.4120599999999999</v>
        <stp/>
        <stp>##V3_BDPV12</stp>
        <stp>SCFAX US Equity</stp>
        <stp>LAST_CLOSE_TRR_3MO</stp>
        <stp>[grid1_3gmijm1c.xlsx]Worksheet!R9C5</stp>
        <tr r="E9" s="2"/>
      </tp>
      <tp>
        <v>0.30237589999999998</v>
        <stp/>
        <stp>##V3_BDPV12</stp>
        <stp>RPHIX US Equity</stp>
        <stp>LAST_CLOSE_TRR_1MO</stp>
        <stp>[grid1_3gmijm1c.xlsx]Worksheet!R3C4</stp>
        <tr r="D3" s="2"/>
      </tp>
      <tp>
        <v>-1.4104639999999999</v>
        <stp/>
        <stp>##V3_BDPV12</stp>
        <stp>RYIHX US Equity</stp>
        <stp>LAST_CLOSE_TRR_1MO</stp>
        <stp>[grid1_3gmijm1c.xlsx]Worksheet!R2C4</stp>
        <tr r="D2" s="2"/>
      </tp>
      <tp>
        <v>3.4835250000000002</v>
        <stp/>
        <stp>##V3_BDPV12</stp>
        <stp>SCFAX US Equity</stp>
        <stp>LAST_CLOSE_TRR_3YR</stp>
        <stp>[grid1_3gmijm1c.xlsx]Worksheet!R9C8</stp>
        <tr r="H9" s="2"/>
      </tp>
      <tp>
        <v>-5.8256779999999999</v>
        <stp/>
        <stp>##V3_BDPV12</stp>
        <stp>RYIHX US Equity</stp>
        <stp>LAST_CLOSE_TRR_1YR</stp>
        <stp>[grid1_3gmijm1c.xlsx]Worksheet!R2C7</stp>
        <tr r="G2" s="2"/>
      </tp>
      <tp>
        <v>1.8279209999999999</v>
        <stp/>
        <stp>##V3_BDPV12</stp>
        <stp>RPHIX US Equity</stp>
        <stp>LAST_CLOSE_TRR_1YR</stp>
        <stp>[grid1_3gmijm1c.xlsx]Worksheet!R3C7</stp>
        <tr r="G3" s="2"/>
      </tp>
      <tp t="s">
        <v>12/24/2020</v>
        <stp/>
        <stp>##V3_BDPV12</stp>
        <stp>RYIHX US Equity</stp>
        <stp>PX_CLOSE_DT</stp>
        <stp>[grid1_3gmijm1c.xlsx]Worksheet!R2C10</stp>
        <tr r="J2" s="2"/>
      </tp>
      <tp>
        <v>0.30956250000000002</v>
        <stp/>
        <stp>##V3_BDPV12</stp>
        <stp>SCFAX US Equity</stp>
        <stp>LAST_CLOSE_TRR_1MO</stp>
        <stp>[grid1_3gmijm1c.xlsx]Worksheet!R9C4</stp>
        <tr r="D9" s="2"/>
      </tp>
      <tp>
        <v>0.71023320000000001</v>
        <stp/>
        <stp>##V3_BDPV12</stp>
        <stp>RPHIX US Equity</stp>
        <stp>LAST_CLOSE_TRR_3MO</stp>
        <stp>[grid1_3gmijm1c.xlsx]Worksheet!R3C5</stp>
        <tr r="E3" s="2"/>
      </tp>
      <tp>
        <v>-6.6426350000000003</v>
        <stp/>
        <stp>##V3_BDPV12</stp>
        <stp>RYIHX US Equity</stp>
        <stp>LAST_CLOSE_TRR_3MO</stp>
        <stp>[grid1_3gmijm1c.xlsx]Worksheet!R2C5</stp>
        <tr r="E2" s="2"/>
      </tp>
      <tp>
        <v>2.8695010000000001</v>
        <stp/>
        <stp>##V3_BDPV12</stp>
        <stp>SCFAX US Equity</stp>
        <stp>LAST_CLOSE_TRR_1YR</stp>
        <stp>[grid1_3gmijm1c.xlsx]Worksheet!R9C7</stp>
        <tr r="G9" s="2"/>
      </tp>
      <tp>
        <v>2.3860640000000002</v>
        <stp/>
        <stp>##V3_BDPV12</stp>
        <stp>RPHIX US Equity</stp>
        <stp>LAST_CLOSE_TRR_3YR</stp>
        <stp>[grid1_3gmijm1c.xlsx]Worksheet!R3C8</stp>
        <tr r="H3" s="2"/>
      </tp>
      <tp>
        <v>-5.5546540000000002</v>
        <stp/>
        <stp>##V3_BDPV12</stp>
        <stp>RYIHX US Equity</stp>
        <stp>LAST_CLOSE_TRR_3YR</stp>
        <stp>[grid1_3gmijm1c.xlsx]Worksheet!R2C8</stp>
        <tr r="H2" s="2"/>
      </tp>
      <tp t="s">
        <v>12/24/2020</v>
        <stp/>
        <stp>##V3_BDPV12</stp>
        <stp>AHIAX US Equity</stp>
        <stp>PX_CLOSE_DT</stp>
        <stp>[grid1_3gmijm1c.xlsx]Worksheet!R161C10</stp>
        <tr r="J161" s="2"/>
      </tp>
      <tp t="s">
        <v>12/24/2020</v>
        <stp/>
        <stp>##V3_BDPV12</stp>
        <stp>ANHAX US Equity</stp>
        <stp>PX_CLOSE_DT</stp>
        <stp>[grid1_3gmijm1c.xlsx]Worksheet!R111C10</stp>
        <tr r="J111" s="2"/>
      </tp>
      <tp t="s">
        <v>#N/A N/A</v>
        <stp/>
        <stp>##V3_BDPV12</stp>
        <stp>GHIAX US Equity</stp>
        <stp>PX_CLOSE_DT</stp>
        <stp>[grid1_3gmijm1c.xlsx]Worksheet!R147C10</stp>
        <tr r="J147" s="2"/>
      </tp>
      <tp t="s">
        <v>12/24/2020</v>
        <stp/>
        <stp>##V3_BDPV12</stp>
        <stp>DHHAX US Equity</stp>
        <stp>PX_CLOSE_DT</stp>
        <stp>[grid1_3gmijm1c.xlsx]Worksheet!R151C10</stp>
        <tr r="J151" s="2"/>
      </tp>
      <tp t="s">
        <v>12/24/2020</v>
        <stp/>
        <stp>##V3_BDPV12</stp>
        <stp>KAMAX US Equity</stp>
        <stp>PX_CLOSE_DT</stp>
        <stp>[grid1_3gmijm1c.xlsx]Worksheet!R170C10</stp>
        <tr r="J170" s="2"/>
      </tp>
      <tp t="s">
        <v>12/24/2020</v>
        <stp/>
        <stp>##V3_BDPV12</stp>
        <stp>HSNAX US Equity</stp>
        <stp>PX_CLOSE_DT</stp>
        <stp>[grid1_3gmijm1c.xlsx]Worksheet!R113C10</stp>
        <tr r="J113" s="2"/>
      </tp>
      <tp t="s">
        <v>12/24/2020</v>
        <stp/>
        <stp>##V3_BDPV12</stp>
        <stp>IHFAX US Equity</stp>
        <stp>PX_CLOSE_DT</stp>
        <stp>[grid1_3gmijm1c.xlsx]Worksheet!R117C10</stp>
        <tr r="J117" s="2"/>
      </tp>
      <tp t="s">
        <v>12/24/2020</v>
        <stp/>
        <stp>##V3_BDPV12</stp>
        <stp>IPNAX US Equity</stp>
        <stp>PX_CLOSE_DT</stp>
        <stp>[grid1_3gmijm1c.xlsx]Worksheet!R157C10</stp>
        <tr r="J157" s="2"/>
      </tp>
      <tp t="s">
        <v>12/24/2020</v>
        <stp/>
        <stp>##V3_BDPV12</stp>
        <stp>LSYAX US Equity</stp>
        <stp>PX_CLOSE_DT</stp>
        <stp>[grid1_3gmijm1c.xlsx]Worksheet!R175C10</stp>
        <tr r="J175" s="2"/>
      </tp>
      <tp t="s">
        <v>12/24/2020</v>
        <stp/>
        <stp>##V3_BDPV12</stp>
        <stp>RCRAX US Equity</stp>
        <stp>PX_CLOSE_DT</stp>
        <stp>[grid1_3gmijm1c.xlsx]Worksheet!R148C10</stp>
        <tr r="J148" s="2"/>
      </tp>
      <tp t="s">
        <v>12/24/2020</v>
        <stp/>
        <stp>##V3_BDPV12</stp>
        <stp>SHYAX US Equity</stp>
        <stp>PX_CLOSE_DT</stp>
        <stp>[grid1_3gmijm1c.xlsx]Worksheet!R112C10</stp>
        <tr r="J112" s="2"/>
      </tp>
      <tp t="s">
        <v>12/24/2020</v>
        <stp/>
        <stp>##V3_BDPV12</stp>
        <stp>SGYAX US Equity</stp>
        <stp>PX_CLOSE_DT</stp>
        <stp>[grid1_3gmijm1c.xlsx]Worksheet!R135C10</stp>
        <tr r="J135" s="2"/>
      </tp>
      <tp t="s">
        <v>12/24/2020</v>
        <stp/>
        <stp>##V3_BDPV12</stp>
        <stp>PBHAX US Equity</stp>
        <stp>PX_CLOSE_DT</stp>
        <stp>[grid1_3gmijm1c.xlsx]Worksheet!R133C10</stp>
        <tr r="J133" s="2"/>
      </tp>
      <tp t="s">
        <v>12/24/2020</v>
        <stp/>
        <stp>##V3_BDPV12</stp>
        <stp>WHIAX US Equity</stp>
        <stp>PX_CLOSE_DT</stp>
        <stp>[grid1_3gmijm1c.xlsx]Worksheet!R107C10</stp>
        <tr r="J107" s="2"/>
      </tp>
      <tp t="s">
        <v>12/24/2020</v>
        <stp/>
        <stp>##V3_BDPV12</stp>
        <stp>TNHAX US Equity</stp>
        <stp>PX_CLOSE_DT</stp>
        <stp>[grid1_3gmijm1c.xlsx]Worksheet!R106C10</stp>
        <tr r="J106" s="2"/>
      </tp>
      <tp t="s">
        <v>12/24/2020</v>
        <stp/>
        <stp>##V3_BDPV12</stp>
        <stp>TUHAX US Equity</stp>
        <stp>PX_CLOSE_DT</stp>
        <stp>[grid1_3gmijm1c.xlsx]Worksheet!R137C10</stp>
        <tr r="J137" s="2"/>
      </tp>
      <tp t="s">
        <v>#N/A N/A</v>
        <stp/>
        <stp>##V3_BDPV12</stp>
        <stp>ACRFX US Equity</stp>
        <stp>PX_CLOSE_DT</stp>
        <stp>[grid1_3gmijm1c.xlsx]Worksheet!R168C10</stp>
        <tr r="J168" s="2"/>
      </tp>
      <tp t="s">
        <v>12/24/2020</v>
        <stp/>
        <stp>##V3_BDPV12</stp>
        <stp>APDFX US Equity</stp>
        <stp>PX_CLOSE_DT</stp>
        <stp>[grid1_3gmijm1c.xlsx]Worksheet!R144C10</stp>
        <tr r="J144" s="2"/>
      </tp>
      <tp t="s">
        <v>12/24/2020</v>
        <stp/>
        <stp>##V3_BDPV12</stp>
        <stp>HIIFX US Equity</stp>
        <stp>PX_CLOSE_DT</stp>
        <stp>[grid1_3gmijm1c.xlsx]Worksheet!R146C10</stp>
        <tr r="J146" s="2"/>
      </tp>
      <tp>
        <v>2.6203829999999999</v>
        <stp/>
        <stp>##V3_BDPV12</stp>
        <stp>RPHIX US Equity</stp>
        <stp>LAST_CLOSE_TRR_5YR</stp>
        <stp>[grid1_3gmijm1c.xlsx]Worksheet!R3C9</stp>
        <tr r="I3" s="2"/>
      </tp>
      <tp>
        <v>-6.5305809999999997</v>
        <stp/>
        <stp>##V3_BDPV12</stp>
        <stp>RYIHX US Equity</stp>
        <stp>LAST_CLOSE_TRR_5YR</stp>
        <stp>[grid1_3gmijm1c.xlsx]Worksheet!R2C9</stp>
        <tr r="I2" s="2"/>
      </tp>
      <tp t="s">
        <v>#N/A N/A</v>
        <stp/>
        <stp>##V3_BDPV12</stp>
        <stp>BHHGX US Equity</stp>
        <stp>PX_CLOSE_DT</stp>
        <stp>[grid1_3gmijm1c.xlsx]Worksheet!R174C10</stp>
        <tr r="J174" s="2"/>
      </tp>
      <tp t="s">
        <v>12/24/2020</v>
        <stp/>
        <stp>##V3_BDPV12</stp>
        <stp>CBLDX US Equity</stp>
        <stp>PX_CLOSE_DT</stp>
        <stp>[grid1_3gmijm1c.xlsx]Worksheet!R162C10</stp>
        <tr r="J162" s="2"/>
      </tp>
      <tp t="s">
        <v>12/24/2020</v>
        <stp/>
        <stp>##V3_BDPV12</stp>
        <stp>JIHDX US Equity</stp>
        <stp>PX_CLOSE_DT</stp>
        <stp>[grid1_3gmijm1c.xlsx]Worksheet!R132C10</stp>
        <tr r="J132" s="2"/>
      </tp>
      <tp t="s">
        <v>12/24/2020</v>
        <stp/>
        <stp>##V3_BDPV12</stp>
        <stp>JMADX US Equity</stp>
        <stp>PX_CLOSE_DT</stp>
        <stp>[grid1_3gmijm1c.xlsx]Worksheet!R169C10</stp>
        <tr r="J169" s="2"/>
      </tp>
      <tp>
        <v>3.7045309999999998</v>
        <stp/>
        <stp>##V3_BDPV12</stp>
        <stp>SCFAX US Equity</stp>
        <stp>LAST_CLOSE_TRR_5YR</stp>
        <stp>[grid1_3gmijm1c.xlsx]Worksheet!R9C9</stp>
        <tr r="I9" s="2"/>
      </tp>
      <tp>
        <v>1.4306080000000001</v>
        <stp/>
        <stp>##V3_BDPV12</stp>
        <stp>SHRIX US Equity</stp>
        <stp>LAST_CLOSE_TRR_3MO</stp>
        <stp>[grid1_3gmijm1c.xlsx]Worksheet!R8C5</stp>
        <tr r="E8" s="2"/>
      </tp>
      <tp>
        <v>-2.333815</v>
        <stp/>
        <stp>##V3_BDPV12</stp>
        <stp>NTHEX US Equity</stp>
        <stp>LAST_CLOSE_TRR_1YR</stp>
        <stp>[grid1_3gmijm1c.xlsx]Worksheet!R6C7</stp>
        <tr r="G6" s="2"/>
      </tp>
      <tp>
        <v>4.8787560000000001</v>
        <stp/>
        <stp>##V3_BDPV12</stp>
        <stp>SHRIX US Equity</stp>
        <stp>LAST_CLOSE_TRR_3YR</stp>
        <stp>[grid1_3gmijm1c.xlsx]Worksheet!R8C8</stp>
        <tr r="H8" s="2"/>
      </tp>
      <tp>
        <v>0.80428949999999999</v>
        <stp/>
        <stp>##V3_BDPV12</stp>
        <stp>NTHEX US Equity</stp>
        <stp>LAST_CLOSE_TRR_1MO</stp>
        <stp>[grid1_3gmijm1c.xlsx]Worksheet!R6C4</stp>
        <tr r="D6" s="2"/>
      </tp>
      <tp t="s">
        <v>12/24/2020</v>
        <stp/>
        <stp>##V3_BDPV12</stp>
        <stp>FRFEX US Equity</stp>
        <stp>PX_CLOSE_DT</stp>
        <stp>[grid1_3gmijm1c.xlsx]Worksheet!R5C10</stp>
        <tr r="J5" s="2"/>
      </tp>
      <tp>
        <v>2.0362390000000001</v>
        <stp/>
        <stp>##V3_BDPV12</stp>
        <stp>FRFEX US Equity</stp>
        <stp>LAST_CLOSE_TRR_3YR</stp>
        <stp>[grid1_3gmijm1c.xlsx]Worksheet!R5C8</stp>
        <tr r="H5" s="2"/>
      </tp>
      <tp>
        <v>1.37931</v>
        <stp/>
        <stp>##V3_BDPV12</stp>
        <stp>FRFEX US Equity</stp>
        <stp>LAST_CLOSE_TRR_3MO</stp>
        <stp>[grid1_3gmijm1c.xlsx]Worksheet!R5C5</stp>
        <tr r="E5" s="2"/>
      </tp>
      <tp t="s">
        <v>12/24/2020</v>
        <stp/>
        <stp>##V3_BDPV12</stp>
        <stp>STBKX US Equity</stp>
        <stp>PX_CLOSE_DT</stp>
        <stp>[grid1_3gmijm1c.xlsx]Worksheet!R171C10</stp>
        <tr r="J171" s="2"/>
      </tp>
      <tp>
        <v>2.9005619999999999</v>
        <stp/>
        <stp>##V3_BDPV12</stp>
        <stp>CHYAX US Equity</stp>
        <stp>LAST_CLOSE_TRR_5YR</stp>
        <stp>[grid1_3gmijm1c.xlsx]Worksheet!R4C9</stp>
        <tr r="I4" s="2"/>
      </tp>
      <tp>
        <v>0.1232318</v>
        <stp/>
        <stp>##V3_BDPV12</stp>
        <stp>SHRIX US Equity</stp>
        <stp>LAST_CLOSE_TRR_1MO</stp>
        <stp>[grid1_3gmijm1c.xlsx]Worksheet!R8C4</stp>
        <tr r="D8" s="2"/>
      </tp>
      <tp>
        <v>-2.1193659999999999</v>
        <stp/>
        <stp>##V3_BDPV12</stp>
        <stp>NTHEX US Equity</stp>
        <stp>LAST_CLOSE_TRR_3YR</stp>
        <stp>[grid1_3gmijm1c.xlsx]Worksheet!R6C8</stp>
        <tr r="H6" s="2"/>
      </tp>
      <tp>
        <v>6.8701230000000004</v>
        <stp/>
        <stp>##V3_BDPV12</stp>
        <stp>SHRIX US Equity</stp>
        <stp>LAST_CLOSE_TRR_1YR</stp>
        <stp>[grid1_3gmijm1c.xlsx]Worksheet!R8C7</stp>
        <tr r="G8" s="2"/>
      </tp>
      <tp>
        <v>2.972124</v>
        <stp/>
        <stp>##V3_BDPV12</stp>
        <stp>NTHEX US Equity</stp>
        <stp>LAST_CLOSE_TRR_3MO</stp>
        <stp>[grid1_3gmijm1c.xlsx]Worksheet!R6C5</stp>
        <tr r="E6" s="2"/>
      </tp>
      <tp t="s">
        <v>12/24/2020</v>
        <stp/>
        <stp>##V3_BDPV12</stp>
        <stp>NEFHX US Equity</stp>
        <stp>PX_CLOSE_DT</stp>
        <stp>[grid1_3gmijm1c.xlsx]Worksheet!R100C10</stp>
        <tr r="J100" s="2"/>
      </tp>
      <tp t="s">
        <v>12/24/2020</v>
        <stp/>
        <stp>##V3_BDPV12</stp>
        <stp>RPIHX US Equity</stp>
        <stp>PX_CLOSE_DT</stp>
        <stp>[grid1_3gmijm1c.xlsx]Worksheet!R134C10</stp>
        <tr r="J134" s="2"/>
      </tp>
      <tp t="s">
        <v>12/24/2020</v>
        <stp/>
        <stp>##V3_BDPV12</stp>
        <stp>SAMHX US Equity</stp>
        <stp>PX_CLOSE_DT</stp>
        <stp>[grid1_3gmijm1c.xlsx]Worksheet!R129C10</stp>
        <tr r="J129" s="2"/>
      </tp>
      <tp t="s">
        <v>12/24/2020</v>
        <stp/>
        <stp>##V3_BDPV12</stp>
        <stp>PAXHX US Equity</stp>
        <stp>PX_CLOSE_DT</stp>
        <stp>[grid1_3gmijm1c.xlsx]Worksheet!R104C10</stp>
        <tr r="J104" s="2"/>
      </tp>
      <tp t="s">
        <v>12/24/2020</v>
        <stp/>
        <stp>##V3_BDPV12</stp>
        <stp>RPHIX US Equity</stp>
        <stp>PX_CLOSE_DT</stp>
        <stp>[grid1_3gmijm1c.xlsx]Worksheet!R3C10</stp>
        <tr r="J3" s="2"/>
      </tp>
      <tp>
        <v>0.63601300000000005</v>
        <stp/>
        <stp>##V3_BDPV12</stp>
        <stp>FRFEX US Equity</stp>
        <stp>LAST_CLOSE_TRR_1YR</stp>
        <stp>[grid1_3gmijm1c.xlsx]Worksheet!R5C7</stp>
        <tr r="G5" s="2"/>
      </tp>
      <tp>
        <v>0.51282050000000001</v>
        <stp/>
        <stp>##V3_BDPV12</stp>
        <stp>FRFEX US Equity</stp>
        <stp>LAST_CLOSE_TRR_1MO</stp>
        <stp>[grid1_3gmijm1c.xlsx]Worksheet!R5C4</stp>
        <tr r="D5" s="2"/>
      </tp>
      <tp t="s">
        <v>12/24/2020</v>
        <stp/>
        <stp>##V3_BDPV12</stp>
        <stp>BHYIX US Equity</stp>
        <stp>PX_CLOSE_DT</stp>
        <stp>[grid1_3gmijm1c.xlsx]Worksheet!R122C10</stp>
        <tr r="J122" s="2"/>
      </tp>
      <tp t="s">
        <v>#N/A N/A</v>
        <stp/>
        <stp>##V3_BDPV12</stp>
        <stp>BHDIX US Equity</stp>
        <stp>PX_CLOSE_DT</stp>
        <stp>[grid1_3gmijm1c.xlsx]Worksheet!R173C10</stp>
        <tr r="J173" s="2"/>
      </tp>
      <tp t="s">
        <v>12/24/2020</v>
        <stp/>
        <stp>##V3_BDPV12</stp>
        <stp>FJSIX US Equity</stp>
        <stp>PX_CLOSE_DT</stp>
        <stp>[grid1_3gmijm1c.xlsx]Worksheet!R124C10</stp>
        <tr r="J124" s="2"/>
      </tp>
      <tp t="s">
        <v>12/24/2020</v>
        <stp/>
        <stp>##V3_BDPV12</stp>
        <stp>FHAIX US Equity</stp>
        <stp>PX_CLOSE_DT</stp>
        <stp>[grid1_3gmijm1c.xlsx]Worksheet!R141C10</stp>
        <tr r="J141" s="2"/>
      </tp>
      <tp t="s">
        <v>12/24/2020</v>
        <stp/>
        <stp>##V3_BDPV12</stp>
        <stp>FHHIX US Equity</stp>
        <stp>PX_CLOSE_DT</stp>
        <stp>[grid1_3gmijm1c.xlsx]Worksheet!R172C10</stp>
        <tr r="J172" s="2"/>
      </tp>
      <tp t="s">
        <v>12/24/2020</v>
        <stp/>
        <stp>##V3_BDPV12</stp>
        <stp>FAGIX US Equity</stp>
        <stp>PX_CLOSE_DT</stp>
        <stp>[grid1_3gmijm1c.xlsx]Worksheet!R142C10</stp>
        <tr r="J142" s="2"/>
      </tp>
      <tp t="s">
        <v>12/24/2020</v>
        <stp/>
        <stp>##V3_BDPV12</stp>
        <stp>GHVIX US Equity</stp>
        <stp>PX_CLOSE_DT</stp>
        <stp>[grid1_3gmijm1c.xlsx]Worksheet!R163C10</stp>
        <tr r="J163" s="2"/>
      </tp>
      <tp t="s">
        <v>#N/A N/A</v>
        <stp/>
        <stp>##V3_BDPV12</stp>
        <stp>HREIX US Equity</stp>
        <stp>PX_CLOSE_DT</stp>
        <stp>[grid1_3gmijm1c.xlsx]Worksheet!R165C10</stp>
        <tr r="J165" s="2"/>
      </tp>
      <tp t="s">
        <v>12/24/2020</v>
        <stp/>
        <stp>##V3_BDPV12</stp>
        <stp>NWXIX US Equity</stp>
        <stp>PX_CLOSE_DT</stp>
        <stp>[grid1_3gmijm1c.xlsx]Worksheet!R103C10</stp>
        <tr r="J103" s="2"/>
      </tp>
      <tp t="s">
        <v>12/24/2020</v>
        <stp/>
        <stp>##V3_BDPV12</stp>
        <stp>MFHIX US Equity</stp>
        <stp>PX_CLOSE_DT</stp>
        <stp>[grid1_3gmijm1c.xlsx]Worksheet!R164C10</stp>
        <tr r="J164" s="2"/>
      </tp>
      <tp t="s">
        <v>12/24/2020</v>
        <stp/>
        <stp>##V3_BDPV12</stp>
        <stp>SAHIX US Equity</stp>
        <stp>PX_CLOSE_DT</stp>
        <stp>[grid1_3gmijm1c.xlsx]Worksheet!R115C10</stp>
        <tr r="J115" s="2"/>
      </tp>
      <tp t="s">
        <v>12/24/2020</v>
        <stp/>
        <stp>##V3_BDPV12</stp>
        <stp>PHYIX US Equity</stp>
        <stp>PX_CLOSE_DT</stp>
        <stp>[grid1_3gmijm1c.xlsx]Worksheet!R101C10</stp>
        <tr r="J101" s="2"/>
      </tp>
      <tp t="s">
        <v>12/24/2020</v>
        <stp/>
        <stp>##V3_BDPV12</stp>
        <stp>PHSIX US Equity</stp>
        <stp>PX_CLOSE_DT</stp>
        <stp>[grid1_3gmijm1c.xlsx]Worksheet!R130C10</stp>
        <tr r="J130" s="2"/>
      </tp>
      <tp t="s">
        <v>12/24/2020</v>
        <stp/>
        <stp>##V3_BDPV12</stp>
        <stp>PLHIX US Equity</stp>
        <stp>PX_CLOSE_DT</stp>
        <stp>[grid1_3gmijm1c.xlsx]Worksheet!R119C10</stp>
        <tr r="J119" s="2"/>
      </tp>
      <tp t="s">
        <v>12/24/2020</v>
        <stp/>
        <stp>##V3_BDPV12</stp>
        <stp>PKHIX US Equity</stp>
        <stp>PX_CLOSE_DT</stp>
        <stp>[grid1_3gmijm1c.xlsx]Worksheet!R158C10</stp>
        <tr r="J158" s="2"/>
      </tp>
      <tp t="s">
        <v>#N/A N/A</v>
        <stp/>
        <stp>##V3_BDPV12</stp>
        <stp>QHYIX US Equity</stp>
        <stp>PX_CLOSE_DT</stp>
        <stp>[grid1_3gmijm1c.xlsx]Worksheet!R159C10</stp>
        <tr r="J159" s="2"/>
      </tp>
      <tp>
        <v>2.6539229999999998</v>
        <stp/>
        <stp>##V3_BDPV12</stp>
        <stp>CHYAX US Equity</stp>
        <stp>LAST_CLOSE_TRR_3YR</stp>
        <stp>[grid1_3gmijm1c.xlsx]Worksheet!R4C8</stp>
        <tr r="H4" s="2"/>
      </tp>
      <tp>
        <v>3.0241820000000001</v>
        <stp/>
        <stp>##V3_BDPV12</stp>
        <stp>NTHEX US Equity</stp>
        <stp>LAST_CLOSE_TRR_5YR</stp>
        <stp>[grid1_3gmijm1c.xlsx]Worksheet!R6C9</stp>
        <tr r="I6" s="2"/>
      </tp>
      <tp>
        <v>2.682734</v>
        <stp/>
        <stp>##V3_BDPV12</stp>
        <stp>CHYAX US Equity</stp>
        <stp>LAST_CLOSE_TRR_3MO</stp>
        <stp>[grid1_3gmijm1c.xlsx]Worksheet!R4C5</stp>
        <tr r="E4" s="2"/>
      </tp>
      <tp t="s">
        <v>12/24/2020</v>
        <stp/>
        <stp>##V3_BDPV12</stp>
        <stp>AHGNX US Equity</stp>
        <stp>PX_CLOSE_DT</stp>
        <stp>[grid1_3gmijm1c.xlsx]Worksheet!R156C10</stp>
        <tr r="J156" s="2"/>
      </tp>
      <tp t="s">
        <v>12/24/2020</v>
        <stp/>
        <stp>##V3_BDPV12</stp>
        <stp>FSHNX US Equity</stp>
        <stp>PX_CLOSE_DT</stp>
        <stp>[grid1_3gmijm1c.xlsx]Worksheet!R131C10</stp>
        <tr r="J131" s="2"/>
      </tp>
      <tp t="s">
        <v>12/24/2020</v>
        <stp/>
        <stp>##V3_BDPV12</stp>
        <stp>PSHNX US Equity</stp>
        <stp>PX_CLOSE_DT</stp>
        <stp>[grid1_3gmijm1c.xlsx]Worksheet!R155C10</stp>
        <tr r="J155" s="2"/>
      </tp>
      <tp t="s">
        <v>12/24/2020</v>
        <stp/>
        <stp>##V3_BDPV12</stp>
        <stp>CRDOX US Equity</stp>
        <stp>PX_CLOSE_DT</stp>
        <stp>[grid1_3gmijm1c.xlsx]Worksheet!R166C10</stp>
        <tr r="J166" s="2"/>
      </tp>
      <tp t="s">
        <v>12/24/2020</v>
        <stp/>
        <stp>##V3_BDPV12</stp>
        <stp>LSIOX US Equity</stp>
        <stp>PX_CLOSE_DT</stp>
        <stp>[grid1_3gmijm1c.xlsx]Worksheet!R143C10</stp>
        <tr r="J143" s="2"/>
      </tp>
      <tp>
        <v>0.89424029999999999</v>
        <stp/>
        <stp>##V3_BDPV12</stp>
        <stp>CHYAX US Equity</stp>
        <stp>LAST_CLOSE_TRR_1YR</stp>
        <stp>[grid1_3gmijm1c.xlsx]Worksheet!R4C7</stp>
        <tr r="G4" s="2"/>
      </tp>
      <tp>
        <v>3.4800010000000001</v>
        <stp/>
        <stp>##V3_BDPV12</stp>
        <stp>SHRIX US Equity</stp>
        <stp>LAST_CLOSE_TRR_5YR</stp>
        <stp>[grid1_3gmijm1c.xlsx]Worksheet!R8C9</stp>
        <tr r="I8" s="2"/>
      </tp>
      <tp>
        <v>1.8715980000000001</v>
        <stp/>
        <stp>##V3_BDPV12</stp>
        <stp>CHYAX US Equity</stp>
        <stp>LAST_CLOSE_TRR_1MO</stp>
        <stp>[grid1_3gmijm1c.xlsx]Worksheet!R4C4</stp>
        <tr r="D4" s="2"/>
      </tp>
      <tp t="s">
        <v>12/24/2020</v>
        <stp/>
        <stp>##V3_BDPV12</stp>
        <stp>JIHLX US Equity</stp>
        <stp>PX_CLOSE_DT</stp>
        <stp>[grid1_3gmijm1c.xlsx]Worksheet!R116C10</stp>
        <tr r="J116" s="2"/>
      </tp>
      <tp t="s">
        <v>#N/A N/A</v>
        <stp/>
        <stp>##V3_BDPV12</stp>
        <stp>VHYLX US Equity</stp>
        <stp>PX_CLOSE_DT</stp>
        <stp>[grid1_3gmijm1c.xlsx]Worksheet!R177C10</stp>
        <tr r="J177" s="2"/>
      </tp>
      <tp t="s">
        <v>12/24/2020</v>
        <stp/>
        <stp>##V3_BDPV12</stp>
        <stp>NTHEX US Equity</stp>
        <stp>PX_CLOSE_DT</stp>
        <stp>[grid1_3gmijm1c.xlsx]Worksheet!R6C10</stp>
        <tr r="J6" s="2"/>
      </tp>
      <tp>
        <v>2.9991289999999999</v>
        <stp/>
        <stp>##V3_BDPV12</stp>
        <stp>FRFEX US Equity</stp>
        <stp>LAST_CLOSE_TRR_5YR</stp>
        <stp>[grid1_3gmijm1c.xlsx]Worksheet!R5C9</stp>
        <tr r="I5" s="2"/>
      </tp>
      <tp t="s">
        <v>12/24/2020</v>
        <stp/>
        <stp>##V3_BDPV12</stp>
        <stp>PIAMX US Equity</stp>
        <stp>PX_CLOSE_DT</stp>
        <stp>[grid1_3gmijm1c.xlsx]Worksheet!R160C10</stp>
        <tr r="J160" s="2"/>
      </tp>
      <tp>
        <v>-6.6431979999999999</v>
        <stp/>
        <stp>##V3_BDPV12</stp>
        <stp>PMOTX US Equity</stp>
        <stp>LAST_CLOSE_TRR_YTD</stp>
        <stp>[grid1_3gmijm1c.xlsx]Worksheet!R7C6</stp>
        <tr r="F7" s="2"/>
      </tp>
      <tp>
        <v>6.8898549999999998</v>
        <stp/>
        <stp>##V3_BDPV12</stp>
        <stp>CCHYX US Equity</stp>
        <stp>LAST_CLOSE_TRR_3MO</stp>
        <stp>[grid1_3gmijm1c.xlsx]Worksheet!R25C5</stp>
        <tr r="E25" s="2"/>
      </tp>
      <tp>
        <v>6.1362949999999996</v>
        <stp/>
        <stp>##V3_BDPV12</stp>
        <stp>DCHYX US Equity</stp>
        <stp>LAST_CLOSE_TRR_3MO</stp>
        <stp>[grid1_3gmijm1c.xlsx]Worksheet!R32C5</stp>
        <tr r="E32" s="2"/>
      </tp>
      <tp>
        <v>1.8471070000000001</v>
        <stp/>
        <stp>##V3_BDPV12</stp>
        <stp>CCHYX US Equity</stp>
        <stp>LAST_CLOSE_TRR_1MO</stp>
        <stp>[grid1_3gmijm1c.xlsx]Worksheet!R25C4</stp>
        <tr r="D25" s="2"/>
      </tp>
      <tp>
        <v>1.3084610000000001</v>
        <stp/>
        <stp>##V3_BDPV12</stp>
        <stp>DCHYX US Equity</stp>
        <stp>LAST_CLOSE_TRR_1MO</stp>
        <stp>[grid1_3gmijm1c.xlsx]Worksheet!R32C4</stp>
        <tr r="D32" s="2"/>
      </tp>
      <tp>
        <v>1.4715609999999999</v>
        <stp/>
        <stp>##V3_BDPV12</stp>
        <stp>NCOAX US Equity</stp>
        <stp>LAST_CLOSE_TRR_1MO</stp>
        <stp>[grid1_3gmijm1c.xlsx]Worksheet!R98C4</stp>
        <tr r="D98" s="2"/>
      </tp>
      <tp>
        <v>6.397627</v>
        <stp/>
        <stp>##V3_BDPV12</stp>
        <stp>NCOAX US Equity</stp>
        <stp>LAST_CLOSE_TRR_3MO</stp>
        <stp>[grid1_3gmijm1c.xlsx]Worksheet!R98C5</stp>
        <tr r="E98" s="2"/>
      </tp>
      <tp>
        <v>7.3617850000000002</v>
        <stp/>
        <stp>##V3_BDPV12</stp>
        <stp>USHYX US Equity</stp>
        <stp>LAST_CLOSE_TRR_5YR</stp>
        <stp>[grid1_3gmijm1c.xlsx]Worksheet!R87C9</stp>
        <tr r="I87" s="2"/>
      </tp>
      <tp>
        <v>4.1177919999999997</v>
        <stp/>
        <stp>##V3_BDPV12</stp>
        <stp>USHYX US Equity</stp>
        <stp>LAST_CLOSE_TRR_3YR</stp>
        <stp>[grid1_3gmijm1c.xlsx]Worksheet!R87C8</stp>
        <tr r="H87" s="2"/>
      </tp>
      <tp>
        <v>3.3207439999999999</v>
        <stp/>
        <stp>##V3_BDPV12</stp>
        <stp>USHYX US Equity</stp>
        <stp>LAST_CLOSE_TRR_1YR</stp>
        <stp>[grid1_3gmijm1c.xlsx]Worksheet!R87C7</stp>
        <tr r="G87" s="2"/>
      </tp>
      <tp t="s">
        <v>#N/A N/A</v>
        <stp/>
        <stp>##V3_BDPV12</stp>
        <stp>VHYLX US Equity</stp>
        <stp>CUST_TRR_RETURN_ANNUALIZED</stp>
        <stp>[grid1_3gmijm1c.xlsx]Worksheet!R177C3</stp>
        <stp>CUST_TRR_START_DT=20200626</stp>
        <stp>CUST_TRR_END_DT=20201226</stp>
        <tr r="C177" s="2"/>
      </tp>
      <tp>
        <v>6.9225620000000001</v>
        <stp/>
        <stp>##V3_BDPV12</stp>
        <stp>TPHAX US Equity</stp>
        <stp>LAST_CLOSE_TRR_5YR</stp>
        <stp>[grid1_3gmijm1c.xlsx]Worksheet!R66C9</stp>
        <tr r="I66" s="2"/>
      </tp>
      <tp>
        <v>5.5027799999999996</v>
        <stp/>
        <stp>##V3_BDPV12</stp>
        <stp>TPHAX US Equity</stp>
        <stp>LAST_CLOSE_TRR_3YR</stp>
        <stp>[grid1_3gmijm1c.xlsx]Worksheet!R66C8</stp>
        <tr r="H66" s="2"/>
      </tp>
      <tp>
        <v>6.6818489999999997</v>
        <stp/>
        <stp>##V3_BDPV12</stp>
        <stp>AMHYX US Equity</stp>
        <stp>LAST_CLOSE_TRR_3MO</stp>
        <stp>[grid1_3gmijm1c.xlsx]Worksheet!R27C5</stp>
        <tr r="E27" s="2"/>
      </tp>
      <tp>
        <v>2.0785960000000001</v>
        <stp/>
        <stp>##V3_BDPV12</stp>
        <stp>AMHYX US Equity</stp>
        <stp>LAST_CLOSE_TRR_1MO</stp>
        <stp>[grid1_3gmijm1c.xlsx]Worksheet!R27C4</stp>
        <tr r="D27" s="2"/>
      </tp>
      <tp>
        <v>5.5697369999999999</v>
        <stp/>
        <stp>##V3_BDPV12</stp>
        <stp>TPHAX US Equity</stp>
        <stp>LAST_CLOSE_TRR_1YR</stp>
        <stp>[grid1_3gmijm1c.xlsx]Worksheet!R66C7</stp>
        <tr r="G66" s="2"/>
      </tp>
      <tp>
        <v>4.7942989999999996</v>
        <stp/>
        <stp>##V3_BDPV12</stp>
        <stp>VWEHX US Equity</stp>
        <stp>LAST_CLOSE_TRR_1YR</stp>
        <stp>[grid1_3gmijm1c.xlsx]Worksheet!R74C7</stp>
        <tr r="G74" s="2"/>
      </tp>
      <tp>
        <v>5.6996200000000004</v>
        <stp/>
        <stp>##V3_BDPV12</stp>
        <stp>VWEHX US Equity</stp>
        <stp>LAST_CLOSE_TRR_3YR</stp>
        <stp>[grid1_3gmijm1c.xlsx]Worksheet!R74C8</stp>
        <tr r="H74" s="2"/>
      </tp>
      <tp>
        <v>7.0805170000000004</v>
        <stp/>
        <stp>##V3_BDPV12</stp>
        <stp>VWEHX US Equity</stp>
        <stp>LAST_CLOSE_TRR_5YR</stp>
        <stp>[grid1_3gmijm1c.xlsx]Worksheet!R74C9</stp>
        <tr r="I74" s="2"/>
      </tp>
      <tp>
        <v>0.54802050000000002</v>
        <stp/>
        <stp>##V3_BDPV12</stp>
        <stp>FHIFX US Equity</stp>
        <stp>LAST_CLOSE_TRR_1MO</stp>
        <stp>[grid1_3gmijm1c.xlsx]Worksheet!R50C4</stp>
        <tr r="D50" s="2"/>
      </tp>
      <tp>
        <v>4.2365360000000001</v>
        <stp/>
        <stp>##V3_BDPV12</stp>
        <stp>FHIFX US Equity</stp>
        <stp>LAST_CLOSE_TRR_3MO</stp>
        <stp>[grid1_3gmijm1c.xlsx]Worksheet!R50C5</stp>
        <tr r="E50" s="2"/>
      </tp>
      <tp>
        <v>1.2405489999999999</v>
        <stp/>
        <stp>##V3_BDPV12</stp>
        <stp>DHOAX US Equity</stp>
        <stp>LAST_CLOSE_TRR_1MO</stp>
        <stp>[grid1_3gmijm1c.xlsx]Worksheet!R82C4</stp>
        <tr r="D82" s="2"/>
      </tp>
      <tp>
        <v>6.234324</v>
        <stp/>
        <stp>##V3_BDPV12</stp>
        <stp>DHOAX US Equity</stp>
        <stp>LAST_CLOSE_TRR_3MO</stp>
        <stp>[grid1_3gmijm1c.xlsx]Worksheet!R82C5</stp>
        <tr r="E82" s="2"/>
      </tp>
      <tp>
        <v>2.9185409999999998</v>
        <stp/>
        <stp>##V3_BDPV12</stp>
        <stp>RIMOX US Equity</stp>
        <stp>LAST_CLOSE_TRR_3YR</stp>
        <stp>[grid1_3gmijm1c.xlsx]Worksheet!R20C8</stp>
        <tr r="H20" s="2"/>
      </tp>
      <tp>
        <v>5.1540280000000003</v>
        <stp/>
        <stp>##V3_BDPV12</stp>
        <stp>RIMOX US Equity</stp>
        <stp>LAST_CLOSE_TRR_5YR</stp>
        <stp>[grid1_3gmijm1c.xlsx]Worksheet!R20C9</stp>
        <tr r="I20" s="2"/>
      </tp>
      <tp>
        <v>2.485293</v>
        <stp/>
        <stp>##V3_BDPV12</stp>
        <stp>RIMOX US Equity</stp>
        <stp>LAST_CLOSE_TRR_1YR</stp>
        <stp>[grid1_3gmijm1c.xlsx]Worksheet!R20C7</stp>
        <tr r="G20" s="2"/>
      </tp>
      <tp>
        <v>3.891448</v>
        <stp/>
        <stp>##V3_BDPV12</stp>
        <stp>THYCX US Equity</stp>
        <stp>LAST_CLOSE_TRR_3YR</stp>
        <stp>[grid1_3gmijm1c.xlsx]Worksheet!R26C8</stp>
        <tr r="H26" s="2"/>
      </tp>
      <tp>
        <v>5.6745910000000004</v>
        <stp/>
        <stp>##V3_BDPV12</stp>
        <stp>THYCX US Equity</stp>
        <stp>LAST_CLOSE_TRR_5YR</stp>
        <stp>[grid1_3gmijm1c.xlsx]Worksheet!R26C9</stp>
        <tr r="I26" s="2"/>
      </tp>
      <tp>
        <v>2.814657</v>
        <stp/>
        <stp>##V3_BDPV12</stp>
        <stp>THYCX US Equity</stp>
        <stp>LAST_CLOSE_TRR_1YR</stp>
        <stp>[grid1_3gmijm1c.xlsx]Worksheet!R26C7</stp>
        <tr r="G26" s="2"/>
      </tp>
      <tp>
        <v>20.393899999999999</v>
        <stp/>
        <stp>##V3_BDPV12</stp>
        <stp>IHFAX US Equity</stp>
        <stp>CUST_TRR_RETURN_ANNUALIZED</stp>
        <stp>[grid1_3gmijm1c.xlsx]Worksheet!R117C3</stp>
        <stp>CUST_TRR_START_DT=20200626</stp>
        <stp>CUST_TRR_END_DT=20201226</stp>
        <tr r="C117" s="2"/>
      </tp>
      <tp>
        <v>6.6388749999999996</v>
        <stp/>
        <stp>##V3_BDPV12</stp>
        <stp>GSHAX US Equity</stp>
        <stp>LAST_CLOSE_TRR_3MO</stp>
        <stp>[grid1_3gmijm1c.xlsx]Worksheet!R61C5</stp>
        <tr r="E61" s="2"/>
      </tp>
      <tp>
        <v>1.392236</v>
        <stp/>
        <stp>##V3_BDPV12</stp>
        <stp>GSHAX US Equity</stp>
        <stp>LAST_CLOSE_TRR_1MO</stp>
        <stp>[grid1_3gmijm1c.xlsx]Worksheet!R61C4</stp>
        <tr r="D61" s="2"/>
      </tp>
      <tp>
        <v>32.187399999999997</v>
        <stp/>
        <stp>##V3_BDPV12</stp>
        <stp>HIIFX US Equity</stp>
        <stp>CUST_TRR_RETURN_ANNUALIZED</stp>
        <stp>[grid1_3gmijm1c.xlsx]Worksheet!R146C3</stp>
        <stp>CUST_TRR_START_DT=20200626</stp>
        <stp>CUST_TRR_END_DT=20201226</stp>
        <tr r="C146" s="2"/>
      </tp>
      <tp t="s">
        <v>#N/A N/A</v>
        <stp/>
        <stp>##V3_BDPV12</stp>
        <stp>GHIAX US Equity</stp>
        <stp>CUST_TRR_RETURN_ANNUALIZED</stp>
        <stp>[grid1_3gmijm1c.xlsx]Worksheet!R147C3</stp>
        <stp>CUST_TRR_START_DT=20200626</stp>
        <stp>CUST_TRR_END_DT=20201226</stp>
        <tr r="C147" s="2"/>
      </tp>
      <tp>
        <v>28.825780000000002</v>
        <stp/>
        <stp>##V3_BDPV12</stp>
        <stp>WHIAX US Equity</stp>
        <stp>CUST_TRR_RETURN_ANNUALIZED</stp>
        <stp>[grid1_3gmijm1c.xlsx]Worksheet!R107C3</stp>
        <stp>CUST_TRR_START_DT=20200626</stp>
        <stp>CUST_TRR_END_DT=20201226</stp>
        <tr r="C107" s="2"/>
      </tp>
      <tp>
        <v>20.282820000000001</v>
        <stp/>
        <stp>##V3_BDPV12</stp>
        <stp>ANHAX US Equity</stp>
        <stp>CUST_TRR_RETURN_ANNUALIZED</stp>
        <stp>[grid1_3gmijm1c.xlsx]Worksheet!R111C3</stp>
        <stp>CUST_TRR_START_DT=20200626</stp>
        <stp>CUST_TRR_END_DT=20201226</stp>
        <tr r="C111" s="2"/>
      </tp>
      <tp>
        <v>20.236969999999999</v>
        <stp/>
        <stp>##V3_BDPV12</stp>
        <stp>JIHLX US Equity</stp>
        <stp>CUST_TRR_RETURN_ANNUALIZED</stp>
        <stp>[grid1_3gmijm1c.xlsx]Worksheet!R116C3</stp>
        <stp>CUST_TRR_START_DT=20200626</stp>
        <stp>CUST_TRR_END_DT=20201226</stp>
        <tr r="C116" s="2"/>
      </tp>
      <tp t="s">
        <v>#N/A N/A</v>
        <stp/>
        <stp>##V3_BDPV12</stp>
        <stp>EVAASFL US Equity</stp>
        <stp>LAST_CLOSE_TRR_YTD</stp>
        <stp>[grid1_3gmijm1c.xlsx]Worksheet!R153C6</stp>
        <tr r="F153" s="2"/>
      </tp>
      <tp>
        <v>23.081939999999999</v>
        <stp/>
        <stp>##V3_BDPV12</stp>
        <stp>FJSIX US Equity</stp>
        <stp>CUST_TRR_RETURN_ANNUALIZED</stp>
        <stp>[grid1_3gmijm1c.xlsx]Worksheet!R124C3</stp>
        <stp>CUST_TRR_START_DT=20200626</stp>
        <stp>CUST_TRR_END_DT=20201226</stp>
        <tr r="C124" s="2"/>
      </tp>
      <tp>
        <v>7.4222349999999997</v>
        <stp/>
        <stp>##V3_BDPV12</stp>
        <stp>PYHRX US Equity</stp>
        <stp>LAST_CLOSE_TRR_5YR</stp>
        <stp>[grid1_3gmijm1c.xlsx]Worksheet!R93C9</stp>
        <tr r="I93" s="2"/>
      </tp>
      <tp>
        <v>6.7213250000000002</v>
        <stp/>
        <stp>##V3_BDPV12</stp>
        <stp>PYHRX US Equity</stp>
        <stp>LAST_CLOSE_TRR_3YR</stp>
        <stp>[grid1_3gmijm1c.xlsx]Worksheet!R93C8</stp>
        <tr r="H93" s="2"/>
      </tp>
      <tp>
        <v>6.9137149999999998</v>
        <stp/>
        <stp>##V3_BDPV12</stp>
        <stp>PYHRX US Equity</stp>
        <stp>LAST_CLOSE_TRR_1YR</stp>
        <stp>[grid1_3gmijm1c.xlsx]Worksheet!R93C7</stp>
        <tr r="G93" s="2"/>
      </tp>
      <tp>
        <v>6.0328900000000001</v>
        <stp/>
        <stp>##V3_BDPV12</stp>
        <stp>DDJCX US Equity</stp>
        <stp>LAST_CLOSE_TRR_3MO</stp>
        <stp>[grid1_3gmijm1c.xlsx]Worksheet!R53C5</stp>
        <tr r="E53" s="2"/>
      </tp>
      <tp>
        <v>1.7690300000000001</v>
        <stp/>
        <stp>##V3_BDPV12</stp>
        <stp>DDJCX US Equity</stp>
        <stp>LAST_CLOSE_TRR_1MO</stp>
        <stp>[grid1_3gmijm1c.xlsx]Worksheet!R53C4</stp>
        <tr r="D53" s="2"/>
      </tp>
      <tp>
        <v>5.1841699999999999</v>
        <stp/>
        <stp>##V3_BDPV12</stp>
        <stp>SSTHX US Equity</stp>
        <stp>LAST_CLOSE_TRR_1YR</stp>
        <stp>[grid1_3gmijm1c.xlsx]Worksheet!R10C7</stp>
        <tr r="G10" s="2"/>
      </tp>
      <tp>
        <v>3.7992819999999998</v>
        <stp/>
        <stp>##V3_BDPV12</stp>
        <stp>SSTHX US Equity</stp>
        <stp>LAST_CLOSE_TRR_5YR</stp>
        <stp>[grid1_3gmijm1c.xlsx]Worksheet!R10C9</stp>
        <tr r="I10" s="2"/>
      </tp>
      <tp>
        <v>4.0914650000000004</v>
        <stp/>
        <stp>##V3_BDPV12</stp>
        <stp>SSTHX US Equity</stp>
        <stp>LAST_CLOSE_TRR_3YR</stp>
        <stp>[grid1_3gmijm1c.xlsx]Worksheet!R10C8</stp>
        <tr r="H10" s="2"/>
      </tp>
      <tp>
        <v>1.4933339999999999</v>
        <stp/>
        <stp>##V3_BDPV12</stp>
        <stp>OHYFX US Equity</stp>
        <stp>LAST_CLOSE_TRR_1MO</stp>
        <stp>[grid1_3gmijm1c.xlsx]Worksheet!R48C4</stp>
        <tr r="D48" s="2"/>
      </tp>
      <tp>
        <v>6.0536989999999999</v>
        <stp/>
        <stp>##V3_BDPV12</stp>
        <stp>OHYFX US Equity</stp>
        <stp>LAST_CLOSE_TRR_3MO</stp>
        <stp>[grid1_3gmijm1c.xlsx]Worksheet!R48C5</stp>
        <tr r="E48" s="2"/>
      </tp>
      <tp>
        <v>7.772519</v>
        <stp/>
        <stp>##V3_BDPV12</stp>
        <stp>BUFHX US Equity</stp>
        <stp>LAST_CLOSE_TRR_3MO</stp>
        <stp>[grid1_3gmijm1c.xlsx]Worksheet!R35C5</stp>
        <tr r="E35" s="2"/>
      </tp>
      <tp>
        <v>2.2269230000000002</v>
        <stp/>
        <stp>##V3_BDPV12</stp>
        <stp>BUFHX US Equity</stp>
        <stp>LAST_CLOSE_TRR_1MO</stp>
        <stp>[grid1_3gmijm1c.xlsx]Worksheet!R35C4</stp>
        <tr r="D35" s="2"/>
      </tp>
      <tp>
        <v>27.022749999999998</v>
        <stp/>
        <stp>##V3_BDPV12</stp>
        <stp>AHGNX US Equity</stp>
        <stp>CUST_TRR_RETURN_ANNUALIZED</stp>
        <stp>[grid1_3gmijm1c.xlsx]Worksheet!R156C3</stp>
        <stp>CUST_TRR_START_DT=20200626</stp>
        <stp>CUST_TRR_END_DT=20201226</stp>
        <tr r="C156" s="2"/>
      </tp>
      <tp>
        <v>26.115390000000001</v>
        <stp/>
        <stp>##V3_BDPV12</stp>
        <stp>PHDYX US Equity</stp>
        <stp>CUST_TRR_RETURN_ANNUALIZED</stp>
        <stp>[grid1_3gmijm1c.xlsx]Worksheet!R126C3</stp>
        <stp>CUST_TRR_START_DT=20200626</stp>
        <stp>CUST_TRR_END_DT=20201226</stp>
        <tr r="C126" s="2"/>
      </tp>
      <tp>
        <v>4.1614529999999998</v>
        <stp/>
        <stp>##V3_BDPV12</stp>
        <stp>RBTRX US Equity</stp>
        <stp>LAST_CLOSE_TRR_1YR</stp>
        <stp>[grid1_3gmijm1c.xlsx]Worksheet!R11C7</stp>
        <tr r="G11" s="2"/>
      </tp>
      <tp>
        <v>4.4126180000000002</v>
        <stp/>
        <stp>##V3_BDPV12</stp>
        <stp>RBTRX US Equity</stp>
        <stp>LAST_CLOSE_TRR_5YR</stp>
        <stp>[grid1_3gmijm1c.xlsx]Worksheet!R11C9</stp>
        <tr r="I11" s="2"/>
      </tp>
      <tp>
        <v>3.2322549999999999</v>
        <stp/>
        <stp>##V3_BDPV12</stp>
        <stp>RBTRX US Equity</stp>
        <stp>LAST_CLOSE_TRR_3YR</stp>
        <stp>[grid1_3gmijm1c.xlsx]Worksheet!R11C8</stp>
        <tr r="H11" s="2"/>
      </tp>
      <tp>
        <v>6.841361</v>
        <stp/>
        <stp>##V3_BDPV12</stp>
        <stp>WTLTX US Equity</stp>
        <stp>LAST_CLOSE_TRR_YTD</stp>
        <stp>[grid1_3gmijm1c.xlsx]Worksheet!R79C6</stp>
        <tr r="F79" s="2"/>
      </tp>
      <tp>
        <v>6.3793680000000004</v>
        <stp/>
        <stp>##V3_BDPV12</stp>
        <stp>FGHNX US Equity</stp>
        <stp>LAST_CLOSE_TRR_3MO</stp>
        <stp>[grid1_3gmijm1c.xlsx]Worksheet!R72C5</stp>
        <tr r="E72" s="2"/>
      </tp>
      <tp>
        <v>1.946796</v>
        <stp/>
        <stp>##V3_BDPV12</stp>
        <stp>FGHNX US Equity</stp>
        <stp>LAST_CLOSE_TRR_1MO</stp>
        <stp>[grid1_3gmijm1c.xlsx]Worksheet!R72C4</stp>
        <tr r="D72" s="2"/>
      </tp>
      <tp>
        <v>2.4798779999999998</v>
        <stp/>
        <stp>##V3_BDPV12</stp>
        <stp>TAHYX US Equity</stp>
        <stp>LAST_CLOSE_TRR_YTD</stp>
        <stp>[grid1_3gmijm1c.xlsx]Worksheet!R59C6</stp>
        <tr r="F59" s="2"/>
      </tp>
      <tp>
        <v>0.95805839999999998</v>
        <stp/>
        <stp>##V3_BDPV12</stp>
        <stp>MHOBX US Equity</stp>
        <stp>LAST_CLOSE_TRR_1MO</stp>
        <stp>[grid1_3gmijm1c.xlsx]Worksheet!R29C4</stp>
        <tr r="D29" s="2"/>
      </tp>
      <tp>
        <v>5.1061540000000001</v>
        <stp/>
        <stp>##V3_BDPV12</stp>
        <stp>MHOBX US Equity</stp>
        <stp>LAST_CLOSE_TRR_3MO</stp>
        <stp>[grid1_3gmijm1c.xlsx]Worksheet!R29C5</stp>
        <tr r="E29" s="2"/>
      </tp>
      <tp>
        <v>4.7009460000000001</v>
        <stp/>
        <stp>##V3_BDPV12</stp>
        <stp>PHYTX US Equity</stp>
        <stp>LAST_CLOSE_TRR_3YR</stp>
        <stp>[grid1_3gmijm1c.xlsx]Worksheet!R90C8</stp>
        <tr r="H90" s="2"/>
      </tp>
      <tp>
        <v>7.3678369999999997</v>
        <stp/>
        <stp>##V3_BDPV12</stp>
        <stp>PHYTX US Equity</stp>
        <stp>LAST_CLOSE_TRR_5YR</stp>
        <stp>[grid1_3gmijm1c.xlsx]Worksheet!R90C9</stp>
        <tr r="I90" s="2"/>
      </tp>
      <tp>
        <v>5.6863770000000002</v>
        <stp/>
        <stp>##V3_BDPV12</stp>
        <stp>PHYTX US Equity</stp>
        <stp>LAST_CLOSE_TRR_1YR</stp>
        <stp>[grid1_3gmijm1c.xlsx]Worksheet!R90C7</stp>
        <tr r="G90" s="2"/>
      </tp>
      <tp>
        <v>4.1696210000000002</v>
        <stp/>
        <stp>##V3_BDPV12</stp>
        <stp>LZHYX US Equity</stp>
        <stp>LAST_CLOSE_TRR_3MO</stp>
        <stp>[grid1_3gmijm1c.xlsx]Worksheet!R28C5</stp>
        <tr r="E28" s="2"/>
      </tp>
      <tp>
        <v>0.75547169999999997</v>
        <stp/>
        <stp>##V3_BDPV12</stp>
        <stp>LZHYX US Equity</stp>
        <stp>LAST_CLOSE_TRR_1MO</stp>
        <stp>[grid1_3gmijm1c.xlsx]Worksheet!R28C4</stp>
        <tr r="D28" s="2"/>
      </tp>
      <tp>
        <v>7.3401620000000003</v>
        <stp/>
        <stp>##V3_BDPV12</stp>
        <stp>LMZIX US Equity</stp>
        <stp>LAST_CLOSE_TRR_3MO</stp>
        <stp>[grid1_3gmijm1c.xlsx]Worksheet!R89C5</stp>
        <tr r="E89" s="2"/>
      </tp>
      <tp>
        <v>1.7176039999999999</v>
        <stp/>
        <stp>##V3_BDPV12</stp>
        <stp>LMZIX US Equity</stp>
        <stp>LAST_CLOSE_TRR_1MO</stp>
        <stp>[grid1_3gmijm1c.xlsx]Worksheet!R89C4</stp>
        <tr r="D89" s="2"/>
      </tp>
      <tp>
        <v>5.1260500000000002</v>
        <stp/>
        <stp>##V3_BDPV12</stp>
        <stp>FIFIX US Equity</stp>
        <stp>LAST_CLOSE_TRR_3MO</stp>
        <stp>[grid1_3gmijm1c.xlsx]Worksheet!R33C5</stp>
        <tr r="E33" s="2"/>
      </tp>
      <tp>
        <v>0.48192770000000001</v>
        <stp/>
        <stp>##V3_BDPV12</stp>
        <stp>FIFIX US Equity</stp>
        <stp>LAST_CLOSE_TRR_1MO</stp>
        <stp>[grid1_3gmijm1c.xlsx]Worksheet!R33C4</stp>
        <tr r="D33" s="2"/>
      </tp>
      <tp>
        <v>4.821402</v>
        <stp/>
        <stp>##V3_BDPV12</stp>
        <stp>MWHYX US Equity</stp>
        <stp>LAST_CLOSE_TRR_3MO</stp>
        <stp>[grid1_3gmijm1c.xlsx]Worksheet!R78C5</stp>
        <tr r="E78" s="2"/>
      </tp>
      <tp>
        <v>1.0448459999999999</v>
        <stp/>
        <stp>##V3_BDPV12</stp>
        <stp>MWHYX US Equity</stp>
        <stp>LAST_CLOSE_TRR_1MO</stp>
        <stp>[grid1_3gmijm1c.xlsx]Worksheet!R78C4</stp>
        <tr r="D78" s="2"/>
      </tp>
      <tp>
        <v>4.4301519999999996</v>
        <stp/>
        <stp>##V3_BDPV12</stp>
        <stp>PHYNX US Equity</stp>
        <stp>LAST_CLOSE_TRR_3YR</stp>
        <stp>[grid1_3gmijm1c.xlsx]Worksheet!R71C8</stp>
        <tr r="H71" s="2"/>
      </tp>
      <tp>
        <v>7.0415130000000001</v>
        <stp/>
        <stp>##V3_BDPV12</stp>
        <stp>PHYNX US Equity</stp>
        <stp>LAST_CLOSE_TRR_5YR</stp>
        <stp>[grid1_3gmijm1c.xlsx]Worksheet!R71C9</stp>
        <tr r="I71" s="2"/>
      </tp>
      <tp>
        <v>3.3905820000000002</v>
        <stp/>
        <stp>##V3_BDPV12</stp>
        <stp>PHYNX US Equity</stp>
        <stp>LAST_CLOSE_TRR_1YR</stp>
        <stp>[grid1_3gmijm1c.xlsx]Worksheet!R71C7</stp>
        <tr r="G71" s="2"/>
      </tp>
      <tp>
        <v>6.3811039999999997</v>
        <stp/>
        <stp>##V3_BDPV12</stp>
        <stp>PHCHX US Equity</stp>
        <stp>LAST_CLOSE_TRR_1YR</stp>
        <stp>[grid1_3gmijm1c.xlsx]Worksheet!R81C7</stp>
        <tr r="G81" s="2"/>
      </tp>
      <tp>
        <v>5.6214690000000003</v>
        <stp/>
        <stp>##V3_BDPV12</stp>
        <stp>PHCHX US Equity</stp>
        <stp>LAST_CLOSE_TRR_3YR</stp>
        <stp>[grid1_3gmijm1c.xlsx]Worksheet!R81C8</stp>
        <tr r="H81" s="2"/>
      </tp>
      <tp>
        <v>7.2514010000000004</v>
        <stp/>
        <stp>##V3_BDPV12</stp>
        <stp>PHCHX US Equity</stp>
        <stp>LAST_CLOSE_TRR_5YR</stp>
        <stp>[grid1_3gmijm1c.xlsx]Worksheet!R81C9</stp>
        <tr r="I81" s="2"/>
      </tp>
      <tp t="s">
        <v>#N/A N/A</v>
        <stp/>
        <stp>##V3_BDPV12</stp>
        <stp>BHHGX US Equity</stp>
        <stp>CUST_TRR_RETURN_ANNUALIZED</stp>
        <stp>[grid1_3gmijm1c.xlsx]Worksheet!R174C3</stp>
        <stp>CUST_TRR_START_DT=20200626</stp>
        <stp>CUST_TRR_END_DT=20201226</stp>
        <tr r="C174" s="2"/>
      </tp>
      <tp>
        <v>7.3401050000000003</v>
        <stp/>
        <stp>##V3_BDPV12</stp>
        <stp>TGHYX US Equity</stp>
        <stp>LAST_CLOSE_TRR_5YR</stp>
        <stp>[grid1_3gmijm1c.xlsx]Worksheet!R85C9</stp>
        <tr r="I85" s="2"/>
      </tp>
      <tp>
        <v>7.3938730000000001</v>
        <stp/>
        <stp>##V3_BDPV12</stp>
        <stp>TGHYX US Equity</stp>
        <stp>LAST_CLOSE_TRR_3YR</stp>
        <stp>[grid1_3gmijm1c.xlsx]Worksheet!R85C8</stp>
        <tr r="H85" s="2"/>
      </tp>
      <tp>
        <v>9.6767310000000002</v>
        <stp/>
        <stp>##V3_BDPV12</stp>
        <stp>TGHYX US Equity</stp>
        <stp>LAST_CLOSE_TRR_1YR</stp>
        <stp>[grid1_3gmijm1c.xlsx]Worksheet!R85C7</stp>
        <tr r="G85" s="2"/>
      </tp>
      <tp>
        <v>6.4857100000000001</v>
        <stp/>
        <stp>##V3_BDPV12</stp>
        <stp>AYBVX US Equity</stp>
        <stp>LAST_CLOSE_TRR_3MO</stp>
        <stp>[grid1_3gmijm1c.xlsx]Worksheet!R34C5</stp>
        <tr r="E34" s="2"/>
      </tp>
      <tp>
        <v>0.9375</v>
        <stp/>
        <stp>##V3_BDPV12</stp>
        <stp>AYBVX US Equity</stp>
        <stp>LAST_CLOSE_TRR_1MO</stp>
        <stp>[grid1_3gmijm1c.xlsx]Worksheet!R34C4</stp>
        <tr r="D34" s="2"/>
      </tp>
      <tp t="s">
        <v>#N/A N/A</v>
        <stp/>
        <stp>##V3_BDPV12</stp>
        <stp>ACRFX US Equity</stp>
        <stp>CUST_TRR_RETURN_ANNUALIZED</stp>
        <stp>[grid1_3gmijm1c.xlsx]Worksheet!R168C3</stp>
        <stp>CUST_TRR_START_DT=20200626</stp>
        <stp>CUST_TRR_END_DT=20201226</stp>
        <tr r="C168" s="2"/>
      </tp>
      <tp>
        <v>-2.116501</v>
        <stp/>
        <stp>##V3_BDPV12</stp>
        <stp>RCRAX US Equity</stp>
        <stp>CUST_TRR_RETURN_ANNUALIZED</stp>
        <stp>[grid1_3gmijm1c.xlsx]Worksheet!R148C3</stp>
        <stp>CUST_TRR_START_DT=20200626</stp>
        <stp>CUST_TRR_END_DT=20201226</stp>
        <tr r="C148" s="2"/>
      </tp>
      <tp>
        <v>22.332889999999999</v>
        <stp/>
        <stp>##V3_BDPV12</stp>
        <stp>GHVIX US Equity</stp>
        <stp>CUST_TRR_RETURN_ANNUALIZED</stp>
        <stp>[grid1_3gmijm1c.xlsx]Worksheet!R163C3</stp>
        <stp>CUST_TRR_START_DT=20200626</stp>
        <stp>CUST_TRR_END_DT=20201226</stp>
        <tr r="C163" s="2"/>
      </tp>
      <tp>
        <v>4.6119620000000001</v>
        <stp/>
        <stp>##V3_BDPV12</stp>
        <stp>SHYIX US Equity</stp>
        <stp>LAST_CLOSE_TRR_YTD</stp>
        <stp>[grid1_3gmijm1c.xlsx]Worksheet!R88C6</stp>
        <tr r="F88" s="2"/>
      </tp>
      <tp>
        <v>7.3467719999999996</v>
        <stp/>
        <stp>##V3_BDPV12</stp>
        <stp>PRHYX US Equity</stp>
        <stp>LAST_CLOSE_TRR_5YR</stp>
        <stp>[grid1_3gmijm1c.xlsx]Worksheet!R86C9</stp>
        <tr r="I86" s="2"/>
      </tp>
      <tp>
        <v>5.0010250000000003</v>
        <stp/>
        <stp>##V3_BDPV12</stp>
        <stp>PRHYX US Equity</stp>
        <stp>LAST_CLOSE_TRR_3YR</stp>
        <stp>[grid1_3gmijm1c.xlsx]Worksheet!R86C8</stp>
        <tr r="H86" s="2"/>
      </tp>
      <tp>
        <v>4.3430090000000003</v>
        <stp/>
        <stp>##V3_BDPV12</stp>
        <stp>PRHYX US Equity</stp>
        <stp>LAST_CLOSE_TRR_1YR</stp>
        <stp>[grid1_3gmijm1c.xlsx]Worksheet!R86C7</stp>
        <tr r="G86" s="2"/>
      </tp>
      <tp>
        <v>1.3762779999999999</v>
        <stp/>
        <stp>##V3_BDPV12</stp>
        <stp>FHYTX US Equity</stp>
        <stp>LAST_CLOSE_TRR_1MO</stp>
        <stp>[grid1_3gmijm1c.xlsx]Worksheet!R94C4</stp>
        <tr r="D94" s="2"/>
      </tp>
      <tp>
        <v>8.5160900000000002</v>
        <stp/>
        <stp>##V3_BDPV12</stp>
        <stp>FHYTX US Equity</stp>
        <stp>LAST_CLOSE_TRR_3MO</stp>
        <stp>[grid1_3gmijm1c.xlsx]Worksheet!R94C5</stp>
        <tr r="E94" s="2"/>
      </tp>
      <tp>
        <v>0.48234050000000001</v>
        <stp/>
        <stp>##V3_BDPV12</stp>
        <stp>ATIPX US Equity</stp>
        <stp>LAST_CLOSE_TRR_1MO</stp>
        <stp>[grid1_3gmijm1c.xlsx]Worksheet!R13C4</stp>
        <tr r="D13" s="2"/>
      </tp>
      <tp>
        <v>3.9390339999999999</v>
        <stp/>
        <stp>##V3_BDPV12</stp>
        <stp>ATIPX US Equity</stp>
        <stp>LAST_CLOSE_TRR_3MO</stp>
        <stp>[grid1_3gmijm1c.xlsx]Worksheet!R13C5</stp>
        <tr r="E13" s="2"/>
      </tp>
      <tp>
        <v>5.025118</v>
        <stp/>
        <stp>##V3_BDPV12</stp>
        <stp>SHOAX US Equity</stp>
        <stp>LAST_CLOSE_TRR_3YR</stp>
        <stp>[grid1_3gmijm1c.xlsx]Worksheet!R95C8</stp>
        <tr r="H95" s="2"/>
      </tp>
      <tp>
        <v>7.4257239999999998</v>
        <stp/>
        <stp>##V3_BDPV12</stp>
        <stp>SHOAX US Equity</stp>
        <stp>LAST_CLOSE_TRR_5YR</stp>
        <stp>[grid1_3gmijm1c.xlsx]Worksheet!R95C9</stp>
        <tr r="I95" s="2"/>
      </tp>
      <tp>
        <v>6.9105090000000002</v>
        <stp/>
        <stp>##V3_BDPV12</stp>
        <stp>SHHYX US Equity</stp>
        <stp>LAST_CLOSE_TRR_5YR</stp>
        <stp>[grid1_3gmijm1c.xlsx]Worksheet!R65C9</stp>
        <tr r="I65" s="2"/>
      </tp>
      <tp>
        <v>5.5499900000000002</v>
        <stp/>
        <stp>##V3_BDPV12</stp>
        <stp>SHHYX US Equity</stp>
        <stp>LAST_CLOSE_TRR_3YR</stp>
        <stp>[grid1_3gmijm1c.xlsx]Worksheet!R65C8</stp>
        <tr r="H65" s="2"/>
      </tp>
      <tp>
        <v>6.4402910000000002</v>
        <stp/>
        <stp>##V3_BDPV12</stp>
        <stp>SHHYX US Equity</stp>
        <stp>LAST_CLOSE_TRR_1YR</stp>
        <stp>[grid1_3gmijm1c.xlsx]Worksheet!R65C7</stp>
        <tr r="G65" s="2"/>
      </tp>
      <tp>
        <v>5.535615</v>
        <stp/>
        <stp>##V3_BDPV12</stp>
        <stp>SHOAX US Equity</stp>
        <stp>LAST_CLOSE_TRR_1YR</stp>
        <stp>[grid1_3gmijm1c.xlsx]Worksheet!R95C7</stp>
        <tr r="G95" s="2"/>
      </tp>
      <tp>
        <v>5.5468359999999999</v>
        <stp/>
        <stp>##V3_BDPV12</stp>
        <stp>DPLTX US Equity</stp>
        <stp>LAST_CLOSE_TRR_3MO</stp>
        <stp>[grid1_3gmijm1c.xlsx]Worksheet!R56C5</stp>
        <tr r="E56" s="2"/>
      </tp>
      <tp>
        <v>1.070465</v>
        <stp/>
        <stp>##V3_BDPV12</stp>
        <stp>DPLTX US Equity</stp>
        <stp>LAST_CLOSE_TRR_1MO</stp>
        <stp>[grid1_3gmijm1c.xlsx]Worksheet!R56C4</stp>
        <tr r="D56" s="2"/>
      </tp>
      <tp t="s">
        <v>#N/A N/A</v>
        <stp/>
        <stp>##V3_BDPV12</stp>
        <stp>BHDIX US Equity</stp>
        <stp>CUST_TRR_RETURN_ANNUALIZED</stp>
        <stp>[grid1_3gmijm1c.xlsx]Worksheet!R173C3</stp>
        <stp>CUST_TRR_START_DT=20200626</stp>
        <stp>CUST_TRR_END_DT=20201226</stp>
        <tr r="C173" s="2"/>
      </tp>
      <tp>
        <v>23.514530000000001</v>
        <stp/>
        <stp>##V3_BDPV12</stp>
        <stp>JIHDX US Equity</stp>
        <stp>CUST_TRR_RETURN_ANNUALIZED</stp>
        <stp>[grid1_3gmijm1c.xlsx]Worksheet!R132C3</stp>
        <stp>CUST_TRR_START_DT=20200626</stp>
        <stp>CUST_TRR_END_DT=20201226</stp>
        <tr r="C132" s="2"/>
      </tp>
      <tp>
        <v>6.7237730000000004</v>
        <stp/>
        <stp>##V3_BDPV12</stp>
        <stp>BXHAX US Equity</stp>
        <stp>LAST_CLOSE_TRR_3MO</stp>
        <stp>[grid1_3gmijm1c.xlsx]Worksheet!R70C5</stp>
        <tr r="E70" s="2"/>
      </tp>
      <tp>
        <v>1.790308</v>
        <stp/>
        <stp>##V3_BDPV12</stp>
        <stp>BXHAX US Equity</stp>
        <stp>LAST_CLOSE_TRR_1MO</stp>
        <stp>[grid1_3gmijm1c.xlsx]Worksheet!R70C4</stp>
        <tr r="D70" s="2"/>
      </tp>
      <tp>
        <v>3.4152559999999998</v>
        <stp/>
        <stp>##V3_BDPV12</stp>
        <stp>FDHAX US Equity</stp>
        <stp>LAST_CLOSE_TRR_3MO</stp>
        <stp>[grid1_3gmijm1c.xlsx]Worksheet!R15C5</stp>
        <tr r="E15" s="2"/>
      </tp>
      <tp>
        <v>0.90148010000000001</v>
        <stp/>
        <stp>##V3_BDPV12</stp>
        <stp>FDHAX US Equity</stp>
        <stp>LAST_CLOSE_TRR_1MO</stp>
        <stp>[grid1_3gmijm1c.xlsx]Worksheet!R15C4</stp>
        <tr r="D15" s="2"/>
      </tp>
      <tp>
        <v>28.489460000000001</v>
        <stp/>
        <stp>##V3_BDPV12</stp>
        <stp>SHYAX US Equity</stp>
        <stp>CUST_TRR_RETURN_ANNUALIZED</stp>
        <stp>[grid1_3gmijm1c.xlsx]Worksheet!R112C3</stp>
        <stp>CUST_TRR_START_DT=20200626</stp>
        <stp>CUST_TRR_END_DT=20201226</stp>
        <tr r="C112" s="2"/>
      </tp>
      <tp>
        <v>22.50281</v>
        <stp/>
        <stp>##V3_BDPV12</stp>
        <stp>BHYIX US Equity</stp>
        <stp>CUST_TRR_RETURN_ANNUALIZED</stp>
        <stp>[grid1_3gmijm1c.xlsx]Worksheet!R122C3</stp>
        <stp>CUST_TRR_START_DT=20200626</stp>
        <stp>CUST_TRR_END_DT=20201226</stp>
        <tr r="C122" s="2"/>
      </tp>
      <tp>
        <v>7.2905939999999996</v>
        <stp/>
        <stp>##V3_BDPV12</stp>
        <stp>SPHIX US Equity</stp>
        <stp>LAST_CLOSE_TRR_5YR</stp>
        <stp>[grid1_3gmijm1c.xlsx]Worksheet!R84C9</stp>
        <tr r="I84" s="2"/>
      </tp>
      <tp>
        <v>4.0974329999999997</v>
        <stp/>
        <stp>##V3_BDPV12</stp>
        <stp>SPHIX US Equity</stp>
        <stp>LAST_CLOSE_TRR_3YR</stp>
        <stp>[grid1_3gmijm1c.xlsx]Worksheet!R84C8</stp>
        <tr r="H84" s="2"/>
      </tp>
      <tp>
        <v>1.571742</v>
        <stp/>
        <stp>##V3_BDPV12</stp>
        <stp>SPHIX US Equity</stp>
        <stp>LAST_CLOSE_TRR_1YR</stp>
        <stp>[grid1_3gmijm1c.xlsx]Worksheet!R84C7</stp>
        <tr r="G84" s="2"/>
      </tp>
      <tp>
        <v>5.2128620000000003</v>
        <stp/>
        <stp>##V3_BDPV12</stp>
        <stp>EKHAX US Equity</stp>
        <stp>LAST_CLOSE_TRR_3MO</stp>
        <stp>[grid1_3gmijm1c.xlsx]Worksheet!R46C5</stp>
        <tr r="E46" s="2"/>
      </tp>
      <tp>
        <v>0.8796389</v>
        <stp/>
        <stp>##V3_BDPV12</stp>
        <stp>EKHAX US Equity</stp>
        <stp>LAST_CLOSE_TRR_1MO</stp>
        <stp>[grid1_3gmijm1c.xlsx]Worksheet!R46C4</stp>
        <tr r="D46" s="2"/>
      </tp>
      <tp>
        <v>1.247914</v>
        <stp/>
        <stp>##V3_BDPV12</stp>
        <stp>AHYVX US Equity</stp>
        <stp>LAST_CLOSE_TRR_1MO</stp>
        <stp>[grid1_3gmijm1c.xlsx]Worksheet!R52C4</stp>
        <tr r="D52" s="2"/>
      </tp>
      <tp>
        <v>5.4522880000000002</v>
        <stp/>
        <stp>##V3_BDPV12</stp>
        <stp>AHYVX US Equity</stp>
        <stp>LAST_CLOSE_TRR_3MO</stp>
        <stp>[grid1_3gmijm1c.xlsx]Worksheet!R52C5</stp>
        <tr r="E52" s="2"/>
      </tp>
      <tp>
        <v>7.2828210000000002</v>
        <stp/>
        <stp>##V3_BDPV12</stp>
        <stp>TIHYX US Equity</stp>
        <stp>LAST_CLOSE_TRR_5YR</stp>
        <stp>[grid1_3gmijm1c.xlsx]Worksheet!R83C9</stp>
        <tr r="I83" s="2"/>
      </tp>
      <tp>
        <v>4.8505560000000001</v>
        <stp/>
        <stp>##V3_BDPV12</stp>
        <stp>TIHYX US Equity</stp>
        <stp>LAST_CLOSE_TRR_3YR</stp>
        <stp>[grid1_3gmijm1c.xlsx]Worksheet!R83C8</stp>
        <tr r="H83" s="2"/>
      </tp>
      <tp>
        <v>1.9399150000000001</v>
        <stp/>
        <stp>##V3_BDPV12</stp>
        <stp>TIHYX US Equity</stp>
        <stp>LAST_CLOSE_TRR_1YR</stp>
        <stp>[grid1_3gmijm1c.xlsx]Worksheet!R83C7</stp>
        <tr r="G83" s="2"/>
      </tp>
      <tp>
        <v>4.5187809999999997</v>
        <stp/>
        <stp>##V3_BDPV12</stp>
        <stp>PHDAX US Equity</stp>
        <stp>LAST_CLOSE_TRR_1YR</stp>
        <stp>[grid1_3gmijm1c.xlsx]Worksheet!R67C7</stp>
        <tr r="G67" s="2"/>
      </tp>
      <tp>
        <v>6.9353990000000003</v>
        <stp/>
        <stp>##V3_BDPV12</stp>
        <stp>PHDAX US Equity</stp>
        <stp>LAST_CLOSE_TRR_5YR</stp>
        <stp>[grid1_3gmijm1c.xlsx]Worksheet!R67C9</stp>
        <tr r="I67" s="2"/>
      </tp>
      <tp>
        <v>5.1544439999999998</v>
        <stp/>
        <stp>##V3_BDPV12</stp>
        <stp>PHDAX US Equity</stp>
        <stp>LAST_CLOSE_TRR_3YR</stp>
        <stp>[grid1_3gmijm1c.xlsx]Worksheet!R67C8</stp>
        <tr r="H67" s="2"/>
      </tp>
      <tp>
        <v>23.162949999999999</v>
        <stp/>
        <stp>##V3_BDPV12</stp>
        <stp>FHHIX US Equity</stp>
        <stp>CUST_TRR_RETURN_ANNUALIZED</stp>
        <stp>[grid1_3gmijm1c.xlsx]Worksheet!R172C3</stp>
        <stp>CUST_TRR_START_DT=20200626</stp>
        <stp>CUST_TRR_END_DT=20201226</stp>
        <tr r="C172" s="2"/>
      </tp>
      <tp>
        <v>1.658679</v>
        <stp/>
        <stp>##V3_BDPV12</stp>
        <stp>BXIAX US Equity</stp>
        <stp>LAST_CLOSE_TRR_1MO</stp>
        <stp>[grid1_3gmijm1c.xlsx]Worksheet!R31C4</stp>
        <tr r="D31" s="2"/>
      </tp>
      <tp>
        <v>5.8597270000000004</v>
        <stp/>
        <stp>##V3_BDPV12</stp>
        <stp>BXIAX US Equity</stp>
        <stp>LAST_CLOSE_TRR_3MO</stp>
        <stp>[grid1_3gmijm1c.xlsx]Worksheet!R31C5</stp>
        <tr r="E31" s="2"/>
      </tp>
      <tp>
        <v>6.7318360000000004</v>
        <stp/>
        <stp>##V3_BDPV12</stp>
        <stp>PYHIX US Equity</stp>
        <stp>LAST_CLOSE_TRR_5YR</stp>
        <stp>[grid1_3gmijm1c.xlsx]Worksheet!R54C9</stp>
        <tr r="I54" s="2"/>
      </tp>
      <tp>
        <v>4.4948519999999998</v>
        <stp/>
        <stp>##V3_BDPV12</stp>
        <stp>PYHIX US Equity</stp>
        <stp>LAST_CLOSE_TRR_3YR</stp>
        <stp>[grid1_3gmijm1c.xlsx]Worksheet!R54C8</stp>
        <tr r="H54" s="2"/>
      </tp>
      <tp>
        <v>5.0292389999999996</v>
        <stp/>
        <stp>##V3_BDPV12</stp>
        <stp>PYHIX US Equity</stp>
        <stp>LAST_CLOSE_TRR_1YR</stp>
        <stp>[grid1_3gmijm1c.xlsx]Worksheet!R54C7</stp>
        <tr r="G54" s="2"/>
      </tp>
      <tp>
        <v>1.250686</v>
        <stp/>
        <stp>##V3_BDPV12</stp>
        <stp>HBYAX US Equity</stp>
        <stp>LAST_CLOSE_TRR_1MO</stp>
        <stp>[grid1_3gmijm1c.xlsx]Worksheet!R58C4</stp>
        <tr r="D58" s="2"/>
      </tp>
      <tp>
        <v>6.6457420000000003</v>
        <stp/>
        <stp>##V3_BDPV12</stp>
        <stp>HBYAX US Equity</stp>
        <stp>LAST_CLOSE_TRR_3MO</stp>
        <stp>[grid1_3gmijm1c.xlsx]Worksheet!R58C5</stp>
        <tr r="E58" s="2"/>
      </tp>
      <tp>
        <v>1.2914239999999999</v>
        <stp/>
        <stp>##V3_BDPV12</stp>
        <stp>HBIAX US Equity</stp>
        <stp>LAST_CLOSE_TRR_1MO</stp>
        <stp>[grid1_3gmijm1c.xlsx]Worksheet!R38C4</stp>
        <tr r="D38" s="2"/>
      </tp>
      <tp>
        <v>4.7136120000000004</v>
        <stp/>
        <stp>##V3_BDPV12</stp>
        <stp>HBIAX US Equity</stp>
        <stp>LAST_CLOSE_TRR_3MO</stp>
        <stp>[grid1_3gmijm1c.xlsx]Worksheet!R38C5</stp>
        <tr r="E38" s="2"/>
      </tp>
      <tp>
        <v>20.649000000000001</v>
        <stp/>
        <stp>##V3_BDPV12</stp>
        <stp>PHYIX US Equity</stp>
        <stp>CUST_TRR_RETURN_ANNUALIZED</stp>
        <stp>[grid1_3gmijm1c.xlsx]Worksheet!R101C3</stp>
        <stp>CUST_TRR_START_DT=20200626</stp>
        <stp>CUST_TRR_END_DT=20201226</stp>
        <tr r="C101" s="2"/>
      </tp>
      <tp>
        <v>2.1231650000000002</v>
        <stp/>
        <stp>##V3_BDPV12</stp>
        <stp>PGHYX US Equity</stp>
        <stp>LAST_CLOSE_TRR_YTD</stp>
        <stp>[grid1_3gmijm1c.xlsx]Worksheet!R39C6</stp>
        <tr r="F39" s="2"/>
      </tp>
      <tp>
        <v>6.9813239999999999</v>
        <stp/>
        <stp>##V3_BDPV12</stp>
        <stp>BJBHX US Equity</stp>
        <stp>LAST_CLOSE_TRR_3MO</stp>
        <stp>[grid1_3gmijm1c.xlsx]Worksheet!R42C5</stp>
        <tr r="E42" s="2"/>
      </tp>
      <tp>
        <v>1.376795</v>
        <stp/>
        <stp>##V3_BDPV12</stp>
        <stp>BJBHX US Equity</stp>
        <stp>LAST_CLOSE_TRR_1MO</stp>
        <stp>[grid1_3gmijm1c.xlsx]Worksheet!R42C4</stp>
        <tr r="D42" s="2"/>
      </tp>
      <tp>
        <v>1.3162160000000001</v>
        <stp/>
        <stp>##V3_BDPV12</stp>
        <stp>FHIIX US Equity</stp>
        <stp>LAST_CLOSE_TRR_1MO</stp>
        <stp>[grid1_3gmijm1c.xlsx]Worksheet!R96C4</stp>
        <tr r="D96" s="2"/>
      </tp>
      <tp>
        <v>6.1006980000000004</v>
        <stp/>
        <stp>##V3_BDPV12</stp>
        <stp>FHIIX US Equity</stp>
        <stp>LAST_CLOSE_TRR_3MO</stp>
        <stp>[grid1_3gmijm1c.xlsx]Worksheet!R96C5</stp>
        <tr r="E96" s="2"/>
      </tp>
      <tp>
        <v>27.823609999999999</v>
        <stp/>
        <stp>##V3_BDPV12</stp>
        <stp>PIAMX US Equity</stp>
        <stp>CUST_TRR_RETURN_ANNUALIZED</stp>
        <stp>[grid1_3gmijm1c.xlsx]Worksheet!R160C3</stp>
        <stp>CUST_TRR_START_DT=20200626</stp>
        <stp>CUST_TRR_END_DT=20201226</stp>
        <tr r="C160" s="2"/>
      </tp>
      <tp>
        <v>20.374829999999999</v>
        <stp/>
        <stp>##V3_BDPV12</stp>
        <stp>FHAIX US Equity</stp>
        <stp>CUST_TRR_RETURN_ANNUALIZED</stp>
        <stp>[grid1_3gmijm1c.xlsx]Worksheet!R141C3</stp>
        <stp>CUST_TRR_START_DT=20200626</stp>
        <stp>CUST_TRR_END_DT=20201226</stp>
        <tr r="C141" s="2"/>
      </tp>
      <tp>
        <v>6.7041709999999997</v>
        <stp/>
        <stp>##V3_BDPV12</stp>
        <stp>ETHIX US Equity</stp>
        <stp>LAST_CLOSE_TRR_3MO</stp>
        <stp>[grid1_3gmijm1c.xlsx]Worksheet!R45C5</stp>
        <tr r="E45" s="2"/>
      </tp>
      <tp>
        <v>1.382385</v>
        <stp/>
        <stp>##V3_BDPV12</stp>
        <stp>ETHIX US Equity</stp>
        <stp>LAST_CLOSE_TRR_1MO</stp>
        <stp>[grid1_3gmijm1c.xlsx]Worksheet!R45C4</stp>
        <tr r="D45" s="2"/>
      </tp>
      <tp>
        <v>14.119590000000001</v>
        <stp/>
        <stp>##V3_BDPV12</stp>
        <stp>WHGHX US Equity</stp>
        <stp>LAST_CLOSE_TRR_1YR</stp>
        <stp>[grid1_3gmijm1c.xlsx]Worksheet!R73C7</stp>
        <tr r="G73" s="2"/>
      </tp>
      <tp>
        <v>7.8205220000000004</v>
        <stp/>
        <stp>##V3_BDPV12</stp>
        <stp>WHGHX US Equity</stp>
        <stp>LAST_CLOSE_TRR_3YR</stp>
        <stp>[grid1_3gmijm1c.xlsx]Worksheet!R73C8</stp>
        <tr r="H73" s="2"/>
      </tp>
      <tp>
        <v>7.0705580000000001</v>
        <stp/>
        <stp>##V3_BDPV12</stp>
        <stp>WHGHX US Equity</stp>
        <stp>LAST_CLOSE_TRR_5YR</stp>
        <stp>[grid1_3gmijm1c.xlsx]Worksheet!R73C9</stp>
        <tr r="I73" s="2"/>
      </tp>
      <tp>
        <v>6.9761819999999997</v>
        <stp/>
        <stp>##V3_BDPV12</stp>
        <stp>ASHAX US Equity</stp>
        <stp>LAST_CLOSE_TRR_3MO</stp>
        <stp>[grid1_3gmijm1c.xlsx]Worksheet!R21C5</stp>
        <tr r="E21" s="2"/>
      </tp>
      <tp>
        <v>2.2487550000000001</v>
        <stp/>
        <stp>##V3_BDPV12</stp>
        <stp>ASHAX US Equity</stp>
        <stp>LAST_CLOSE_TRR_1MO</stp>
        <stp>[grid1_3gmijm1c.xlsx]Worksheet!R21C4</stp>
        <tr r="D21" s="2"/>
      </tp>
      <tp>
        <v>24.566179999999999</v>
        <stp/>
        <stp>##V3_BDPV12</stp>
        <stp>AHIAX US Equity</stp>
        <stp>CUST_TRR_RETURN_ANNUALIZED</stp>
        <stp>[grid1_3gmijm1c.xlsx]Worksheet!R161C3</stp>
        <stp>CUST_TRR_START_DT=20200626</stp>
        <stp>CUST_TRR_END_DT=20201226</stp>
        <tr r="C161" s="2"/>
      </tp>
      <tp>
        <v>25.545190000000002</v>
        <stp/>
        <stp>##V3_BDPV12</stp>
        <stp>MNHYX US Equity</stp>
        <stp>CUST_TRR_RETURN_ANNUALIZED</stp>
        <stp>[grid1_3gmijm1c.xlsx]Worksheet!R127C3</stp>
        <stp>CUST_TRR_START_DT=20200626</stp>
        <stp>CUST_TRR_END_DT=20201226</stp>
        <tr r="C127" s="2"/>
      </tp>
      <tp>
        <v>23.456880000000002</v>
        <stp/>
        <stp>##V3_BDPV12</stp>
        <stp>WAHYX US Equity</stp>
        <stp>CUST_TRR_RETURN_ANNUALIZED</stp>
        <stp>[grid1_3gmijm1c.xlsx]Worksheet!R128C3</stp>
        <stp>CUST_TRR_START_DT=20200626</stp>
        <stp>CUST_TRR_END_DT=20201226</stp>
        <tr r="C128" s="2"/>
      </tp>
      <tp>
        <v>24.962289999999999</v>
        <stp/>
        <stp>##V3_BDPV12</stp>
        <stp>DHHAX US Equity</stp>
        <stp>CUST_TRR_RETURN_ANNUALIZED</stp>
        <stp>[grid1_3gmijm1c.xlsx]Worksheet!R151C3</stp>
        <stp>CUST_TRR_START_DT=20200626</stp>
        <stp>CUST_TRR_END_DT=20201226</stp>
        <tr r="C151" s="2"/>
      </tp>
      <tp>
        <v>0.84745760000000003</v>
        <stp/>
        <stp>##V3_BDPV12</stp>
        <stp>FYAIX US Equity</stp>
        <stp>LAST_CLOSE_TRR_1MO</stp>
        <stp>[grid1_3gmijm1c.xlsx]Worksheet!R16C4</stp>
        <tr r="D16" s="2"/>
      </tp>
      <tp>
        <v>4.9021350000000004</v>
        <stp/>
        <stp>##V3_BDPV12</stp>
        <stp>FYAIX US Equity</stp>
        <stp>LAST_CLOSE_TRR_3MO</stp>
        <stp>[grid1_3gmijm1c.xlsx]Worksheet!R16C5</stp>
        <tr r="E16" s="2"/>
      </tp>
      <tp>
        <v>6.2013150000000001</v>
        <stp/>
        <stp>##V3_BDPV12</stp>
        <stp>HYFAX US Equity</stp>
        <stp>LAST_CLOSE_TRR_3MO</stp>
        <stp>[grid1_3gmijm1c.xlsx]Worksheet!R68C5</stp>
        <tr r="E68" s="2"/>
      </tp>
      <tp>
        <v>1.648873</v>
        <stp/>
        <stp>##V3_BDPV12</stp>
        <stp>HYFAX US Equity</stp>
        <stp>LAST_CLOSE_TRR_1MO</stp>
        <stp>[grid1_3gmijm1c.xlsx]Worksheet!R68C4</stp>
        <tr r="D68" s="2"/>
      </tp>
      <tp>
        <v>22.789190000000001</v>
        <stp/>
        <stp>##V3_BDPV12</stp>
        <stp>PHSIX US Equity</stp>
        <stp>CUST_TRR_RETURN_ANNUALIZED</stp>
        <stp>[grid1_3gmijm1c.xlsx]Worksheet!R130C3</stp>
        <stp>CUST_TRR_START_DT=20200626</stp>
        <stp>CUST_TRR_END_DT=20201226</stp>
        <tr r="C130" s="2"/>
      </tp>
      <tp>
        <v>8.2386560000000006</v>
        <stp/>
        <stp>##V3_BDPV12</stp>
        <stp>AGDAX US Equity</stp>
        <stp>LAST_CLOSE_TRR_3MO</stp>
        <stp>[grid1_3gmijm1c.xlsx]Worksheet!R40C5</stp>
        <tr r="E40" s="2"/>
      </tp>
      <tp>
        <v>2.4772240000000001</v>
        <stp/>
        <stp>##V3_BDPV12</stp>
        <stp>AGDAX US Equity</stp>
        <stp>LAST_CLOSE_TRR_1MO</stp>
        <stp>[grid1_3gmijm1c.xlsx]Worksheet!R40C4</stp>
        <tr r="D40" s="2"/>
      </tp>
      <tp>
        <v>2.2580969999999998</v>
        <stp/>
        <stp>##V3_BDPV12</stp>
        <stp>ICMUX US Equity</stp>
        <stp>LAST_CLOSE_TRR_1MO</stp>
        <stp>[grid1_3gmijm1c.xlsx]Worksheet!R18C4</stp>
        <tr r="D18" s="2"/>
      </tp>
      <tp>
        <v>7.524546</v>
        <stp/>
        <stp>##V3_BDPV12</stp>
        <stp>ICMUX US Equity</stp>
        <stp>LAST_CLOSE_TRR_3MO</stp>
        <stp>[grid1_3gmijm1c.xlsx]Worksheet!R18C5</stp>
        <tr r="E18" s="2"/>
      </tp>
      <tp>
        <v>6.6938639999999996</v>
        <stp/>
        <stp>##V3_BDPV12</stp>
        <stp>HAHAX US Equity</stp>
        <stp>LAST_CLOSE_TRR_3MO</stp>
        <stp>[grid1_3gmijm1c.xlsx]Worksheet!R99C5</stp>
        <tr r="E99" s="2"/>
      </tp>
      <tp>
        <v>1.1688449999999999</v>
        <stp/>
        <stp>##V3_BDPV12</stp>
        <stp>HAHAX US Equity</stp>
        <stp>LAST_CLOSE_TRR_1MO</stp>
        <stp>[grid1_3gmijm1c.xlsx]Worksheet!R99C4</stp>
        <tr r="D99" s="2"/>
      </tp>
      <tp>
        <v>27.639700000000001</v>
        <stp/>
        <stp>##V3_BDPV12</stp>
        <stp>PHYSX US Equity</stp>
        <stp>CUST_TRR_RETURN_ANNUALIZED</stp>
        <stp>[grid1_3gmijm1c.xlsx]Worksheet!R110C3</stp>
        <stp>CUST_TRR_START_DT=20200626</stp>
        <stp>CUST_TRR_END_DT=20201226</stp>
        <tr r="C110" s="2"/>
      </tp>
      <tp>
        <v>1.033005</v>
        <stp/>
        <stp>##V3_BDPV12</stp>
        <stp>EVIBX US Equity</stp>
        <stp>LAST_CLOSE_TRR_1MO</stp>
        <stp>[grid1_3gmijm1c.xlsx]Worksheet!R44C4</stp>
        <tr r="D44" s="2"/>
      </tp>
      <tp>
        <v>6.0279210000000001</v>
        <stp/>
        <stp>##V3_BDPV12</stp>
        <stp>EVIBX US Equity</stp>
        <stp>LAST_CLOSE_TRR_3MO</stp>
        <stp>[grid1_3gmijm1c.xlsx]Worksheet!R44C5</stp>
        <tr r="E44" s="2"/>
      </tp>
      <tp>
        <v>3.394409</v>
        <stp/>
        <stp>##V3_BDPV12</stp>
        <stp>CWFIX US Equity</stp>
        <stp>LAST_CLOSE_TRR_3MO</stp>
        <stp>[grid1_3gmijm1c.xlsx]Worksheet!R12C5</stp>
        <tr r="E12" s="2"/>
      </tp>
      <tp>
        <v>0.69465739999999998</v>
        <stp/>
        <stp>##V3_BDPV12</stp>
        <stp>CWFIX US Equity</stp>
        <stp>LAST_CLOSE_TRR_1MO</stp>
        <stp>[grid1_3gmijm1c.xlsx]Worksheet!R12C4</stp>
        <tr r="D12" s="2"/>
      </tp>
      <tp>
        <v>4.1220230000000004</v>
        <stp/>
        <stp>##V3_BDPV12</stp>
        <stp>THYUX US Equity</stp>
        <stp>LAST_CLOSE_TRR_3YR</stp>
        <stp>[grid1_3gmijm1c.xlsx]Worksheet!R51C8</stp>
        <tr r="H51" s="2"/>
      </tp>
      <tp>
        <v>6.6366379999999996</v>
        <stp/>
        <stp>##V3_BDPV12</stp>
        <stp>THYUX US Equity</stp>
        <stp>LAST_CLOSE_TRR_5YR</stp>
        <stp>[grid1_3gmijm1c.xlsx]Worksheet!R51C9</stp>
        <tr r="I51" s="2"/>
      </tp>
      <tp>
        <v>1.689487</v>
        <stp/>
        <stp>##V3_BDPV12</stp>
        <stp>THYUX US Equity</stp>
        <stp>LAST_CLOSE_TRR_1YR</stp>
        <stp>[grid1_3gmijm1c.xlsx]Worksheet!R51C7</stp>
        <tr r="G51" s="2"/>
      </tp>
      <tp>
        <v>4.3461740000000004</v>
        <stp/>
        <stp>##V3_BDPV12</stp>
        <stp>SHIAX US Equity</stp>
        <stp>LAST_CLOSE_TRR_3YR</stp>
        <stp>[grid1_3gmijm1c.xlsx]Worksheet!R36C8</stp>
        <tr r="H36" s="2"/>
      </tp>
      <tp>
        <v>6.2269420000000002</v>
        <stp/>
        <stp>##V3_BDPV12</stp>
        <stp>SHIAX US Equity</stp>
        <stp>LAST_CLOSE_TRR_5YR</stp>
        <stp>[grid1_3gmijm1c.xlsx]Worksheet!R36C9</stp>
        <tr r="I36" s="2"/>
      </tp>
      <tp>
        <v>3.618611</v>
        <stp/>
        <stp>##V3_BDPV12</stp>
        <stp>SHIAX US Equity</stp>
        <stp>LAST_CLOSE_TRR_1YR</stp>
        <stp>[grid1_3gmijm1c.xlsx]Worksheet!R36C7</stp>
        <tr r="G36" s="2"/>
      </tp>
      <tp>
        <v>2.9756399999999998</v>
        <stp/>
        <stp>##V3_BDPV12</stp>
        <stp>FSBHX US Equity</stp>
        <stp>LAST_CLOSE_TRR_3MO</stp>
        <stp>[grid1_3gmijm1c.xlsx]Worksheet!R17C5</stp>
        <tr r="E17" s="2"/>
      </tp>
      <tp>
        <v>0.58837660000000003</v>
        <stp/>
        <stp>##V3_BDPV12</stp>
        <stp>FSBHX US Equity</stp>
        <stp>LAST_CLOSE_TRR_1MO</stp>
        <stp>[grid1_3gmijm1c.xlsx]Worksheet!R17C4</stp>
        <tr r="D17" s="2"/>
      </tp>
      <tp>
        <v>4.4427599999999998</v>
        <stp/>
        <stp>##V3_BDPV12</stp>
        <stp>ESHAX US Equity</stp>
        <stp>LAST_CLOSE_TRR_3MO</stp>
        <stp>[grid1_3gmijm1c.xlsx]Worksheet!R14C5</stp>
        <tr r="E14" s="2"/>
      </tp>
      <tp>
        <v>0.73494870000000001</v>
        <stp/>
        <stp>##V3_BDPV12</stp>
        <stp>ESHAX US Equity</stp>
        <stp>LAST_CLOSE_TRR_1MO</stp>
        <stp>[grid1_3gmijm1c.xlsx]Worksheet!R14C4</stp>
        <tr r="D14" s="2"/>
      </tp>
      <tp>
        <v>25.34046</v>
        <stp/>
        <stp>##V3_BDPV12</stp>
        <stp>AHITX US Equity</stp>
        <stp>CUST_TRR_RETURN_ANNUALIZED</stp>
        <stp>[grid1_3gmijm1c.xlsx]Worksheet!R120C3</stp>
        <stp>CUST_TRR_START_DT=20200626</stp>
        <stp>CUST_TRR_END_DT=20201226</stp>
        <tr r="C120" s="2"/>
      </tp>
      <tp>
        <v>35.051650000000002</v>
        <stp/>
        <stp>##V3_BDPV12</stp>
        <stp>FAHYX US Equity</stp>
        <stp>CUST_TRR_RETURN_ANNUALIZED</stp>
        <stp>[grid1_3gmijm1c.xlsx]Worksheet!R139C3</stp>
        <stp>CUST_TRR_START_DT=20200626</stp>
        <stp>CUST_TRR_END_DT=20201226</stp>
        <tr r="C139" s="2"/>
      </tp>
      <tp>
        <v>17.66123</v>
        <stp/>
        <stp>##V3_BDPV12</stp>
        <stp>TNHAX US Equity</stp>
        <stp>CUST_TRR_RETURN_ANNUALIZED</stp>
        <stp>[grid1_3gmijm1c.xlsx]Worksheet!R106C3</stp>
        <stp>CUST_TRR_START_DT=20200626</stp>
        <stp>CUST_TRR_END_DT=20201226</stp>
        <tr r="C106" s="2"/>
      </tp>
      <tp>
        <v>18.94049</v>
        <stp/>
        <stp>##V3_BDPV12</stp>
        <stp>FIHBX US Equity</stp>
        <stp>CUST_TRR_RETURN_ANNUALIZED</stp>
        <stp>[grid1_3gmijm1c.xlsx]Worksheet!R121C3</stp>
        <stp>CUST_TRR_START_DT=20200626</stp>
        <stp>CUST_TRR_END_DT=20201226</stp>
        <tr r="C121" s="2"/>
      </tp>
      <tp>
        <v>21.37293</v>
        <stp/>
        <stp>##V3_BDPV12</stp>
        <stp>SAMHX US Equity</stp>
        <stp>CUST_TRR_RETURN_ANNUALIZED</stp>
        <stp>[grid1_3gmijm1c.xlsx]Worksheet!R129C3</stp>
        <stp>CUST_TRR_START_DT=20200626</stp>
        <stp>CUST_TRR_END_DT=20201226</stp>
        <tr r="C129" s="2"/>
      </tp>
      <tp>
        <v>1.7485440000000001</v>
        <stp/>
        <stp>##V3_BDPV12</stp>
        <stp>TIHYX US Equity</stp>
        <stp>LAST_CLOSE_TRR_YTD</stp>
        <stp>[grid1_3gmijm1c.xlsx]Worksheet!R83C6</stp>
        <tr r="F83" s="2"/>
      </tp>
      <tp>
        <v>4.4255969999999998</v>
        <stp/>
        <stp>##V3_BDPV12</stp>
        <stp>PHDAX US Equity</stp>
        <stp>LAST_CLOSE_TRR_YTD</stp>
        <stp>[grid1_3gmijm1c.xlsx]Worksheet!R67C6</stp>
        <tr r="F67" s="2"/>
      </tp>
      <tp>
        <v>1.8009809999999999</v>
        <stp/>
        <stp>##V3_BDPV12</stp>
        <stp>LHYAX US Equity</stp>
        <stp>LAST_CLOSE_TRR_1MO</stp>
        <stp>[grid1_3gmijm1c.xlsx]Worksheet!R92C4</stp>
        <tr r="D92" s="2"/>
      </tp>
      <tp>
        <v>1.38124</v>
        <stp/>
        <stp>##V3_BDPV12</stp>
        <stp>JHYAX US Equity</stp>
        <stp>LAST_CLOSE_TRR_1MO</stp>
        <stp>[grid1_3gmijm1c.xlsx]Worksheet!R64C4</stp>
        <tr r="D64" s="2"/>
      </tp>
      <tp>
        <v>7.8003619999999998</v>
        <stp/>
        <stp>##V3_BDPV12</stp>
        <stp>LHYAX US Equity</stp>
        <stp>LAST_CLOSE_TRR_3MO</stp>
        <stp>[grid1_3gmijm1c.xlsx]Worksheet!R92C5</stp>
        <tr r="E92" s="2"/>
      </tp>
      <tp>
        <v>7.3465220000000002</v>
        <stp/>
        <stp>##V3_BDPV12</stp>
        <stp>JHYAX US Equity</stp>
        <stp>LAST_CLOSE_TRR_3MO</stp>
        <stp>[grid1_3gmijm1c.xlsx]Worksheet!R64C5</stp>
        <tr r="E64" s="2"/>
      </tp>
      <tp>
        <v>0.97045809999999999</v>
        <stp/>
        <stp>##V3_BDPV12</stp>
        <stp>MHITX US Equity</stp>
        <stp>LAST_CLOSE_TRR_1MO</stp>
        <stp>[grid1_3gmijm1c.xlsx]Worksheet!R63C4</stp>
        <tr r="D63" s="2"/>
      </tp>
      <tp>
        <v>5.0897790000000001</v>
        <stp/>
        <stp>##V3_BDPV12</stp>
        <stp>MHITX US Equity</stp>
        <stp>LAST_CLOSE_TRR_3MO</stp>
        <stp>[grid1_3gmijm1c.xlsx]Worksheet!R63C5</stp>
        <tr r="E63" s="2"/>
      </tp>
      <tp>
        <v>1.576589</v>
        <stp/>
        <stp>##V3_BDPV12</stp>
        <stp>MRGIX US Equity</stp>
        <stp>LAST_CLOSE_TRR_1MO</stp>
        <stp>[grid1_3gmijm1c.xlsx]Worksheet!R23C4</stp>
        <tr r="D23" s="2"/>
      </tp>
      <tp>
        <v>4.8666099999999997</v>
        <stp/>
        <stp>##V3_BDPV12</stp>
        <stp>MRGIX US Equity</stp>
        <stp>LAST_CLOSE_TRR_3MO</stp>
        <stp>[grid1_3gmijm1c.xlsx]Worksheet!R23C5</stp>
        <tr r="E23" s="2"/>
      </tp>
      <tp>
        <v>1.6206640000000001</v>
        <stp/>
        <stp>##V3_BDPV12</stp>
        <stp>SPHIX US Equity</stp>
        <stp>LAST_CLOSE_TRR_YTD</stp>
        <stp>[grid1_3gmijm1c.xlsx]Worksheet!R84C6</stp>
        <tr r="F84" s="2"/>
      </tp>
      <tp>
        <v>3.749241</v>
        <stp/>
        <stp>##V3_BDPV12</stp>
        <stp>MDHAX US Equity</stp>
        <stp>LAST_CLOSE_TRR_3MO</stp>
        <stp>[grid1_3gmijm1c.xlsx]Worksheet!R22C5</stp>
        <tr r="E22" s="2"/>
      </tp>
      <tp>
        <v>1.1495230000000001</v>
        <stp/>
        <stp>##V3_BDPV12</stp>
        <stp>MDHAX US Equity</stp>
        <stp>LAST_CLOSE_TRR_1MO</stp>
        <stp>[grid1_3gmijm1c.xlsx]Worksheet!R22C4</stp>
        <tr r="D22" s="2"/>
      </tp>
      <tp>
        <v>5.2051670000000003</v>
        <stp/>
        <stp>##V3_BDPV12</stp>
        <stp>FEHAX US Equity</stp>
        <stp>LAST_CLOSE_TRR_3MO</stp>
        <stp>[grid1_3gmijm1c.xlsx]Worksheet!R69C5</stp>
        <tr r="E69" s="2"/>
      </tp>
      <tp>
        <v>1.6255599999999999</v>
        <stp/>
        <stp>##V3_BDPV12</stp>
        <stp>FEHAX US Equity</stp>
        <stp>LAST_CLOSE_TRR_1MO</stp>
        <stp>[grid1_3gmijm1c.xlsx]Worksheet!R69C4</stp>
        <tr r="D69" s="2"/>
      </tp>
      <tp>
        <v>6.4402910000000002</v>
        <stp/>
        <stp>##V3_BDPV12</stp>
        <stp>SHHYX US Equity</stp>
        <stp>LAST_CLOSE_TRR_YTD</stp>
        <stp>[grid1_3gmijm1c.xlsx]Worksheet!R65C6</stp>
        <tr r="F65" s="2"/>
      </tp>
      <tp>
        <v>5.3183550000000004</v>
        <stp/>
        <stp>##V3_BDPV12</stp>
        <stp>SHOAX US Equity</stp>
        <stp>LAST_CLOSE_TRR_YTD</stp>
        <stp>[grid1_3gmijm1c.xlsx]Worksheet!R95C6</stp>
        <tr r="F95" s="2"/>
      </tp>
      <tp t="s">
        <v>#N/A N/A</v>
        <stp/>
        <stp>##V3_BDPV12</stp>
        <stp>TACBX US Equity</stp>
        <stp>CUST_TRR_RETURN_ANNUALIZED</stp>
        <stp>[grid1_3gmijm1c.xlsx]Worksheet!R167C3</stp>
        <stp>CUST_TRR_START_DT=20200626</stp>
        <stp>CUST_TRR_END_DT=20201226</stp>
        <tr r="C167" s="2"/>
      </tp>
      <tp>
        <v>4.4147999999999996</v>
        <stp/>
        <stp>##V3_BDPV12</stp>
        <stp>SHYIX US Equity</stp>
        <stp>LAST_CLOSE_TRR_3YR</stp>
        <stp>[grid1_3gmijm1c.xlsx]Worksheet!R88C8</stp>
        <tr r="H88" s="2"/>
      </tp>
      <tp>
        <v>7.3619770000000004</v>
        <stp/>
        <stp>##V3_BDPV12</stp>
        <stp>SHYIX US Equity</stp>
        <stp>LAST_CLOSE_TRR_5YR</stp>
        <stp>[grid1_3gmijm1c.xlsx]Worksheet!R88C9</stp>
        <tr r="I88" s="2"/>
      </tp>
      <tp>
        <v>4.7299879999999996</v>
        <stp/>
        <stp>##V3_BDPV12</stp>
        <stp>SHYIX US Equity</stp>
        <stp>LAST_CLOSE_TRR_1YR</stp>
        <stp>[grid1_3gmijm1c.xlsx]Worksheet!R88C7</stp>
        <tr r="G88" s="2"/>
      </tp>
      <tp>
        <v>4.2299639999999998</v>
        <stp/>
        <stp>##V3_BDPV12</stp>
        <stp>PRHYX US Equity</stp>
        <stp>LAST_CLOSE_TRR_YTD</stp>
        <stp>[grid1_3gmijm1c.xlsx]Worksheet!R86C6</stp>
        <tr r="F86" s="2"/>
      </tp>
      <tp t="s">
        <v>#N/A N/A</v>
        <stp/>
        <stp>##V3_BDPV12</stp>
        <stp>EVAASFL US Equity</stp>
        <stp>LAST_CLOSE_TRR_1MO</stp>
        <stp>[grid1_3gmijm1c.xlsx]Worksheet!R153C4</stp>
        <tr r="D153" s="2"/>
      </tp>
      <tp t="s">
        <v>#N/A N/A</v>
        <stp/>
        <stp>##V3_BDPV12</stp>
        <stp>EVAASFL US Equity</stp>
        <stp>LAST_CLOSE_TRR_3MO</stp>
        <stp>[grid1_3gmijm1c.xlsx]Worksheet!R153C5</stp>
        <tr r="E153" s="2"/>
      </tp>
      <tp>
        <v>20.088419999999999</v>
        <stp/>
        <stp>##V3_BDPV12</stp>
        <stp>PLSRX US Equity</stp>
        <stp>CUST_TRR_RETURN_ANNUALIZED</stp>
        <stp>[grid1_3gmijm1c.xlsx]Worksheet!R109C3</stp>
        <stp>CUST_TRR_START_DT=20200626</stp>
        <stp>CUST_TRR_END_DT=20201226</stp>
        <tr r="C109" s="2"/>
      </tp>
      <tp>
        <v>1.4984150000000001</v>
        <stp/>
        <stp>##V3_BDPV12</stp>
        <stp>THYUX US Equity</stp>
        <stp>LAST_CLOSE_TRR_YTD</stp>
        <stp>[grid1_3gmijm1c.xlsx]Worksheet!R51C6</stp>
        <tr r="F51" s="2"/>
      </tp>
      <tp>
        <v>3.5076239999999999</v>
        <stp/>
        <stp>##V3_BDPV12</stp>
        <stp>SHIAX US Equity</stp>
        <stp>LAST_CLOSE_TRR_YTD</stp>
        <stp>[grid1_3gmijm1c.xlsx]Worksheet!R36C6</stp>
        <tr r="F36" s="2"/>
      </tp>
      <tp>
        <v>1.385391</v>
        <stp/>
        <stp>##V3_BDPV12</stp>
        <stp>INEAX US Equity</stp>
        <stp>LAST_CLOSE_TRR_1MO</stp>
        <stp>[grid1_3gmijm1c.xlsx]Worksheet!R55C4</stp>
        <tr r="D55" s="2"/>
      </tp>
      <tp>
        <v>6.2861770000000003</v>
        <stp/>
        <stp>##V3_BDPV12</stp>
        <stp>INEAX US Equity</stp>
        <stp>LAST_CLOSE_TRR_3MO</stp>
        <stp>[grid1_3gmijm1c.xlsx]Worksheet!R55C5</stp>
        <tr r="E55" s="2"/>
      </tp>
      <tp>
        <v>17.988320000000002</v>
        <stp/>
        <stp>##V3_BDPV12</stp>
        <stp>PAXHX US Equity</stp>
        <stp>CUST_TRR_RETURN_ANNUALIZED</stp>
        <stp>[grid1_3gmijm1c.xlsx]Worksheet!R104C3</stp>
        <stp>CUST_TRR_START_DT=20200626</stp>
        <stp>CUST_TRR_END_DT=20201226</stp>
        <tr r="C104" s="2"/>
      </tp>
      <tp>
        <v>4.7446169999999999</v>
        <stp/>
        <stp>##V3_BDPV12</stp>
        <stp>MKHCX US Equity</stp>
        <stp>LAST_CLOSE_TRR_3MO</stp>
        <stp>[grid1_3gmijm1c.xlsx]Worksheet!R41C5</stp>
        <tr r="E41" s="2"/>
      </tp>
      <tp>
        <v>1.2505539999999999</v>
        <stp/>
        <stp>##V3_BDPV12</stp>
        <stp>MKHCX US Equity</stp>
        <stp>LAST_CLOSE_TRR_1MO</stp>
        <stp>[grid1_3gmijm1c.xlsx]Worksheet!R41C4</stp>
        <tr r="D41" s="2"/>
      </tp>
      <tp>
        <v>0.99660269999999995</v>
        <stp/>
        <stp>##V3_BDPV12</stp>
        <stp>KHYAX US Equity</stp>
        <stp>LAST_CLOSE_TRR_1MO</stp>
        <stp>[grid1_3gmijm1c.xlsx]Worksheet!R97C4</stp>
        <tr r="D97" s="2"/>
      </tp>
      <tp>
        <v>5.9488009999999996</v>
        <stp/>
        <stp>##V3_BDPV12</stp>
        <stp>KHYAX US Equity</stp>
        <stp>LAST_CLOSE_TRR_3MO</stp>
        <stp>[grid1_3gmijm1c.xlsx]Worksheet!R97C5</stp>
        <tr r="E97" s="2"/>
      </tp>
      <tp>
        <v>25.18317</v>
        <stp/>
        <stp>##V3_BDPV12</stp>
        <stp>NEFHX US Equity</stp>
        <stp>CUST_TRR_RETURN_ANNUALIZED</stp>
        <stp>[grid1_3gmijm1c.xlsx]Worksheet!R100C3</stp>
        <stp>CUST_TRR_START_DT=20200626</stp>
        <stp>CUST_TRR_END_DT=20201226</stp>
        <tr r="C100" s="2"/>
      </tp>
      <tp>
        <v>1.413165</v>
        <stp/>
        <stp>##V3_BDPV12</stp>
        <stp>MSYIX US Equity</stp>
        <stp>LAST_CLOSE_TRR_1MO</stp>
        <stp>[grid1_3gmijm1c.xlsx]Worksheet!R91C4</stp>
        <tr r="D91" s="2"/>
      </tp>
      <tp>
        <v>6.2487219999999999</v>
        <stp/>
        <stp>##V3_BDPV12</stp>
        <stp>MSYIX US Equity</stp>
        <stp>LAST_CLOSE_TRR_3MO</stp>
        <stp>[grid1_3gmijm1c.xlsx]Worksheet!R91C5</stp>
        <tr r="E91" s="2"/>
      </tp>
      <tp>
        <v>19.813130000000001</v>
        <stp/>
        <stp>##V3_BDPV12</stp>
        <stp>IAIRX US Equity</stp>
        <stp>CUST_TRR_RETURN_ANNUALIZED</stp>
        <stp>[grid1_3gmijm1c.xlsx]Worksheet!R154C3</stp>
        <stp>CUST_TRR_START_DT=20200626</stp>
        <stp>CUST_TRR_END_DT=20201226</stp>
        <tr r="C154" s="2"/>
      </tp>
      <tp>
        <v>17.94708</v>
        <stp/>
        <stp>##V3_BDPV12</stp>
        <stp>HCHYX US Equity</stp>
        <stp>CUST_TRR_RETURN_ANNUALIZED</stp>
        <stp>[grid1_3gmijm1c.xlsx]Worksheet!R136C3</stp>
        <stp>CUST_TRR_START_DT=20200626</stp>
        <stp>CUST_TRR_END_DT=20201226</stp>
        <tr r="C136" s="2"/>
      </tp>
      <tp>
        <v>25.5855</v>
        <stp/>
        <stp>##V3_BDPV12</stp>
        <stp>NMHYX US Equity</stp>
        <stp>CUST_TRR_RETURN_ANNUALIZED</stp>
        <stp>[grid1_3gmijm1c.xlsx]Worksheet!R108C3</stp>
        <stp>CUST_TRR_START_DT=20200626</stp>
        <stp>CUST_TRR_END_DT=20201226</stp>
        <tr r="C108" s="2"/>
      </tp>
      <tp>
        <v>23.7713</v>
        <stp/>
        <stp>##V3_BDPV12</stp>
        <stp>PLHIX US Equity</stp>
        <stp>CUST_TRR_RETURN_ANNUALIZED</stp>
        <stp>[grid1_3gmijm1c.xlsx]Worksheet!R119C3</stp>
        <stp>CUST_TRR_START_DT=20200626</stp>
        <stp>CUST_TRR_END_DT=20201226</stp>
        <tr r="C119" s="2"/>
      </tp>
      <tp t="s">
        <v>#N/A N/A</v>
        <stp/>
        <stp>##V3_BDPV12</stp>
        <stp>TCOBX US Equity</stp>
        <stp>CUST_TRR_RETURN_ANNUALIZED</stp>
        <stp>[grid1_3gmijm1c.xlsx]Worksheet!R176C3</stp>
        <stp>CUST_TRR_START_DT=20200626</stp>
        <stp>CUST_TRR_END_DT=20201226</stp>
        <tr r="C176" s="2"/>
      </tp>
      <tp>
        <v>1.279976</v>
        <stp/>
        <stp>##V3_BDPV12</stp>
        <stp>HYSAX US Equity</stp>
        <stp>LAST_CLOSE_TRR_1MO</stp>
        <stp>[grid1_3gmijm1c.xlsx]Worksheet!R24C4</stp>
        <tr r="D24" s="2"/>
      </tp>
      <tp>
        <v>4.3516009999999996</v>
        <stp/>
        <stp>##V3_BDPV12</stp>
        <stp>HYSAX US Equity</stp>
        <stp>LAST_CLOSE_TRR_3MO</stp>
        <stp>[grid1_3gmijm1c.xlsx]Worksheet!R24C5</stp>
        <tr r="E24" s="2"/>
      </tp>
      <tp>
        <v>14.10496</v>
        <stp/>
        <stp>##V3_BDPV12</stp>
        <stp>WHGHX US Equity</stp>
        <stp>LAST_CLOSE_TRR_YTD</stp>
        <stp>[grid1_3gmijm1c.xlsx]Worksheet!R73C6</stp>
        <tr r="F73" s="2"/>
      </tp>
      <tp>
        <v>14.30673</v>
        <stp/>
        <stp>##V3_BDPV12</stp>
        <stp>JMADX US Equity</stp>
        <stp>CUST_TRR_RETURN_ANNUALIZED</stp>
        <stp>[grid1_3gmijm1c.xlsx]Worksheet!R169C3</stp>
        <stp>CUST_TRR_START_DT=20200626</stp>
        <stp>CUST_TRR_END_DT=20201226</stp>
        <tr r="C169" s="2"/>
      </tp>
      <tp>
        <v>4.8960140000000001</v>
        <stp/>
        <stp>##V3_BDPV12</stp>
        <stp>PYHIX US Equity</stp>
        <stp>LAST_CLOSE_TRR_YTD</stp>
        <stp>[grid1_3gmijm1c.xlsx]Worksheet!R54C6</stp>
        <tr r="F54" s="2"/>
      </tp>
      <tp>
        <v>23.465250000000001</v>
        <stp/>
        <stp>##V3_BDPV12</stp>
        <stp>SAHIX US Equity</stp>
        <stp>CUST_TRR_RETURN_ANNUALIZED</stp>
        <stp>[grid1_3gmijm1c.xlsx]Worksheet!R115C3</stp>
        <stp>CUST_TRR_START_DT=20200626</stp>
        <stp>CUST_TRR_END_DT=20201226</stp>
        <tr r="C115" s="2"/>
      </tp>
      <tp>
        <v>6.3901940000000002</v>
        <stp/>
        <stp>##V3_BDPV12</stp>
        <stp>PGHYX US Equity</stp>
        <stp>LAST_CLOSE_TRR_5YR</stp>
        <stp>[grid1_3gmijm1c.xlsx]Worksheet!R39C9</stp>
        <tr r="I39" s="2"/>
      </tp>
      <tp>
        <v>3.176005</v>
        <stp/>
        <stp>##V3_BDPV12</stp>
        <stp>PGHYX US Equity</stp>
        <stp>LAST_CLOSE_TRR_3YR</stp>
        <stp>[grid1_3gmijm1c.xlsx]Worksheet!R39C8</stp>
        <tr r="H39" s="2"/>
      </tp>
      <tp>
        <v>2.4532289999999999</v>
        <stp/>
        <stp>##V3_BDPV12</stp>
        <stp>PGHYX US Equity</stp>
        <stp>LAST_CLOSE_TRR_1YR</stp>
        <stp>[grid1_3gmijm1c.xlsx]Worksheet!R39C7</stp>
        <tr r="G39" s="2"/>
      </tp>
      <tp>
        <v>5.8493139999999997</v>
        <stp/>
        <stp>##V3_BDPV12</stp>
        <stp>JHHBX US Equity</stp>
        <stp>LAST_CLOSE_TRR_3MO</stp>
        <stp>[grid1_3gmijm1c.xlsx]Worksheet!R80C5</stp>
        <tr r="E80" s="2"/>
      </tp>
      <tp>
        <v>0.98379939999999999</v>
        <stp/>
        <stp>##V3_BDPV12</stp>
        <stp>JHHBX US Equity</stp>
        <stp>LAST_CLOSE_TRR_1MO</stp>
        <stp>[grid1_3gmijm1c.xlsx]Worksheet!R80C4</stp>
        <tr r="D80" s="2"/>
      </tp>
      <tp>
        <v>4.0531769999999998</v>
        <stp/>
        <stp>##V3_BDPV12</stp>
        <stp>RBTRX US Equity</stp>
        <stp>LAST_CLOSE_TRR_YTD</stp>
        <stp>[grid1_3gmijm1c.xlsx]Worksheet!R11C6</stp>
        <tr r="F11" s="2"/>
      </tp>
      <tp>
        <v>7.1948030000000003</v>
        <stp/>
        <stp>##V3_BDPV12</stp>
        <stp>WTLTX US Equity</stp>
        <stp>LAST_CLOSE_TRR_5YR</stp>
        <stp>[grid1_3gmijm1c.xlsx]Worksheet!R79C9</stp>
        <tr r="I79" s="2"/>
      </tp>
      <tp>
        <v>5.5122799999999996</v>
        <stp/>
        <stp>##V3_BDPV12</stp>
        <stp>WTLTX US Equity</stp>
        <stp>LAST_CLOSE_TRR_3YR</stp>
        <stp>[grid1_3gmijm1c.xlsx]Worksheet!R79C8</stp>
        <tr r="H79" s="2"/>
      </tp>
      <tp>
        <v>6.841361</v>
        <stp/>
        <stp>##V3_BDPV12</stp>
        <stp>WTLTX US Equity</stp>
        <stp>LAST_CLOSE_TRR_1YR</stp>
        <stp>[grid1_3gmijm1c.xlsx]Worksheet!R79C7</stp>
        <tr r="G79" s="2"/>
      </tp>
      <tp>
        <v>34.945749999999997</v>
        <stp/>
        <stp>##V3_BDPV12</stp>
        <stp>FAGIX US Equity</stp>
        <stp>CUST_TRR_RETURN_ANNUALIZED</stp>
        <stp>[grid1_3gmijm1c.xlsx]Worksheet!R142C3</stp>
        <stp>CUST_TRR_START_DT=20200626</stp>
        <stp>CUST_TRR_END_DT=20201226</stp>
        <tr r="C142" s="2"/>
      </tp>
      <tp>
        <v>6.9233330000000004</v>
        <stp/>
        <stp>##V3_BDPV12</stp>
        <stp>PYHRX US Equity</stp>
        <stp>LAST_CLOSE_TRR_YTD</stp>
        <stp>[grid1_3gmijm1c.xlsx]Worksheet!R93C6</stp>
        <tr r="F93" s="2"/>
      </tp>
      <tp>
        <v>8.1613600000000002</v>
        <stp/>
        <stp>##V3_BDPV12</stp>
        <stp>LSHIX US Equity</stp>
        <stp>LAST_CLOSE_TRR_3MO</stp>
        <stp>[grid1_3gmijm1c.xlsx]Worksheet!R76C5</stp>
        <tr r="E76" s="2"/>
      </tp>
      <tp>
        <v>1.3372999999999999</v>
        <stp/>
        <stp>##V3_BDPV12</stp>
        <stp>LSHIX US Equity</stp>
        <stp>LAST_CLOSE_TRR_1MO</stp>
        <stp>[grid1_3gmijm1c.xlsx]Worksheet!R76C4</stp>
        <tr r="D76" s="2"/>
      </tp>
      <tp>
        <v>6.7326379999999997</v>
        <stp/>
        <stp>##V3_BDPV12</stp>
        <stp>MPHAX US Equity</stp>
        <stp>LAST_CLOSE_TRR_3MO</stp>
        <stp>[grid1_3gmijm1c.xlsx]Worksheet!R57C5</stp>
        <tr r="E57" s="2"/>
      </tp>
      <tp>
        <v>1.678782</v>
        <stp/>
        <stp>##V3_BDPV12</stp>
        <stp>MPHAX US Equity</stp>
        <stp>LAST_CLOSE_TRR_1MO</stp>
        <stp>[grid1_3gmijm1c.xlsx]Worksheet!R57C4</stp>
        <tr r="D57" s="2"/>
      </tp>
      <tp>
        <v>19.768619999999999</v>
        <stp/>
        <stp>##V3_BDPV12</stp>
        <stp>MGHYX US Equity</stp>
        <stp>CUST_TRR_RETURN_ANNUALIZED</stp>
        <stp>[grid1_3gmijm1c.xlsx]Worksheet!R114C3</stp>
        <stp>CUST_TRR_START_DT=20200626</stp>
        <stp>CUST_TRR_END_DT=20201226</stp>
        <tr r="C114" s="2"/>
      </tp>
      <tp>
        <v>19.264880000000002</v>
        <stp/>
        <stp>##V3_BDPV12</stp>
        <stp>SAHYX US Equity</stp>
        <stp>CUST_TRR_RETURN_ANNUALIZED</stp>
        <stp>[grid1_3gmijm1c.xlsx]Worksheet!R102C3</stp>
        <stp>CUST_TRR_START_DT=20200626</stp>
        <stp>CUST_TRR_END_DT=20201226</stp>
        <tr r="C102" s="2"/>
      </tp>
      <tp>
        <v>23.332660000000001</v>
        <stp/>
        <stp>##V3_BDPV12</stp>
        <stp>PKHIX US Equity</stp>
        <stp>CUST_TRR_RETURN_ANNUALIZED</stp>
        <stp>[grid1_3gmijm1c.xlsx]Worksheet!R158C3</stp>
        <stp>CUST_TRR_START_DT=20200626</stp>
        <stp>CUST_TRR_END_DT=20201226</stp>
        <tr r="C158" s="2"/>
      </tp>
      <tp>
        <v>5.1339579999999998</v>
        <stp/>
        <stp>##V3_BDPV12</stp>
        <stp>SSTHX US Equity</stp>
        <stp>LAST_CLOSE_TRR_YTD</stp>
        <stp>[grid1_3gmijm1c.xlsx]Worksheet!R10C6</stp>
        <tr r="F10" s="2"/>
      </tp>
      <tp>
        <v>5.2124269999999999</v>
        <stp/>
        <stp>##V3_BDPV12</stp>
        <stp>CYBIX US Equity</stp>
        <stp>LAST_CLOSE_TRR_3MO</stp>
        <stp>[grid1_3gmijm1c.xlsx]Worksheet!R49C5</stp>
        <tr r="E49" s="2"/>
      </tp>
      <tp>
        <v>0.80083610000000005</v>
        <stp/>
        <stp>##V3_BDPV12</stp>
        <stp>CYBIX US Equity</stp>
        <stp>LAST_CLOSE_TRR_1MO</stp>
        <stp>[grid1_3gmijm1c.xlsx]Worksheet!R49C4</stp>
        <tr r="D49" s="2"/>
      </tp>
      <tp>
        <v>5.8732949999999997</v>
        <stp/>
        <stp>##V3_BDPV12</stp>
        <stp>LBHYX US Equity</stp>
        <stp>LAST_CLOSE_TRR_3MO</stp>
        <stp>[grid1_3gmijm1c.xlsx]Worksheet!R37C5</stp>
        <tr r="E37" s="2"/>
      </tp>
      <tp>
        <v>1.2319880000000001</v>
        <stp/>
        <stp>##V3_BDPV12</stp>
        <stp>LBHYX US Equity</stp>
        <stp>LAST_CLOSE_TRR_1MO</stp>
        <stp>[grid1_3gmijm1c.xlsx]Worksheet!R37C4</stp>
        <tr r="D37" s="2"/>
      </tp>
      <tp>
        <v>2.1916380000000002</v>
        <stp/>
        <stp>##V3_BDPV12</stp>
        <stp>RIMOX US Equity</stp>
        <stp>LAST_CLOSE_TRR_YTD</stp>
        <stp>[grid1_3gmijm1c.xlsx]Worksheet!R20C6</stp>
        <tr r="F20" s="2"/>
      </tp>
      <tp>
        <v>2.7222810000000002</v>
        <stp/>
        <stp>##V3_BDPV12</stp>
        <stp>THYCX US Equity</stp>
        <stp>LAST_CLOSE_TRR_YTD</stp>
        <stp>[grid1_3gmijm1c.xlsx]Worksheet!R26C6</stp>
        <tr r="F26" s="2"/>
      </tp>
      <tp>
        <v>28.493880000000001</v>
        <stp/>
        <stp>##V3_BDPV12</stp>
        <stp>SGYAX US Equity</stp>
        <stp>CUST_TRR_RETURN_ANNUALIZED</stp>
        <stp>[grid1_3gmijm1c.xlsx]Worksheet!R135C3</stp>
        <stp>CUST_TRR_START_DT=20200626</stp>
        <stp>CUST_TRR_END_DT=20201226</stp>
        <tr r="C135" s="2"/>
      </tp>
      <tp>
        <v>7.8132390000000003</v>
        <stp/>
        <stp>##V3_BDPV12</stp>
        <stp>NHFIX US Equity</stp>
        <stp>LAST_CLOSE_TRR_3MO</stp>
        <stp>[grid1_3gmijm1c.xlsx]Worksheet!R75C5</stp>
        <tr r="E75" s="2"/>
      </tp>
      <tp>
        <v>1.8502449999999999</v>
        <stp/>
        <stp>##V3_BDPV12</stp>
        <stp>NHFIX US Equity</stp>
        <stp>LAST_CLOSE_TRR_1MO</stp>
        <stp>[grid1_3gmijm1c.xlsx]Worksheet!R75C4</stp>
        <tr r="D75" s="2"/>
      </tp>
      <tp>
        <v>1.7221280000000001</v>
        <stp/>
        <stp>##V3_BDPV12</stp>
        <stp>IHIYX US Equity</stp>
        <stp>LAST_CLOSE_TRR_1MO</stp>
        <stp>[grid1_3gmijm1c.xlsx]Worksheet!R62C4</stp>
        <tr r="D62" s="2"/>
      </tp>
      <tp>
        <v>7.0793929999999996</v>
        <stp/>
        <stp>##V3_BDPV12</stp>
        <stp>IHIYX US Equity</stp>
        <stp>LAST_CLOSE_TRR_3MO</stp>
        <stp>[grid1_3gmijm1c.xlsx]Worksheet!R62C5</stp>
        <tr r="E62" s="2"/>
      </tp>
      <tp>
        <v>7.8235010000000003</v>
        <stp/>
        <stp>##V3_BDPV12</stp>
        <stp>HWHIX US Equity</stp>
        <stp>LAST_CLOSE_TRR_3MO</stp>
        <stp>[grid1_3gmijm1c.xlsx]Worksheet!R43C5</stp>
        <tr r="E43" s="2"/>
      </tp>
      <tp>
        <v>3.1180180000000002</v>
        <stp/>
        <stp>##V3_BDPV12</stp>
        <stp>HWHIX US Equity</stp>
        <stp>LAST_CLOSE_TRR_1MO</stp>
        <stp>[grid1_3gmijm1c.xlsx]Worksheet!R43C4</stp>
        <tr r="D43" s="2"/>
      </tp>
      <tp>
        <v>4.8825269999999996</v>
        <stp/>
        <stp>##V3_BDPV12</stp>
        <stp>VWEHX US Equity</stp>
        <stp>LAST_CLOSE_TRR_YTD</stp>
        <stp>[grid1_3gmijm1c.xlsx]Worksheet!R74C6</stp>
        <tr r="F74" s="2"/>
      </tp>
      <tp>
        <v>22.6889</v>
        <stp/>
        <stp>##V3_BDPV12</stp>
        <stp>RGHYX US Equity</stp>
        <stp>CUST_TRR_RETURN_ANNUALIZED</stp>
        <stp>[grid1_3gmijm1c.xlsx]Worksheet!R125C3</stp>
        <stp>CUST_TRR_START_DT=20200626</stp>
        <stp>CUST_TRR_END_DT=20201226</stp>
        <tr r="C125" s="2"/>
      </tp>
      <tp>
        <v>32.58867</v>
        <stp/>
        <stp>##V3_BDPV12</stp>
        <stp>MFHIX US Equity</stp>
        <stp>CUST_TRR_RETURN_ANNUALIZED</stp>
        <stp>[grid1_3gmijm1c.xlsx]Worksheet!R164C3</stp>
        <stp>CUST_TRR_START_DT=20200626</stp>
        <stp>CUST_TRR_END_DT=20201226</stp>
        <tr r="C164" s="2"/>
      </tp>
      <tp>
        <v>18.746420000000001</v>
        <stp/>
        <stp>##V3_BDPV12</stp>
        <stp>PAOPX US Equity</stp>
        <stp>CUST_TRR_RETURN_ANNUALIZED</stp>
        <stp>[grid1_3gmijm1c.xlsx]Worksheet!R123C3</stp>
        <stp>CUST_TRR_START_DT=20200626</stp>
        <stp>CUST_TRR_END_DT=20201226</stp>
        <tr r="C123" s="2"/>
      </tp>
      <tp>
        <v>5.4594240000000003</v>
        <stp/>
        <stp>##V3_BDPV12</stp>
        <stp>TPHAX US Equity</stp>
        <stp>LAST_CLOSE_TRR_YTD</stp>
        <stp>[grid1_3gmijm1c.xlsx]Worksheet!R66C6</stp>
        <tr r="F66" s="2"/>
      </tp>
      <tp>
        <v>3.190617</v>
        <stp/>
        <stp>##V3_BDPV12</stp>
        <stp>USHYX US Equity</stp>
        <stp>LAST_CLOSE_TRR_YTD</stp>
        <stp>[grid1_3gmijm1c.xlsx]Worksheet!R87C6</stp>
        <tr r="F87" s="2"/>
      </tp>
      <tp>
        <v>0.55789330000000004</v>
        <stp/>
        <stp>##V3_BDPV12</stp>
        <stp>HFAAX US Equity</stp>
        <stp>LAST_CLOSE_TRR_1MO</stp>
        <stp>[grid1_3gmijm1c.xlsx]Worksheet!R30C4</stp>
        <tr r="D30" s="2"/>
      </tp>
      <tp>
        <v>2.9170590000000001</v>
        <stp/>
        <stp>##V3_BDPV12</stp>
        <stp>HFAAX US Equity</stp>
        <stp>LAST_CLOSE_TRR_3MO</stp>
        <stp>[grid1_3gmijm1c.xlsx]Worksheet!R30C5</stp>
        <tr r="E30" s="2"/>
      </tp>
      <tp>
        <v>2.0256090000000002</v>
        <stp/>
        <stp>##V3_BDPV12</stp>
        <stp>OGYAX US Equity</stp>
        <stp>LAST_CLOSE_TRR_1MO</stp>
        <stp>[grid1_3gmijm1c.xlsx]Worksheet!R47C4</stp>
        <tr r="D47" s="2"/>
      </tp>
      <tp>
        <v>6.2416489999999998</v>
        <stp/>
        <stp>##V3_BDPV12</stp>
        <stp>OGYAX US Equity</stp>
        <stp>LAST_CLOSE_TRR_3MO</stp>
        <stp>[grid1_3gmijm1c.xlsx]Worksheet!R47C5</stp>
        <tr r="E47" s="2"/>
      </tp>
      <tp>
        <v>3.287191</v>
        <stp/>
        <stp>##V3_BDPV12</stp>
        <stp>PHYNX US Equity</stp>
        <stp>LAST_CLOSE_TRR_YTD</stp>
        <stp>[grid1_3gmijm1c.xlsx]Worksheet!R71C6</stp>
        <tr r="F71" s="2"/>
      </tp>
      <tp>
        <v>6.259817</v>
        <stp/>
        <stp>##V3_BDPV12</stp>
        <stp>PHCHX US Equity</stp>
        <stp>LAST_CLOSE_TRR_YTD</stp>
        <stp>[grid1_3gmijm1c.xlsx]Worksheet!R81C6</stp>
        <tr r="F81" s="2"/>
      </tp>
      <tp>
        <v>26.032689999999999</v>
        <stp/>
        <stp>##V3_BDPV12</stp>
        <stp>HIYYX US Equity</stp>
        <stp>CUST_TRR_RETURN_ANNUALIZED</stp>
        <stp>[grid1_3gmijm1c.xlsx]Worksheet!R138C3</stp>
        <stp>CUST_TRR_START_DT=20200626</stp>
        <stp>CUST_TRR_END_DT=20201226</stp>
        <tr r="C138" s="2"/>
      </tp>
      <tp t="s">
        <v>#N/A N/A</v>
        <stp/>
        <stp>##V3_BDPV12</stp>
        <stp>QHYIX US Equity</stp>
        <stp>CUST_TRR_RETURN_ANNUALIZED</stp>
        <stp>[grid1_3gmijm1c.xlsx]Worksheet!R159C3</stp>
        <stp>CUST_TRR_START_DT=20200626</stp>
        <stp>CUST_TRR_END_DT=20201226</stp>
        <tr r="C159" s="2"/>
      </tp>
      <tp>
        <v>5.1315359999999997</v>
        <stp/>
        <stp>##V3_BDPV12</stp>
        <stp>ALHAX US Equity</stp>
        <stp>LAST_CLOSE_TRR_3MO</stp>
        <stp>[grid1_3gmijm1c.xlsx]Worksheet!R19C5</stp>
        <tr r="E19" s="2"/>
      </tp>
      <tp>
        <v>1.7656719999999999</v>
        <stp/>
        <stp>##V3_BDPV12</stp>
        <stp>ALHAX US Equity</stp>
        <stp>LAST_CLOSE_TRR_1MO</stp>
        <stp>[grid1_3gmijm1c.xlsx]Worksheet!R19C4</stp>
        <tr r="D19" s="2"/>
      </tp>
      <tp>
        <v>9.4758580000000006</v>
        <stp/>
        <stp>##V3_BDPV12</stp>
        <stp>TGHYX US Equity</stp>
        <stp>LAST_CLOSE_TRR_YTD</stp>
        <stp>[grid1_3gmijm1c.xlsx]Worksheet!R85C6</stp>
        <tr r="F85" s="2"/>
      </tp>
      <tp>
        <v>21.125599999999999</v>
        <stp/>
        <stp>##V3_BDPV12</stp>
        <stp>PBHAX US Equity</stp>
        <stp>CUST_TRR_RETURN_ANNUALIZED</stp>
        <stp>[grid1_3gmijm1c.xlsx]Worksheet!R133C3</stp>
        <stp>CUST_TRR_START_DT=20200626</stp>
        <stp>CUST_TRR_END_DT=20201226</stp>
        <tr r="C133" s="2"/>
      </tp>
      <tp>
        <v>17.17999</v>
        <stp/>
        <stp>##V3_BDPV12</stp>
        <stp>KAMAX US Equity</stp>
        <stp>CUST_TRR_RETURN_ANNUALIZED</stp>
        <stp>[grid1_3gmijm1c.xlsx]Worksheet!R170C3</stp>
        <stp>CUST_TRR_START_DT=20200626</stp>
        <stp>CUST_TRR_END_DT=20201226</stp>
        <tr r="C170" s="2"/>
      </tp>
      <tp>
        <v>5.7880919999999998</v>
        <stp/>
        <stp>##V3_BDPV12</stp>
        <stp>PHYTX US Equity</stp>
        <stp>LAST_CLOSE_TRR_YTD</stp>
        <stp>[grid1_3gmijm1c.xlsx]Worksheet!R90C6</stp>
        <tr r="F90" s="2"/>
      </tp>
      <tp>
        <v>1.206971</v>
        <stp/>
        <stp>##V3_BDPV12</stp>
        <stp>IHYAX US Equity</stp>
        <stp>LAST_CLOSE_TRR_1MO</stp>
        <stp>[grid1_3gmijm1c.xlsx]Worksheet!R60C4</stp>
        <tr r="D60" s="2"/>
      </tp>
      <tp>
        <v>6.0273009999999996</v>
        <stp/>
        <stp>##V3_BDPV12</stp>
        <stp>IHYAX US Equity</stp>
        <stp>LAST_CLOSE_TRR_3MO</stp>
        <stp>[grid1_3gmijm1c.xlsx]Worksheet!R60C5</stp>
        <tr r="E60" s="2"/>
      </tp>
      <tp>
        <v>1.243077</v>
        <stp/>
        <stp>##V3_BDPV12</stp>
        <stp>NHINX US Equity</stp>
        <stp>LAST_CLOSE_TRR_1MO</stp>
        <stp>[grid1_3gmijm1c.xlsx]Worksheet!R77C4</stp>
        <tr r="D77" s="2"/>
      </tp>
      <tp>
        <v>6.7849440000000003</v>
        <stp/>
        <stp>##V3_BDPV12</stp>
        <stp>NHINX US Equity</stp>
        <stp>LAST_CLOSE_TRR_3MO</stp>
        <stp>[grid1_3gmijm1c.xlsx]Worksheet!R77C5</stp>
        <tr r="E77" s="2"/>
      </tp>
      <tp>
        <v>6.8285939999999998</v>
        <stp/>
        <stp>##V3_BDPV12</stp>
        <stp>TAHYX US Equity</stp>
        <stp>LAST_CLOSE_TRR_5YR</stp>
        <stp>[grid1_3gmijm1c.xlsx]Worksheet!R59C9</stp>
        <tr r="I59" s="2"/>
      </tp>
      <tp>
        <v>4.1869420000000002</v>
        <stp/>
        <stp>##V3_BDPV12</stp>
        <stp>TAHYX US Equity</stp>
        <stp>LAST_CLOSE_TRR_3YR</stp>
        <stp>[grid1_3gmijm1c.xlsx]Worksheet!R59C8</stp>
        <tr r="H59" s="2"/>
      </tp>
      <tp>
        <v>2.5768059999999999</v>
        <stp/>
        <stp>##V3_BDPV12</stp>
        <stp>TAHYX US Equity</stp>
        <stp>LAST_CLOSE_TRR_1YR</stp>
        <stp>[grid1_3gmijm1c.xlsx]Worksheet!R59C7</stp>
        <tr r="G59" s="2"/>
      </tp>
      <tp>
        <v>9.5642829999999996</v>
        <stp/>
        <stp>##V3_BDPV12</stp>
        <stp>CBLDX US Equity</stp>
        <stp>CUST_TRR_RETURN_ANNUALIZED</stp>
        <stp>[grid1_3gmijm1c.xlsx]Worksheet!R162C3</stp>
        <stp>CUST_TRR_START_DT=20200626</stp>
        <stp>CUST_TRR_END_DT=20201226</stp>
        <tr r="C162" s="2"/>
      </tp>
      <tp>
        <v>-2.5726079999999998</v>
        <stp/>
        <stp>##V3_BDPV12</stp>
        <stp>NTHEX US Equity</stp>
        <stp>LAST_CLOSE_TRR_YTD</stp>
        <stp>[grid1_3gmijm1c.xlsx]Worksheet!R6C6</stp>
        <tr r="F6" s="2"/>
      </tp>
      <tp>
        <v>7.0003130000000002</v>
        <stp/>
        <stp>##V3_BDPV12</stp>
        <stp>BXHAX US Equity</stp>
        <stp>LAST_CLOSE_TRR_5YR</stp>
        <stp>[grid1_3gmijm1c.xlsx]Worksheet!R70C9</stp>
        <tr r="I70" s="2"/>
      </tp>
      <tp>
        <v>4.033442</v>
        <stp/>
        <stp>##V3_BDPV12</stp>
        <stp>BXHAX US Equity</stp>
        <stp>LAST_CLOSE_TRR_3YR</stp>
        <stp>[grid1_3gmijm1c.xlsx]Worksheet!R70C8</stp>
        <tr r="H70" s="2"/>
      </tp>
      <tp>
        <v>2.759328</v>
        <stp/>
        <stp>##V3_BDPV12</stp>
        <stp>BXHAX US Equity</stp>
        <stp>LAST_CLOSE_TRR_1YR</stp>
        <stp>[grid1_3gmijm1c.xlsx]Worksheet!R70C7</stp>
        <tr r="G70" s="2"/>
      </tp>
      <tp>
        <v>6.703837</v>
        <stp/>
        <stp>##V3_BDPV12</stp>
        <stp>FEHAX US Equity</stp>
        <stp>LAST_CLOSE_TRR_YTD</stp>
        <stp>[grid1_3gmijm1c.xlsx]Worksheet!R69C6</stp>
        <tr r="F69" s="2"/>
      </tp>
      <tp>
        <v>2.5745879999999999</v>
        <stp/>
        <stp>##V3_BDPV12</stp>
        <stp>MDHAX US Equity</stp>
        <stp>LAST_CLOSE_TRR_YTD</stp>
        <stp>[grid1_3gmijm1c.xlsx]Worksheet!R22C6</stp>
        <tr r="F22" s="2"/>
      </tp>
      <tp>
        <v>6.7469929999999998</v>
        <stp/>
        <stp>##V3_BDPV12</stp>
        <stp>DPLTX US Equity</stp>
        <stp>LAST_CLOSE_TRR_5YR</stp>
        <stp>[grid1_3gmijm1c.xlsx]Worksheet!R56C9</stp>
        <tr r="I56" s="2"/>
      </tp>
      <tp>
        <v>4.6373439999999997</v>
        <stp/>
        <stp>##V3_BDPV12</stp>
        <stp>DPLTX US Equity</stp>
        <stp>LAST_CLOSE_TRR_3YR</stp>
        <stp>[grid1_3gmijm1c.xlsx]Worksheet!R56C8</stp>
        <tr r="H56" s="2"/>
      </tp>
      <tp>
        <v>4.2502149999999999</v>
        <stp/>
        <stp>##V3_BDPV12</stp>
        <stp>DPLTX US Equity</stp>
        <stp>LAST_CLOSE_TRR_1YR</stp>
        <stp>[grid1_3gmijm1c.xlsx]Worksheet!R56C7</stp>
        <tr r="G56" s="2"/>
      </tp>
      <tp>
        <v>6.770035</v>
        <stp/>
        <stp>##V3_BDPV12</stp>
        <stp>SHHYX US Equity</stp>
        <stp>LAST_CLOSE_TRR_3MO</stp>
        <stp>[grid1_3gmijm1c.xlsx]Worksheet!R65C5</stp>
        <tr r="E65" s="2"/>
      </tp>
      <tp>
        <v>1.370479</v>
        <stp/>
        <stp>##V3_BDPV12</stp>
        <stp>SHHYX US Equity</stp>
        <stp>LAST_CLOSE_TRR_1MO</stp>
        <stp>[grid1_3gmijm1c.xlsx]Worksheet!R65C4</stp>
        <tr r="D65" s="2"/>
      </tp>
      <tp>
        <v>2.0678860000000001</v>
        <stp/>
        <stp>##V3_BDPV12</stp>
        <stp>SHOAX US Equity</stp>
        <stp>LAST_CLOSE_TRR_1MO</stp>
        <stp>[grid1_3gmijm1c.xlsx]Worksheet!R95C4</stp>
        <tr r="D95" s="2"/>
      </tp>
      <tp>
        <v>7.1208400000000003</v>
        <stp/>
        <stp>##V3_BDPV12</stp>
        <stp>SHOAX US Equity</stp>
        <stp>LAST_CLOSE_TRR_3MO</stp>
        <stp>[grid1_3gmijm1c.xlsx]Worksheet!R95C5</stp>
        <tr r="E95" s="2"/>
      </tp>
      <tp>
        <v>4.3023439999999997</v>
        <stp/>
        <stp>##V3_BDPV12</stp>
        <stp>ATIPX US Equity</stp>
        <stp>LAST_CLOSE_TRR_3YR</stp>
        <stp>[grid1_3gmijm1c.xlsx]Worksheet!R13C8</stp>
        <tr r="H13" s="2"/>
      </tp>
      <tp>
        <v>4.5680709999999998</v>
        <stp/>
        <stp>##V3_BDPV12</stp>
        <stp>ATIPX US Equity</stp>
        <stp>LAST_CLOSE_TRR_5YR</stp>
        <stp>[grid1_3gmijm1c.xlsx]Worksheet!R13C9</stp>
        <tr r="I13" s="2"/>
      </tp>
      <tp>
        <v>7.2865859999999998</v>
        <stp/>
        <stp>##V3_BDPV12</stp>
        <stp>ATIPX US Equity</stp>
        <stp>LAST_CLOSE_TRR_1YR</stp>
        <stp>[grid1_3gmijm1c.xlsx]Worksheet!R13C7</stp>
        <tr r="G13" s="2"/>
      </tp>
      <tp>
        <v>5.2231480000000001</v>
        <stp/>
        <stp>##V3_BDPV12</stp>
        <stp>FHYTX US Equity</stp>
        <stp>LAST_CLOSE_TRR_3YR</stp>
        <stp>[grid1_3gmijm1c.xlsx]Worksheet!R94C8</stp>
        <tr r="H94" s="2"/>
      </tp>
      <tp>
        <v>7.4237469999999997</v>
        <stp/>
        <stp>##V3_BDPV12</stp>
        <stp>FHYTX US Equity</stp>
        <stp>LAST_CLOSE_TRR_5YR</stp>
        <stp>[grid1_3gmijm1c.xlsx]Worksheet!R94C9</stp>
        <tr r="I94" s="2"/>
      </tp>
      <tp>
        <v>5.9470939999999999</v>
        <stp/>
        <stp>##V3_BDPV12</stp>
        <stp>FHYTX US Equity</stp>
        <stp>LAST_CLOSE_TRR_1YR</stp>
        <stp>[grid1_3gmijm1c.xlsx]Worksheet!R94C7</stp>
        <tr r="G94" s="2"/>
      </tp>
      <tp>
        <v>5.7303280000000001</v>
        <stp/>
        <stp>##V3_BDPV12</stp>
        <stp>PRHYX US Equity</stp>
        <stp>LAST_CLOSE_TRR_3MO</stp>
        <stp>[grid1_3gmijm1c.xlsx]Worksheet!R86C5</stp>
        <tr r="E86" s="2"/>
      </tp>
      <tp>
        <v>1.0929629999999999</v>
        <stp/>
        <stp>##V3_BDPV12</stp>
        <stp>PRHYX US Equity</stp>
        <stp>LAST_CLOSE_TRR_1MO</stp>
        <stp>[grid1_3gmijm1c.xlsx]Worksheet!R86C4</stp>
        <tr r="D86" s="2"/>
      </tp>
      <tp>
        <v>3.157413</v>
        <stp/>
        <stp>##V3_BDPV12</stp>
        <stp>BXIAX US Equity</stp>
        <stp>LAST_CLOSE_TRR_3YR</stp>
        <stp>[grid1_3gmijm1c.xlsx]Worksheet!R31C8</stp>
        <tr r="H31" s="2"/>
      </tp>
      <tp>
        <v>6.0270270000000004</v>
        <stp/>
        <stp>##V3_BDPV12</stp>
        <stp>BXIAX US Equity</stp>
        <stp>LAST_CLOSE_TRR_5YR</stp>
        <stp>[grid1_3gmijm1c.xlsx]Worksheet!R31C9</stp>
        <tr r="I31" s="2"/>
      </tp>
      <tp>
        <v>2.3836710000000001</v>
        <stp/>
        <stp>##V3_BDPV12</stp>
        <stp>BXIAX US Equity</stp>
        <stp>LAST_CLOSE_TRR_1YR</stp>
        <stp>[grid1_3gmijm1c.xlsx]Worksheet!R31C7</stp>
        <tr r="G31" s="2"/>
      </tp>
      <tp>
        <v>4.67638</v>
        <stp/>
        <stp>##V3_BDPV12</stp>
        <stp>JHYAX US Equity</stp>
        <stp>LAST_CLOSE_TRR_YTD</stp>
        <stp>[grid1_3gmijm1c.xlsx]Worksheet!R64C6</stp>
        <tr r="F64" s="2"/>
      </tp>
      <tp>
        <v>4.1540119999999998</v>
        <stp/>
        <stp>##V3_BDPV12</stp>
        <stp>LHYAX US Equity</stp>
        <stp>LAST_CLOSE_TRR_YTD</stp>
        <stp>[grid1_3gmijm1c.xlsx]Worksheet!R92C6</stp>
        <tr r="F92" s="2"/>
      </tp>
      <tp>
        <v>4.3308280000000003</v>
        <stp/>
        <stp>##V3_BDPV12</stp>
        <stp>MHITX US Equity</stp>
        <stp>LAST_CLOSE_TRR_YTD</stp>
        <stp>[grid1_3gmijm1c.xlsx]Worksheet!R63C6</stp>
        <tr r="F63" s="2"/>
      </tp>
      <tp>
        <v>5.6122550000000002</v>
        <stp/>
        <stp>##V3_BDPV12</stp>
        <stp>PHDAX US Equity</stp>
        <stp>LAST_CLOSE_TRR_3MO</stp>
        <stp>[grid1_3gmijm1c.xlsx]Worksheet!R67C5</stp>
        <tr r="E67" s="2"/>
      </tp>
      <tp>
        <v>1.030845</v>
        <stp/>
        <stp>##V3_BDPV12</stp>
        <stp>PHDAX US Equity</stp>
        <stp>LAST_CLOSE_TRR_1MO</stp>
        <stp>[grid1_3gmijm1c.xlsx]Worksheet!R67C4</stp>
        <tr r="D67" s="2"/>
      </tp>
      <tp>
        <v>5.7033509999999996</v>
        <stp/>
        <stp>##V3_BDPV12</stp>
        <stp>TIHYX US Equity</stp>
        <stp>LAST_CLOSE_TRR_3MO</stp>
        <stp>[grid1_3gmijm1c.xlsx]Worksheet!R83C5</stp>
        <tr r="E83" s="2"/>
      </tp>
      <tp>
        <v>1.1698999999999999</v>
        <stp/>
        <stp>##V3_BDPV12</stp>
        <stp>TIHYX US Equity</stp>
        <stp>LAST_CLOSE_TRR_1MO</stp>
        <stp>[grid1_3gmijm1c.xlsx]Worksheet!R83C4</stp>
        <tr r="D83" s="2"/>
      </tp>
      <tp>
        <v>6.548038</v>
        <stp/>
        <stp>##V3_BDPV12</stp>
        <stp>EKHAX US Equity</stp>
        <stp>LAST_CLOSE_TRR_5YR</stp>
        <stp>[grid1_3gmijm1c.xlsx]Worksheet!R46C9</stp>
        <tr r="I46" s="2"/>
      </tp>
      <tp>
        <v>4.414536</v>
        <stp/>
        <stp>##V3_BDPV12</stp>
        <stp>EKHAX US Equity</stp>
        <stp>LAST_CLOSE_TRR_3YR</stp>
        <stp>[grid1_3gmijm1c.xlsx]Worksheet!R46C8</stp>
        <tr r="H46" s="2"/>
      </tp>
      <tp>
        <v>4.8295839999999997</v>
        <stp/>
        <stp>##V3_BDPV12</stp>
        <stp>EKHAX US Equity</stp>
        <stp>LAST_CLOSE_TRR_1YR</stp>
        <stp>[grid1_3gmijm1c.xlsx]Worksheet!R46C7</stp>
        <tr r="G46" s="2"/>
      </tp>
      <tp>
        <v>4.6350920000000002</v>
        <stp/>
        <stp>##V3_BDPV12</stp>
        <stp>AHYVX US Equity</stp>
        <stp>LAST_CLOSE_TRR_3YR</stp>
        <stp>[grid1_3gmijm1c.xlsx]Worksheet!R52C8</stp>
        <tr r="H52" s="2"/>
      </tp>
      <tp>
        <v>6.6375260000000003</v>
        <stp/>
        <stp>##V3_BDPV12</stp>
        <stp>AHYVX US Equity</stp>
        <stp>LAST_CLOSE_TRR_5YR</stp>
        <stp>[grid1_3gmijm1c.xlsx]Worksheet!R52C9</stp>
        <tr r="I52" s="2"/>
      </tp>
      <tp>
        <v>5.066675</v>
        <stp/>
        <stp>##V3_BDPV12</stp>
        <stp>AHYVX US Equity</stp>
        <stp>LAST_CLOSE_TRR_1YR</stp>
        <stp>[grid1_3gmijm1c.xlsx]Worksheet!R52C7</stp>
        <tr r="G52" s="2"/>
      </tp>
      <tp>
        <v>5.0539160000000001</v>
        <stp/>
        <stp>##V3_BDPV12</stp>
        <stp>SPHIX US Equity</stp>
        <stp>LAST_CLOSE_TRR_3MO</stp>
        <stp>[grid1_3gmijm1c.xlsx]Worksheet!R84C5</stp>
        <tr r="E84" s="2"/>
      </tp>
      <tp>
        <v>0.82694219999999996</v>
        <stp/>
        <stp>##V3_BDPV12</stp>
        <stp>SPHIX US Equity</stp>
        <stp>LAST_CLOSE_TRR_1MO</stp>
        <stp>[grid1_3gmijm1c.xlsx]Worksheet!R84C4</stp>
        <tr r="D84" s="2"/>
      </tp>
      <tp>
        <v>4.9342949999999997</v>
        <stp/>
        <stp>##V3_BDPV12</stp>
        <stp>FDHAX US Equity</stp>
        <stp>LAST_CLOSE_TRR_5YR</stp>
        <stp>[grid1_3gmijm1c.xlsx]Worksheet!R15C9</stp>
        <tr r="I15" s="2"/>
      </tp>
      <tp>
        <v>9.7373890000000003</v>
        <stp/>
        <stp>##V3_BDPV12</stp>
        <stp>MRGIX US Equity</stp>
        <stp>LAST_CLOSE_TRR_YTD</stp>
        <stp>[grid1_3gmijm1c.xlsx]Worksheet!R23C6</stp>
        <tr r="F23" s="2"/>
      </tp>
      <tp>
        <v>3.815347</v>
        <stp/>
        <stp>##V3_BDPV12</stp>
        <stp>FDHAX US Equity</stp>
        <stp>LAST_CLOSE_TRR_3YR</stp>
        <stp>[grid1_3gmijm1c.xlsx]Worksheet!R15C8</stp>
        <tr r="H15" s="2"/>
      </tp>
      <tp>
        <v>3.0591550000000001</v>
        <stp/>
        <stp>##V3_BDPV12</stp>
        <stp>FDHAX US Equity</stp>
        <stp>LAST_CLOSE_TRR_1YR</stp>
        <stp>[grid1_3gmijm1c.xlsx]Worksheet!R15C7</stp>
        <tr r="G15" s="2"/>
      </tp>
      <tp>
        <v>6.7521649999999998</v>
        <stp/>
        <stp>##V3_BDPV12</stp>
        <stp>SHRIX US Equity</stp>
        <stp>LAST_CLOSE_TRR_YTD</stp>
        <stp>[grid1_3gmijm1c.xlsx]Worksheet!R8C6</stp>
        <tr r="F8" s="2"/>
      </tp>
      <tp>
        <v>2.597238E-2</v>
        <stp/>
        <stp>##V3_BDPV12</stp>
        <stp>FYAIX US Equity</stp>
        <stp>LAST_CLOSE_TRR_1YR</stp>
        <stp>[grid1_3gmijm1c.xlsx]Worksheet!R16C7</stp>
        <tr r="G16" s="2"/>
      </tp>
      <tp>
        <v>5.3337339999999998</v>
        <stp/>
        <stp>##V3_BDPV12</stp>
        <stp>HYFAX US Equity</stp>
        <stp>LAST_CLOSE_TRR_1YR</stp>
        <stp>[grid1_3gmijm1c.xlsx]Worksheet!R68C7</stp>
        <tr r="G68" s="2"/>
      </tp>
      <tp>
        <v>6.9447539999999996</v>
        <stp/>
        <stp>##V3_BDPV12</stp>
        <stp>HYFAX US Equity</stp>
        <stp>LAST_CLOSE_TRR_5YR</stp>
        <stp>[grid1_3gmijm1c.xlsx]Worksheet!R68C9</stp>
        <tr r="I68" s="2"/>
      </tp>
      <tp>
        <v>5.2881090000000004</v>
        <stp/>
        <stp>##V3_BDPV12</stp>
        <stp>HYFAX US Equity</stp>
        <stp>LAST_CLOSE_TRR_3YR</stp>
        <stp>[grid1_3gmijm1c.xlsx]Worksheet!R68C8</stp>
        <tr r="H68" s="2"/>
      </tp>
      <tp>
        <v>3.7196389999999999</v>
        <stp/>
        <stp>##V3_BDPV12</stp>
        <stp>FYAIX US Equity</stp>
        <stp>LAST_CLOSE_TRR_3YR</stp>
        <stp>[grid1_3gmijm1c.xlsx]Worksheet!R16C8</stp>
        <tr r="H16" s="2"/>
      </tp>
      <tp>
        <v>4.9979399999999998</v>
        <stp/>
        <stp>##V3_BDPV12</stp>
        <stp>FYAIX US Equity</stp>
        <stp>LAST_CLOSE_TRR_5YR</stp>
        <stp>[grid1_3gmijm1c.xlsx]Worksheet!R16C9</stp>
        <tr r="I16" s="2"/>
      </tp>
      <tp>
        <v>5.2172850000000004</v>
        <stp/>
        <stp>##V3_BDPV12</stp>
        <stp>ASHAX US Equity</stp>
        <stp>LAST_CLOSE_TRR_5YR</stp>
        <stp>[grid1_3gmijm1c.xlsx]Worksheet!R21C9</stp>
        <tr r="I21" s="2"/>
      </tp>
      <tp>
        <v>4.0234100000000002</v>
        <stp/>
        <stp>##V3_BDPV12</stp>
        <stp>ASHAX US Equity</stp>
        <stp>LAST_CLOSE_TRR_3YR</stp>
        <stp>[grid1_3gmijm1c.xlsx]Worksheet!R21C8</stp>
        <tr r="H21" s="2"/>
      </tp>
      <tp>
        <v>5.3624720000000003</v>
        <stp/>
        <stp>##V3_BDPV12</stp>
        <stp>ASHAX US Equity</stp>
        <stp>LAST_CLOSE_TRR_1YR</stp>
        <stp>[grid1_3gmijm1c.xlsx]Worksheet!R21C7</stp>
        <tr r="G21" s="2"/>
      </tp>
      <tp>
        <v>2.2529849999999998</v>
        <stp/>
        <stp>##V3_BDPV12</stp>
        <stp>WHGHX US Equity</stp>
        <stp>LAST_CLOSE_TRR_1MO</stp>
        <stp>[grid1_3gmijm1c.xlsx]Worksheet!R73C4</stp>
        <tr r="D73" s="2"/>
      </tp>
      <tp>
        <v>9.3152120000000007</v>
        <stp/>
        <stp>##V3_BDPV12</stp>
        <stp>WHGHX US Equity</stp>
        <stp>LAST_CLOSE_TRR_3MO</stp>
        <stp>[grid1_3gmijm1c.xlsx]Worksheet!R73C5</stp>
        <tr r="E73" s="2"/>
      </tp>
      <tp>
        <v>6.5410170000000001</v>
        <stp/>
        <stp>##V3_BDPV12</stp>
        <stp>ETHIX US Equity</stp>
        <stp>LAST_CLOSE_TRR_5YR</stp>
        <stp>[grid1_3gmijm1c.xlsx]Worksheet!R45C9</stp>
        <tr r="I45" s="2"/>
      </tp>
      <tp>
        <v>4.6833749999999998</v>
        <stp/>
        <stp>##V3_BDPV12</stp>
        <stp>ETHIX US Equity</stp>
        <stp>LAST_CLOSE_TRR_3YR</stp>
        <stp>[grid1_3gmijm1c.xlsx]Worksheet!R45C8</stp>
        <tr r="H45" s="2"/>
      </tp>
      <tp>
        <v>3.9030040000000001</v>
        <stp/>
        <stp>##V3_BDPV12</stp>
        <stp>ETHIX US Equity</stp>
        <stp>LAST_CLOSE_TRR_1YR</stp>
        <stp>[grid1_3gmijm1c.xlsx]Worksheet!R45C7</stp>
        <tr r="G45" s="2"/>
      </tp>
      <tp>
        <v>4.8931909999999998</v>
        <stp/>
        <stp>##V3_BDPV12</stp>
        <stp>BJBHX US Equity</stp>
        <stp>LAST_CLOSE_TRR_1YR</stp>
        <stp>[grid1_3gmijm1c.xlsx]Worksheet!R42C7</stp>
        <tr r="G42" s="2"/>
      </tp>
      <tp>
        <v>6.510243</v>
        <stp/>
        <stp>##V3_BDPV12</stp>
        <stp>BJBHX US Equity</stp>
        <stp>LAST_CLOSE_TRR_5YR</stp>
        <stp>[grid1_3gmijm1c.xlsx]Worksheet!R42C9</stp>
        <tr r="I42" s="2"/>
      </tp>
      <tp>
        <v>4.8318329999999996</v>
        <stp/>
        <stp>##V3_BDPV12</stp>
        <stp>BJBHX US Equity</stp>
        <stp>LAST_CLOSE_TRR_3YR</stp>
        <stp>[grid1_3gmijm1c.xlsx]Worksheet!R42C8</stp>
        <tr r="H42" s="2"/>
      </tp>
      <tp>
        <v>5.4878309999999999</v>
        <stp/>
        <stp>##V3_BDPV12</stp>
        <stp>FHIIX US Equity</stp>
        <stp>LAST_CLOSE_TRR_3YR</stp>
        <stp>[grid1_3gmijm1c.xlsx]Worksheet!R96C8</stp>
        <tr r="H96" s="2"/>
      </tp>
      <tp>
        <v>7.4435409999999997</v>
        <stp/>
        <stp>##V3_BDPV12</stp>
        <stp>FHIIX US Equity</stp>
        <stp>LAST_CLOSE_TRR_5YR</stp>
        <stp>[grid1_3gmijm1c.xlsx]Worksheet!R96C9</stp>
        <tr r="I96" s="2"/>
      </tp>
      <tp>
        <v>5.4722650000000002</v>
        <stp/>
        <stp>##V3_BDPV12</stp>
        <stp>FHIIX US Equity</stp>
        <stp>LAST_CLOSE_TRR_1YR</stp>
        <stp>[grid1_3gmijm1c.xlsx]Worksheet!R96C7</stp>
        <tr r="G96" s="2"/>
      </tp>
      <tp>
        <v>5.3538800000000002</v>
        <stp/>
        <stp>##V3_BDPV12</stp>
        <stp>HBYAX US Equity</stp>
        <stp>LAST_CLOSE_TRR_3YR</stp>
        <stp>[grid1_3gmijm1c.xlsx]Worksheet!R58C8</stp>
        <tr r="H58" s="2"/>
      </tp>
      <tp>
        <v>6.8238500000000002</v>
        <stp/>
        <stp>##V3_BDPV12</stp>
        <stp>HBYAX US Equity</stp>
        <stp>LAST_CLOSE_TRR_5YR</stp>
        <stp>[grid1_3gmijm1c.xlsx]Worksheet!R58C9</stp>
        <tr r="I58" s="2"/>
      </tp>
      <tp>
        <v>7.2202419999999998</v>
        <stp/>
        <stp>##V3_BDPV12</stp>
        <stp>HBYAX US Equity</stp>
        <stp>LAST_CLOSE_TRR_1YR</stp>
        <stp>[grid1_3gmijm1c.xlsx]Worksheet!R58C7</stp>
        <tr r="G58" s="2"/>
      </tp>
      <tp>
        <v>5.746518</v>
        <stp/>
        <stp>##V3_BDPV12</stp>
        <stp>HBIAX US Equity</stp>
        <stp>LAST_CLOSE_TRR_3YR</stp>
        <stp>[grid1_3gmijm1c.xlsx]Worksheet!R38C8</stp>
        <tr r="H38" s="2"/>
      </tp>
      <tp>
        <v>6.3031079999999999</v>
        <stp/>
        <stp>##V3_BDPV12</stp>
        <stp>HBIAX US Equity</stp>
        <stp>LAST_CLOSE_TRR_5YR</stp>
        <stp>[grid1_3gmijm1c.xlsx]Worksheet!R38C9</stp>
        <tr r="I38" s="2"/>
      </tp>
      <tp>
        <v>8.7876960000000004</v>
        <stp/>
        <stp>##V3_BDPV12</stp>
        <stp>HBIAX US Equity</stp>
        <stp>LAST_CLOSE_TRR_1YR</stp>
        <stp>[grid1_3gmijm1c.xlsx]Worksheet!R38C7</stp>
        <tr r="G38" s="2"/>
      </tp>
      <tp>
        <v>6.1905780000000004</v>
        <stp/>
        <stp>##V3_BDPV12</stp>
        <stp>PYHIX US Equity</stp>
        <stp>LAST_CLOSE_TRR_3MO</stp>
        <stp>[grid1_3gmijm1c.xlsx]Worksheet!R54C5</stp>
        <tr r="E54" s="2"/>
      </tp>
      <tp>
        <v>1.2958959999999999</v>
        <stp/>
        <stp>##V3_BDPV12</stp>
        <stp>PYHIX US Equity</stp>
        <stp>LAST_CLOSE_TRR_1MO</stp>
        <stp>[grid1_3gmijm1c.xlsx]Worksheet!R54C4</stp>
        <tr r="D54" s="2"/>
      </tp>
      <tp>
        <v>0.28531400000000001</v>
        <stp/>
        <stp>##V3_BDPV12</stp>
        <stp>FRFEX US Equity</stp>
        <stp>LAST_CLOSE_TRR_YTD</stp>
        <stp>[grid1_3gmijm1c.xlsx]Worksheet!R5C6</stp>
        <tr r="F5" s="2"/>
      </tp>
      <tp>
        <v>4.8403099999999997</v>
        <stp/>
        <stp>##V3_BDPV12</stp>
        <stp>INEAX US Equity</stp>
        <stp>LAST_CLOSE_TRR_YTD</stp>
        <stp>[grid1_3gmijm1c.xlsx]Worksheet!R55C6</stp>
        <tr r="F55" s="2"/>
      </tp>
      <tp>
        <v>5.5000929999999997</v>
        <stp/>
        <stp>##V3_BDPV12</stp>
        <stp>KHYAX US Equity</stp>
        <stp>LAST_CLOSE_TRR_YTD</stp>
        <stp>[grid1_3gmijm1c.xlsx]Worksheet!R97C6</stp>
        <tr r="F97" s="2"/>
      </tp>
      <tp>
        <v>3.5661019999999999</v>
        <stp/>
        <stp>##V3_BDPV12</stp>
        <stp>MKHCX US Equity</stp>
        <stp>LAST_CLOSE_TRR_YTD</stp>
        <stp>[grid1_3gmijm1c.xlsx]Worksheet!R41C6</stp>
        <tr r="F41" s="2"/>
      </tp>
      <tp>
        <v>3.1745739999999998</v>
        <stp/>
        <stp>##V3_BDPV12</stp>
        <stp>FSBHX US Equity</stp>
        <stp>LAST_CLOSE_TRR_1YR</stp>
        <stp>[grid1_3gmijm1c.xlsx]Worksheet!R17C7</stp>
        <tr r="G17" s="2"/>
      </tp>
      <tp>
        <v>4.7720149999999997</v>
        <stp/>
        <stp>##V3_BDPV12</stp>
        <stp>ESHAX US Equity</stp>
        <stp>LAST_CLOSE_TRR_5YR</stp>
        <stp>[grid1_3gmijm1c.xlsx]Worksheet!R14C9</stp>
        <tr r="I14" s="2"/>
      </tp>
      <tp>
        <v>3.443022</v>
        <stp/>
        <stp>##V3_BDPV12</stp>
        <stp>ESHAX US Equity</stp>
        <stp>LAST_CLOSE_TRR_3YR</stp>
        <stp>[grid1_3gmijm1c.xlsx]Worksheet!R14C8</stp>
        <tr r="H14" s="2"/>
      </tp>
      <tp>
        <v>2.6537950000000001</v>
        <stp/>
        <stp>##V3_BDPV12</stp>
        <stp>ESHAX US Equity</stp>
        <stp>LAST_CLOSE_TRR_1YR</stp>
        <stp>[grid1_3gmijm1c.xlsx]Worksheet!R14C7</stp>
        <tr r="G14" s="2"/>
      </tp>
      <tp>
        <v>4.9969390000000002</v>
        <stp/>
        <stp>##V3_BDPV12</stp>
        <stp>FSBHX US Equity</stp>
        <stp>LAST_CLOSE_TRR_5YR</stp>
        <stp>[grid1_3gmijm1c.xlsx]Worksheet!R17C9</stp>
        <tr r="I17" s="2"/>
      </tp>
      <tp>
        <v>3.3422770000000002</v>
        <stp/>
        <stp>##V3_BDPV12</stp>
        <stp>FSBHX US Equity</stp>
        <stp>LAST_CLOSE_TRR_3YR</stp>
        <stp>[grid1_3gmijm1c.xlsx]Worksheet!R17C8</stp>
        <tr r="H17" s="2"/>
      </tp>
      <tp>
        <v>4.2068050000000001</v>
        <stp/>
        <stp>##V3_BDPV12</stp>
        <stp>CWFIX US Equity</stp>
        <stp>LAST_CLOSE_TRR_1YR</stp>
        <stp>[grid1_3gmijm1c.xlsx]Worksheet!R12C7</stp>
        <tr r="G12" s="2"/>
      </tp>
      <tp>
        <v>4.5002089999999999</v>
        <stp/>
        <stp>##V3_BDPV12</stp>
        <stp>CWFIX US Equity</stp>
        <stp>LAST_CLOSE_TRR_5YR</stp>
        <stp>[grid1_3gmijm1c.xlsx]Worksheet!R12C9</stp>
        <tr r="I12" s="2"/>
      </tp>
      <tp>
        <v>3.9561199999999999</v>
        <stp/>
        <stp>##V3_BDPV12</stp>
        <stp>CWFIX US Equity</stp>
        <stp>LAST_CLOSE_TRR_3YR</stp>
        <stp>[grid1_3gmijm1c.xlsx]Worksheet!R12C8</stp>
        <tr r="H12" s="2"/>
      </tp>
      <tp>
        <v>4.7384630000000003</v>
        <stp/>
        <stp>##V3_BDPV12</stp>
        <stp>EVIBX US Equity</stp>
        <stp>LAST_CLOSE_TRR_3YR</stp>
        <stp>[grid1_3gmijm1c.xlsx]Worksheet!R44C8</stp>
        <tr r="H44" s="2"/>
      </tp>
      <tp>
        <v>6.5328530000000002</v>
        <stp/>
        <stp>##V3_BDPV12</stp>
        <stp>EVIBX US Equity</stp>
        <stp>LAST_CLOSE_TRR_5YR</stp>
        <stp>[grid1_3gmijm1c.xlsx]Worksheet!R44C9</stp>
        <tr r="I44" s="2"/>
      </tp>
      <tp>
        <v>4.2049779999999997</v>
        <stp/>
        <stp>##V3_BDPV12</stp>
        <stp>EVIBX US Equity</stp>
        <stp>LAST_CLOSE_TRR_1YR</stp>
        <stp>[grid1_3gmijm1c.xlsx]Worksheet!R44C7</stp>
        <tr r="G44" s="2"/>
      </tp>
      <tp>
        <v>1.251387</v>
        <stp/>
        <stp>##V3_BDPV12</stp>
        <stp>THYUX US Equity</stp>
        <stp>LAST_CLOSE_TRR_1MO</stp>
        <stp>[grid1_3gmijm1c.xlsx]Worksheet!R51C4</stp>
        <tr r="D51" s="2"/>
      </tp>
      <tp>
        <v>6.134938</v>
        <stp/>
        <stp>##V3_BDPV12</stp>
        <stp>THYUX US Equity</stp>
        <stp>LAST_CLOSE_TRR_3MO</stp>
        <stp>[grid1_3gmijm1c.xlsx]Worksheet!R51C5</stp>
        <tr r="E51" s="2"/>
      </tp>
      <tp>
        <v>1.215144</v>
        <stp/>
        <stp>##V3_BDPV12</stp>
        <stp>SHIAX US Equity</stp>
        <stp>LAST_CLOSE_TRR_1MO</stp>
        <stp>[grid1_3gmijm1c.xlsx]Worksheet!R36C4</stp>
        <tr r="D36" s="2"/>
      </tp>
      <tp>
        <v>6.1490330000000002</v>
        <stp/>
        <stp>##V3_BDPV12</stp>
        <stp>SHIAX US Equity</stp>
        <stp>LAST_CLOSE_TRR_3MO</stp>
        <stp>[grid1_3gmijm1c.xlsx]Worksheet!R36C5</stp>
        <tr r="E36" s="2"/>
      </tp>
      <tp>
        <v>3.6228549999999999</v>
        <stp/>
        <stp>##V3_BDPV12</stp>
        <stp>HYSAX US Equity</stp>
        <stp>LAST_CLOSE_TRR_YTD</stp>
        <stp>[grid1_3gmijm1c.xlsx]Worksheet!R24C6</stp>
        <tr r="F24" s="2"/>
      </tp>
      <tp>
        <v>4.5784539999999998</v>
        <stp/>
        <stp>##V3_BDPV12</stp>
        <stp>ICMUX US Equity</stp>
        <stp>LAST_CLOSE_TRR_3YR</stp>
        <stp>[grid1_3gmijm1c.xlsx]Worksheet!R18C8</stp>
        <tr r="H18" s="2"/>
      </tp>
      <tp>
        <v>5.0219449999999997</v>
        <stp/>
        <stp>##V3_BDPV12</stp>
        <stp>ICMUX US Equity</stp>
        <stp>LAST_CLOSE_TRR_5YR</stp>
        <stp>[grid1_3gmijm1c.xlsx]Worksheet!R18C9</stp>
        <tr r="I18" s="2"/>
      </tp>
      <tp>
        <v>8.6797599999999999</v>
        <stp/>
        <stp>##V3_BDPV12</stp>
        <stp>ICMUX US Equity</stp>
        <stp>LAST_CLOSE_TRR_1YR</stp>
        <stp>[grid1_3gmijm1c.xlsx]Worksheet!R18C7</stp>
        <tr r="G18" s="2"/>
      </tp>
      <tp>
        <v>7.4685300000000003</v>
        <stp/>
        <stp>##V3_BDPV12</stp>
        <stp>HAHAX US Equity</stp>
        <stp>LAST_CLOSE_TRR_5YR</stp>
        <stp>[grid1_3gmijm1c.xlsx]Worksheet!R99C9</stp>
        <tr r="I99" s="2"/>
      </tp>
      <tp>
        <v>5.7210599999999996</v>
        <stp/>
        <stp>##V3_BDPV12</stp>
        <stp>HAHAX US Equity</stp>
        <stp>LAST_CLOSE_TRR_3YR</stp>
        <stp>[grid1_3gmijm1c.xlsx]Worksheet!R99C8</stp>
        <tr r="H99" s="2"/>
      </tp>
      <tp>
        <v>6.3390750000000002</v>
        <stp/>
        <stp>##V3_BDPV12</stp>
        <stp>HAHAX US Equity</stp>
        <stp>LAST_CLOSE_TRR_1YR</stp>
        <stp>[grid1_3gmijm1c.xlsx]Worksheet!R99C7</stp>
        <tr r="G99" s="2"/>
      </tp>
      <tp>
        <v>2.6890619999999998</v>
        <stp/>
        <stp>##V3_BDPV12</stp>
        <stp>AGDAX US Equity</stp>
        <stp>LAST_CLOSE_TRR_1YR</stp>
        <stp>[grid1_3gmijm1c.xlsx]Worksheet!R40C7</stp>
        <tr r="G40" s="2"/>
      </tp>
      <tp>
        <v>6.4600619999999997</v>
        <stp/>
        <stp>##V3_BDPV12</stp>
        <stp>AGDAX US Equity</stp>
        <stp>LAST_CLOSE_TRR_5YR</stp>
        <stp>[grid1_3gmijm1c.xlsx]Worksheet!R40C9</stp>
        <tr r="I40" s="2"/>
      </tp>
      <tp>
        <v>3.2086459999999999</v>
        <stp/>
        <stp>##V3_BDPV12</stp>
        <stp>AGDAX US Equity</stp>
        <stp>LAST_CLOSE_TRR_3YR</stp>
        <stp>[grid1_3gmijm1c.xlsx]Worksheet!R40C8</stp>
        <tr r="H40" s="2"/>
      </tp>
      <tp>
        <v>2.8142510000000001</v>
        <stp/>
        <stp>##V3_BDPV12</stp>
        <stp>MSYIX US Equity</stp>
        <stp>LAST_CLOSE_TRR_YTD</stp>
        <stp>[grid1_3gmijm1c.xlsx]Worksheet!R91C6</stp>
        <tr r="F91" s="2"/>
      </tp>
      <tp>
        <v>5.3857619999999997</v>
        <stp/>
        <stp>##V3_BDPV12</stp>
        <stp>NHFIX US Equity</stp>
        <stp>LAST_CLOSE_TRR_YTD</stp>
        <stp>[grid1_3gmijm1c.xlsx]Worksheet!R75C6</stp>
        <tr r="F75" s="2"/>
      </tp>
      <tp>
        <v>3.0162640000000001</v>
        <stp/>
        <stp>##V3_BDPV12</stp>
        <stp>IHIYX US Equity</stp>
        <stp>LAST_CLOSE_TRR_YTD</stp>
        <stp>[grid1_3gmijm1c.xlsx]Worksheet!R62C6</stp>
        <tr r="F62" s="2"/>
      </tp>
      <tp>
        <v>6.8494219999999997</v>
        <stp/>
        <stp>##V3_BDPV12</stp>
        <stp>GSHAX US Equity</stp>
        <stp>LAST_CLOSE_TRR_5YR</stp>
        <stp>[grid1_3gmijm1c.xlsx]Worksheet!R61C9</stp>
        <tr r="I61" s="2"/>
      </tp>
      <tp>
        <v>5.0372890000000003</v>
        <stp/>
        <stp>##V3_BDPV12</stp>
        <stp>GSHAX US Equity</stp>
        <stp>LAST_CLOSE_TRR_3YR</stp>
        <stp>[grid1_3gmijm1c.xlsx]Worksheet!R61C8</stp>
        <tr r="H61" s="2"/>
      </tp>
      <tp>
        <v>4.8600969999999997</v>
        <stp/>
        <stp>##V3_BDPV12</stp>
        <stp>GSHAX US Equity</stp>
        <stp>LAST_CLOSE_TRR_1YR</stp>
        <stp>[grid1_3gmijm1c.xlsx]Worksheet!R61C7</stp>
        <tr r="G61" s="2"/>
      </tp>
      <tp>
        <v>1.575639</v>
        <stp/>
        <stp>##V3_BDPV12</stp>
        <stp>THYCX US Equity</stp>
        <stp>LAST_CLOSE_TRR_1MO</stp>
        <stp>[grid1_3gmijm1c.xlsx]Worksheet!R26C4</stp>
        <tr r="D26" s="2"/>
      </tp>
      <tp>
        <v>6.215522</v>
        <stp/>
        <stp>##V3_BDPV12</stp>
        <stp>THYCX US Equity</stp>
        <stp>LAST_CLOSE_TRR_3MO</stp>
        <stp>[grid1_3gmijm1c.xlsx]Worksheet!R26C5</stp>
        <tr r="E26" s="2"/>
      </tp>
      <tp>
        <v>2.1506759999999998</v>
        <stp/>
        <stp>##V3_BDPV12</stp>
        <stp>LBHYX US Equity</stp>
        <stp>LAST_CLOSE_TRR_YTD</stp>
        <stp>[grid1_3gmijm1c.xlsx]Worksheet!R37C6</stp>
        <tr r="F37" s="2"/>
      </tp>
      <tp>
        <v>2.0678559999999999</v>
        <stp/>
        <stp>##V3_BDPV12</stp>
        <stp>RIMOX US Equity</stp>
        <stp>LAST_CLOSE_TRR_1MO</stp>
        <stp>[grid1_3gmijm1c.xlsx]Worksheet!R20C4</stp>
        <tr r="D20" s="2"/>
      </tp>
      <tp>
        <v>5.815588</v>
        <stp/>
        <stp>##V3_BDPV12</stp>
        <stp>RIMOX US Equity</stp>
        <stp>LAST_CLOSE_TRR_3MO</stp>
        <stp>[grid1_3gmijm1c.xlsx]Worksheet!R20C5</stp>
        <tr r="E20" s="2"/>
      </tp>
      <tp>
        <v>0.90183639999999998</v>
        <stp/>
        <stp>##V3_BDPV12</stp>
        <stp>VWEHX US Equity</stp>
        <stp>LAST_CLOSE_TRR_1MO</stp>
        <stp>[grid1_3gmijm1c.xlsx]Worksheet!R74C4</stp>
        <tr r="D74" s="2"/>
      </tp>
      <tp>
        <v>4.830057</v>
        <stp/>
        <stp>##V3_BDPV12</stp>
        <stp>VWEHX US Equity</stp>
        <stp>LAST_CLOSE_TRR_3MO</stp>
        <stp>[grid1_3gmijm1c.xlsx]Worksheet!R74C5</stp>
        <tr r="E74" s="2"/>
      </tp>
      <tp>
        <v>5.4197600000000001</v>
        <stp/>
        <stp>##V3_BDPV12</stp>
        <stp>DHOAX US Equity</stp>
        <stp>LAST_CLOSE_TRR_3YR</stp>
        <stp>[grid1_3gmijm1c.xlsx]Worksheet!R82C8</stp>
        <tr r="H82" s="2"/>
      </tp>
      <tp>
        <v>7.2719800000000001</v>
        <stp/>
        <stp>##V3_BDPV12</stp>
        <stp>DHOAX US Equity</stp>
        <stp>LAST_CLOSE_TRR_5YR</stp>
        <stp>[grid1_3gmijm1c.xlsx]Worksheet!R82C9</stp>
        <tr r="I82" s="2"/>
      </tp>
      <tp>
        <v>5.0695499999999996</v>
        <stp/>
        <stp>##V3_BDPV12</stp>
        <stp>FHIFX US Equity</stp>
        <stp>LAST_CLOSE_TRR_3YR</stp>
        <stp>[grid1_3gmijm1c.xlsx]Worksheet!R50C8</stp>
        <tr r="H50" s="2"/>
      </tp>
      <tp>
        <v>6.6295599999999997</v>
        <stp/>
        <stp>##V3_BDPV12</stp>
        <stp>FHIFX US Equity</stp>
        <stp>LAST_CLOSE_TRR_5YR</stp>
        <stp>[grid1_3gmijm1c.xlsx]Worksheet!R50C9</stp>
        <tr r="I50" s="2"/>
      </tp>
      <tp>
        <v>3.8211379999999999</v>
        <stp/>
        <stp>##V3_BDPV12</stp>
        <stp>FHIFX US Equity</stp>
        <stp>LAST_CLOSE_TRR_1YR</stp>
        <stp>[grid1_3gmijm1c.xlsx]Worksheet!R50C7</stp>
        <tr r="G50" s="2"/>
      </tp>
      <tp>
        <v>6.6400050000000004</v>
        <stp/>
        <stp>##V3_BDPV12</stp>
        <stp>DHOAX US Equity</stp>
        <stp>LAST_CLOSE_TRR_1YR</stp>
        <stp>[grid1_3gmijm1c.xlsx]Worksheet!R82C7</stp>
        <tr r="G82" s="2"/>
      </tp>
      <tp>
        <v>7.179468</v>
        <stp/>
        <stp>##V3_BDPV12</stp>
        <stp>USHYX US Equity</stp>
        <stp>LAST_CLOSE_TRR_3MO</stp>
        <stp>[grid1_3gmijm1c.xlsx]Worksheet!R87C5</stp>
        <tr r="E87" s="2"/>
      </tp>
      <tp>
        <v>1.6749590000000001</v>
        <stp/>
        <stp>##V3_BDPV12</stp>
        <stp>USHYX US Equity</stp>
        <stp>LAST_CLOSE_TRR_1MO</stp>
        <stp>[grid1_3gmijm1c.xlsx]Worksheet!R87C4</stp>
        <tr r="D87" s="2"/>
      </tp>
      <tp>
        <v>5.8305550000000004</v>
        <stp/>
        <stp>##V3_BDPV12</stp>
        <stp>AMHYX US Equity</stp>
        <stp>LAST_CLOSE_TRR_5YR</stp>
        <stp>[grid1_3gmijm1c.xlsx]Worksheet!R27C9</stp>
        <tr r="I27" s="2"/>
      </tp>
      <tp>
        <v>4.0889959999999999</v>
        <stp/>
        <stp>##V3_BDPV12</stp>
        <stp>AMHYX US Equity</stp>
        <stp>LAST_CLOSE_TRR_3YR</stp>
        <stp>[grid1_3gmijm1c.xlsx]Worksheet!R27C8</stp>
        <tr r="H27" s="2"/>
      </tp>
      <tp>
        <v>5.9980330000000004</v>
        <stp/>
        <stp>##V3_BDPV12</stp>
        <stp>TPHAX US Equity</stp>
        <stp>LAST_CLOSE_TRR_3MO</stp>
        <stp>[grid1_3gmijm1c.xlsx]Worksheet!R66C5</stp>
        <tr r="E66" s="2"/>
      </tp>
      <tp>
        <v>1.884163</v>
        <stp/>
        <stp>##V3_BDPV12</stp>
        <stp>TPHAX US Equity</stp>
        <stp>LAST_CLOSE_TRR_1MO</stp>
        <stp>[grid1_3gmijm1c.xlsx]Worksheet!R66C4</stp>
        <tr r="D66" s="2"/>
      </tp>
      <tp>
        <v>3.1307640000000001</v>
        <stp/>
        <stp>##V3_BDPV12</stp>
        <stp>AMHYX US Equity</stp>
        <stp>LAST_CLOSE_TRR_1YR</stp>
        <stp>[grid1_3gmijm1c.xlsx]Worksheet!R27C7</stp>
        <tr r="G27" s="2"/>
      </tp>
      <tp>
        <v>4.269317</v>
        <stp/>
        <stp>##V3_BDPV12</stp>
        <stp>NCOAX US Equity</stp>
        <stp>LAST_CLOSE_TRR_3YR</stp>
        <stp>[grid1_3gmijm1c.xlsx]Worksheet!R98C8</stp>
        <tr r="H98" s="2"/>
      </tp>
      <tp>
        <v>7.4636069999999997</v>
        <stp/>
        <stp>##V3_BDPV12</stp>
        <stp>NCOAX US Equity</stp>
        <stp>LAST_CLOSE_TRR_5YR</stp>
        <stp>[grid1_3gmijm1c.xlsx]Worksheet!R98C9</stp>
        <tr r="I98" s="2"/>
      </tp>
      <tp>
        <v>5.5637850000000002</v>
        <stp/>
        <stp>##V3_BDPV12</stp>
        <stp>CCHYX US Equity</stp>
        <stp>LAST_CLOSE_TRR_5YR</stp>
        <stp>[grid1_3gmijm1c.xlsx]Worksheet!R25C9</stp>
        <tr r="I25" s="2"/>
      </tp>
      <tp>
        <v>6.0926359999999997</v>
        <stp/>
        <stp>##V3_BDPV12</stp>
        <stp>DCHYX US Equity</stp>
        <stp>LAST_CLOSE_TRR_5YR</stp>
        <stp>[grid1_3gmijm1c.xlsx]Worksheet!R32C9</stp>
        <tr r="I32" s="2"/>
      </tp>
      <tp>
        <v>3.8203640000000001</v>
        <stp/>
        <stp>##V3_BDPV12</stp>
        <stp>CCHYX US Equity</stp>
        <stp>LAST_CLOSE_TRR_3YR</stp>
        <stp>[grid1_3gmijm1c.xlsx]Worksheet!R25C8</stp>
        <tr r="H25" s="2"/>
      </tp>
      <tp>
        <v>4.7537039999999999</v>
        <stp/>
        <stp>##V3_BDPV12</stp>
        <stp>DCHYX US Equity</stp>
        <stp>LAST_CLOSE_TRR_3YR</stp>
        <stp>[grid1_3gmijm1c.xlsx]Worksheet!R32C8</stp>
        <tr r="H32" s="2"/>
      </tp>
      <tp>
        <v>3.7902070000000001</v>
        <stp/>
        <stp>##V3_BDPV12</stp>
        <stp>CCHYX US Equity</stp>
        <stp>LAST_CLOSE_TRR_1YR</stp>
        <stp>[grid1_3gmijm1c.xlsx]Worksheet!R25C7</stp>
        <tr r="G25" s="2"/>
      </tp>
      <tp>
        <v>6.2777649999999996</v>
        <stp/>
        <stp>##V3_BDPV12</stp>
        <stp>DCHYX US Equity</stp>
        <stp>LAST_CLOSE_TRR_1YR</stp>
        <stp>[grid1_3gmijm1c.xlsx]Worksheet!R32C7</stp>
        <tr r="G32" s="2"/>
      </tp>
      <tp>
        <v>1.489053</v>
        <stp/>
        <stp>##V3_BDPV12</stp>
        <stp>NCOAX US Equity</stp>
        <stp>LAST_CLOSE_TRR_1YR</stp>
        <stp>[grid1_3gmijm1c.xlsx]Worksheet!R98C7</stp>
        <tr r="G98" s="2"/>
      </tp>
      <tp>
        <v>2.9951180000000002</v>
        <stp/>
        <stp>##V3_BDPV12</stp>
        <stp>HWHIX US Equity</stp>
        <stp>LAST_CLOSE_TRR_YTD</stp>
        <stp>[grid1_3gmijm1c.xlsx]Worksheet!R43C6</stp>
        <tr r="F43" s="2"/>
      </tp>
      <tp>
        <v>1.3295330000000001</v>
        <stp/>
        <stp>##V3_BDPV12</stp>
        <stp>RBTRX US Equity</stp>
        <stp>LAST_CLOSE_TRR_3MO</stp>
        <stp>[grid1_3gmijm1c.xlsx]Worksheet!R11C5</stp>
        <tr r="E11" s="2"/>
      </tp>
      <tp>
        <v>0.30393039999999999</v>
        <stp/>
        <stp>##V3_BDPV12</stp>
        <stp>RBTRX US Equity</stp>
        <stp>LAST_CLOSE_TRR_1MO</stp>
        <stp>[grid1_3gmijm1c.xlsx]Worksheet!R11C4</stp>
        <tr r="D11" s="2"/>
      </tp>
      <tp>
        <v>3.8170799999999998</v>
        <stp/>
        <stp>##V3_BDPV12</stp>
        <stp>JHHBX US Equity</stp>
        <stp>LAST_CLOSE_TRR_YTD</stp>
        <stp>[grid1_3gmijm1c.xlsx]Worksheet!R80C6</stp>
        <tr r="F80" s="2"/>
      </tp>
      <tp>
        <v>9.1920800000000007</v>
        <stp/>
        <stp>##V3_BDPV12</stp>
        <stp>BUFHX US Equity</stp>
        <stp>LAST_CLOSE_TRR_1YR</stp>
        <stp>[grid1_3gmijm1c.xlsx]Worksheet!R35C7</stp>
        <tr r="G35" s="2"/>
      </tp>
      <tp>
        <v>6.1617259999999998</v>
        <stp/>
        <stp>##V3_BDPV12</stp>
        <stp>BUFHX US Equity</stp>
        <stp>LAST_CLOSE_TRR_5YR</stp>
        <stp>[grid1_3gmijm1c.xlsx]Worksheet!R35C9</stp>
        <tr r="I35" s="2"/>
      </tp>
      <tp>
        <v>6.1793680000000002</v>
        <stp/>
        <stp>##V3_BDPV12</stp>
        <stp>BUFHX US Equity</stp>
        <stp>LAST_CLOSE_TRR_3YR</stp>
        <stp>[grid1_3gmijm1c.xlsx]Worksheet!R35C8</stp>
        <tr r="H35" s="2"/>
      </tp>
      <tp>
        <v>4.1068410000000002</v>
        <stp/>
        <stp>##V3_BDPV12</stp>
        <stp>OHYFX US Equity</stp>
        <stp>LAST_CLOSE_TRR_3YR</stp>
        <stp>[grid1_3gmijm1c.xlsx]Worksheet!R48C8</stp>
        <tr r="H48" s="2"/>
      </tp>
      <tp>
        <v>6.5496179999999997</v>
        <stp/>
        <stp>##V3_BDPV12</stp>
        <stp>OHYFX US Equity</stp>
        <stp>LAST_CLOSE_TRR_5YR</stp>
        <stp>[grid1_3gmijm1c.xlsx]Worksheet!R48C9</stp>
        <tr r="I48" s="2"/>
      </tp>
      <tp>
        <v>2.418768</v>
        <stp/>
        <stp>##V3_BDPV12</stp>
        <stp>OHYFX US Equity</stp>
        <stp>LAST_CLOSE_TRR_1YR</stp>
        <stp>[grid1_3gmijm1c.xlsx]Worksheet!R48C7</stp>
        <tr r="G48" s="2"/>
      </tp>
      <tp>
        <v>4.9368489999999996</v>
        <stp/>
        <stp>##V3_BDPV12</stp>
        <stp>CYBIX US Equity</stp>
        <stp>LAST_CLOSE_TRR_YTD</stp>
        <stp>[grid1_3gmijm1c.xlsx]Worksheet!R49C6</stp>
        <tr r="F49" s="2"/>
      </tp>
      <tp>
        <v>3.5639970000000001</v>
        <stp/>
        <stp>##V3_BDPV12</stp>
        <stp>SSTHX US Equity</stp>
        <stp>LAST_CLOSE_TRR_3MO</stp>
        <stp>[grid1_3gmijm1c.xlsx]Worksheet!R10C5</stp>
        <tr r="E10" s="2"/>
      </tp>
      <tp>
        <v>0.90867849999999994</v>
        <stp/>
        <stp>##V3_BDPV12</stp>
        <stp>SSTHX US Equity</stp>
        <stp>LAST_CLOSE_TRR_1MO</stp>
        <stp>[grid1_3gmijm1c.xlsx]Worksheet!R10C4</stp>
        <tr r="D10" s="2"/>
      </tp>
      <tp>
        <v>23.45421</v>
        <stp/>
        <stp>##V3_BDPV12</stp>
        <stp>DXHYX US Equity</stp>
        <stp>CUST_TRR_RETURN_ANNUALIZED</stp>
        <stp>[grid1_3gmijm1c.xlsx]Worksheet!R152C3</stp>
        <stp>CUST_TRR_START_DT=20200626</stp>
        <stp>CUST_TRR_END_DT=20201226</stp>
        <tr r="C152" s="2"/>
      </tp>
      <tp>
        <v>19.17023</v>
        <stp/>
        <stp>##V3_BDPV12</stp>
        <stp>TRHYX US Equity</stp>
        <stp>CUST_TRR_RETURN_ANNUALIZED</stp>
        <stp>[grid1_3gmijm1c.xlsx]Worksheet!R118C3</stp>
        <stp>CUST_TRR_START_DT=20200626</stp>
        <stp>CUST_TRR_END_DT=20201226</stp>
        <tr r="C118" s="2"/>
      </tp>
      <tp>
        <v>3.4278430000000002</v>
        <stp/>
        <stp>##V3_BDPV12</stp>
        <stp>MPHAX US Equity</stp>
        <stp>LAST_CLOSE_TRR_YTD</stp>
        <stp>[grid1_3gmijm1c.xlsx]Worksheet!R57C6</stp>
        <tr r="F57" s="2"/>
      </tp>
      <tp>
        <v>2.9612949999999998</v>
        <stp/>
        <stp>##V3_BDPV12</stp>
        <stp>LSHIX US Equity</stp>
        <stp>LAST_CLOSE_TRR_YTD</stp>
        <stp>[grid1_3gmijm1c.xlsx]Worksheet!R76C6</stp>
        <tr r="F76" s="2"/>
      </tp>
      <tp>
        <v>6.722537</v>
        <stp/>
        <stp>##V3_BDPV12</stp>
        <stp>DDJCX US Equity</stp>
        <stp>LAST_CLOSE_TRR_5YR</stp>
        <stp>[grid1_3gmijm1c.xlsx]Worksheet!R53C9</stp>
        <tr r="I53" s="2"/>
      </tp>
      <tp>
        <v>3.0794779999999999</v>
        <stp/>
        <stp>##V3_BDPV12</stp>
        <stp>DDJCX US Equity</stp>
        <stp>LAST_CLOSE_TRR_3YR</stp>
        <stp>[grid1_3gmijm1c.xlsx]Worksheet!R53C8</stp>
        <tr r="H53" s="2"/>
      </tp>
      <tp>
        <v>6.8274980000000003</v>
        <stp/>
        <stp>##V3_BDPV12</stp>
        <stp>PYHRX US Equity</stp>
        <stp>LAST_CLOSE_TRR_3MO</stp>
        <stp>[grid1_3gmijm1c.xlsx]Worksheet!R93C5</stp>
        <tr r="E93" s="2"/>
      </tp>
      <tp>
        <v>3.143894</v>
        <stp/>
        <stp>##V3_BDPV12</stp>
        <stp>DDJCX US Equity</stp>
        <stp>LAST_CLOSE_TRR_1YR</stp>
        <stp>[grid1_3gmijm1c.xlsx]Worksheet!R53C7</stp>
        <tr r="G53" s="2"/>
      </tp>
      <tp>
        <v>1.7538069999999999</v>
        <stp/>
        <stp>##V3_BDPV12</stp>
        <stp>PYHRX US Equity</stp>
        <stp>LAST_CLOSE_TRR_1MO</stp>
        <stp>[grid1_3gmijm1c.xlsx]Worksheet!R93C4</stp>
        <tr r="D93" s="2"/>
      </tp>
      <tp>
        <v>0.79128690000000002</v>
        <stp/>
        <stp>##V3_BDPV12</stp>
        <stp>CHYAX US Equity</stp>
        <stp>LAST_CLOSE_TRR_YTD</stp>
        <stp>[grid1_3gmijm1c.xlsx]Worksheet!R4C6</stp>
        <tr r="F4" s="2"/>
      </tp>
      <tp>
        <v>5.881799</v>
        <stp/>
        <stp>##V3_BDPV12</stp>
        <stp>LZHYX US Equity</stp>
        <stp>LAST_CLOSE_TRR_5YR</stp>
        <stp>[grid1_3gmijm1c.xlsx]Worksheet!R28C9</stp>
        <tr r="I28" s="2"/>
      </tp>
      <tp>
        <v>4.8685289999999997</v>
        <stp/>
        <stp>##V3_BDPV12</stp>
        <stp>LZHYX US Equity</stp>
        <stp>LAST_CLOSE_TRR_3YR</stp>
        <stp>[grid1_3gmijm1c.xlsx]Worksheet!R28C8</stp>
        <tr r="H28" s="2"/>
      </tp>
      <tp>
        <v>4.8181839999999996</v>
        <stp/>
        <stp>##V3_BDPV12</stp>
        <stp>LZHYX US Equity</stp>
        <stp>LAST_CLOSE_TRR_1YR</stp>
        <stp>[grid1_3gmijm1c.xlsx]Worksheet!R28C7</stp>
        <tr r="G28" s="2"/>
      </tp>
      <tp>
        <v>5.1402270000000003</v>
        <stp/>
        <stp>##V3_BDPV12</stp>
        <stp>IHYAX US Equity</stp>
        <stp>LAST_CLOSE_TRR_YTD</stp>
        <stp>[grid1_3gmijm1c.xlsx]Worksheet!R60C6</stp>
        <tr r="F60" s="2"/>
      </tp>
      <tp>
        <v>5.582751</v>
        <stp/>
        <stp>##V3_BDPV12</stp>
        <stp>NHINX US Equity</stp>
        <stp>LAST_CLOSE_TRR_YTD</stp>
        <stp>[grid1_3gmijm1c.xlsx]Worksheet!R77C6</stp>
        <tr r="F77" s="2"/>
      </tp>
      <tp>
        <v>1.3080769999999999</v>
        <stp/>
        <stp>##V3_BDPV12</stp>
        <stp>PHYTX US Equity</stp>
        <stp>LAST_CLOSE_TRR_1MO</stp>
        <stp>[grid1_3gmijm1c.xlsx]Worksheet!R90C4</stp>
        <tr r="D90" s="2"/>
      </tp>
      <tp>
        <v>6.3477589999999999</v>
        <stp/>
        <stp>##V3_BDPV12</stp>
        <stp>PHYTX US Equity</stp>
        <stp>LAST_CLOSE_TRR_3MO</stp>
        <stp>[grid1_3gmijm1c.xlsx]Worksheet!R90C5</stp>
        <tr r="E90" s="2"/>
      </tp>
      <tp>
        <v>3.8615370000000002</v>
        <stp/>
        <stp>##V3_BDPV12</stp>
        <stp>MHOBX US Equity</stp>
        <stp>LAST_CLOSE_TRR_3YR</stp>
        <stp>[grid1_3gmijm1c.xlsx]Worksheet!R29C8</stp>
        <tr r="H29" s="2"/>
      </tp>
      <tp>
        <v>5.9715619999999996</v>
        <stp/>
        <stp>##V3_BDPV12</stp>
        <stp>MHOBX US Equity</stp>
        <stp>LAST_CLOSE_TRR_5YR</stp>
        <stp>[grid1_3gmijm1c.xlsx]Worksheet!R29C9</stp>
        <tr r="I29" s="2"/>
      </tp>
      <tp>
        <v>3.0042909999999998</v>
        <stp/>
        <stp>##V3_BDPV12</stp>
        <stp>MHOBX US Equity</stp>
        <stp>LAST_CLOSE_TRR_1YR</stp>
        <stp>[grid1_3gmijm1c.xlsx]Worksheet!R29C7</stp>
        <tr r="G29" s="2"/>
      </tp>
      <tp>
        <v>7.0438460000000003</v>
        <stp/>
        <stp>##V3_BDPV12</stp>
        <stp>FGHNX US Equity</stp>
        <stp>LAST_CLOSE_TRR_5YR</stp>
        <stp>[grid1_3gmijm1c.xlsx]Worksheet!R72C9</stp>
        <tr r="I72" s="2"/>
      </tp>
      <tp>
        <v>4.3995870000000004</v>
        <stp/>
        <stp>##V3_BDPV12</stp>
        <stp>FGHNX US Equity</stp>
        <stp>LAST_CLOSE_TRR_3YR</stp>
        <stp>[grid1_3gmijm1c.xlsx]Worksheet!R72C8</stp>
        <tr r="H72" s="2"/>
      </tp>
      <tp>
        <v>5.0810389999999996</v>
        <stp/>
        <stp>##V3_BDPV12</stp>
        <stp>FGHNX US Equity</stp>
        <stp>LAST_CLOSE_TRR_1YR</stp>
        <stp>[grid1_3gmijm1c.xlsx]Worksheet!R72C7</stp>
        <tr r="G72" s="2"/>
      </tp>
      <tp t="s">
        <v>#N/A N/A</v>
        <stp/>
        <stp>##V3_BDPV12</stp>
        <stp>EVAASFL US Equity</stp>
        <stp>LAST_CLOSE_TRR_3YR</stp>
        <stp>[grid1_3gmijm1c.xlsx]Worksheet!R153C8</stp>
        <tr r="H153" s="2"/>
      </tp>
      <tp t="s">
        <v>#N/A N/A</v>
        <stp/>
        <stp>##V3_BDPV12</stp>
        <stp>EVAASFL US Equity</stp>
        <stp>LAST_CLOSE_TRR_5YR</stp>
        <stp>[grid1_3gmijm1c.xlsx]Worksheet!R153C9</stp>
        <tr r="I153" s="2"/>
      </tp>
      <tp t="s">
        <v>#N/A N/A</v>
        <stp/>
        <stp>##V3_BDPV12</stp>
        <stp>EVAASFL US Equity</stp>
        <stp>LAST_CLOSE_TRR_1YR</stp>
        <stp>[grid1_3gmijm1c.xlsx]Worksheet!R153C7</stp>
        <tr r="G153" s="2"/>
      </tp>
      <tp>
        <v>4.6949120000000004</v>
        <stp/>
        <stp>##V3_BDPV12</stp>
        <stp>TGHYX US Equity</stp>
        <stp>LAST_CLOSE_TRR_3MO</stp>
        <stp>[grid1_3gmijm1c.xlsx]Worksheet!R85C5</stp>
        <tr r="E85" s="2"/>
      </tp>
      <tp>
        <v>0.87804669999999996</v>
        <stp/>
        <stp>##V3_BDPV12</stp>
        <stp>TGHYX US Equity</stp>
        <stp>LAST_CLOSE_TRR_1MO</stp>
        <stp>[grid1_3gmijm1c.xlsx]Worksheet!R85C4</stp>
        <tr r="D85" s="2"/>
      </tp>
      <tp>
        <v>3.6187369999999999</v>
        <stp/>
        <stp>##V3_BDPV12</stp>
        <stp>ALHAX US Equity</stp>
        <stp>LAST_CLOSE_TRR_YTD</stp>
        <stp>[grid1_3gmijm1c.xlsx]Worksheet!R19C6</stp>
        <tr r="F19" s="2"/>
      </tp>
      <tp>
        <v>2.5411199999999998</v>
        <stp/>
        <stp>##V3_BDPV12</stp>
        <stp>AYBVX US Equity</stp>
        <stp>LAST_CLOSE_TRR_1YR</stp>
        <stp>[grid1_3gmijm1c.xlsx]Worksheet!R34C7</stp>
        <tr r="G34" s="2"/>
      </tp>
      <tp>
        <v>6.1537100000000002</v>
        <stp/>
        <stp>##V3_BDPV12</stp>
        <stp>AYBVX US Equity</stp>
        <stp>LAST_CLOSE_TRR_5YR</stp>
        <stp>[grid1_3gmijm1c.xlsx]Worksheet!R34C9</stp>
        <tr r="I34" s="2"/>
      </tp>
      <tp>
        <v>3.7443599999999999</v>
        <stp/>
        <stp>##V3_BDPV12</stp>
        <stp>AYBVX US Equity</stp>
        <stp>LAST_CLOSE_TRR_3YR</stp>
        <stp>[grid1_3gmijm1c.xlsx]Worksheet!R34C8</stp>
        <tr r="H34" s="2"/>
      </tp>
      <tp>
        <v>5.8778610000000002</v>
        <stp/>
        <stp>##V3_BDPV12</stp>
        <stp>OGYAX US Equity</stp>
        <stp>LAST_CLOSE_TRR_YTD</stp>
        <stp>[grid1_3gmijm1c.xlsx]Worksheet!R47C6</stp>
        <tr r="F47" s="2"/>
      </tp>
      <tp>
        <v>8.8664079999999998</v>
        <stp/>
        <stp>##V3_BDPV12</stp>
        <stp>HFAAX US Equity</stp>
        <stp>LAST_CLOSE_TRR_YTD</stp>
        <stp>[grid1_3gmijm1c.xlsx]Worksheet!R30C6</stp>
        <tr r="F30" s="2"/>
      </tp>
      <tp>
        <v>7.1308579999999999</v>
        <stp/>
        <stp>##V3_BDPV12</stp>
        <stp>MWHYX US Equity</stp>
        <stp>LAST_CLOSE_TRR_5YR</stp>
        <stp>[grid1_3gmijm1c.xlsx]Worksheet!R78C9</stp>
        <tr r="I78" s="2"/>
      </tp>
      <tp>
        <v>7.14635</v>
        <stp/>
        <stp>##V3_BDPV12</stp>
        <stp>MWHYX US Equity</stp>
        <stp>LAST_CLOSE_TRR_3YR</stp>
        <stp>[grid1_3gmijm1c.xlsx]Worksheet!R78C8</stp>
        <tr r="H78" s="2"/>
      </tp>
      <tp>
        <v>11.13912</v>
        <stp/>
        <stp>##V3_BDPV12</stp>
        <stp>MWHYX US Equity</stp>
        <stp>LAST_CLOSE_TRR_1YR</stp>
        <stp>[grid1_3gmijm1c.xlsx]Worksheet!R78C7</stp>
        <tr r="G78" s="2"/>
      </tp>
      <tp>
        <v>2.141721</v>
        <stp/>
        <stp>##V3_BDPV12</stp>
        <stp>PHYNX US Equity</stp>
        <stp>LAST_CLOSE_TRR_1MO</stp>
        <stp>[grid1_3gmijm1c.xlsx]Worksheet!R71C4</stp>
        <tr r="D71" s="2"/>
      </tp>
      <tp>
        <v>8.1469480000000001</v>
        <stp/>
        <stp>##V3_BDPV12</stp>
        <stp>PHYNX US Equity</stp>
        <stp>LAST_CLOSE_TRR_3MO</stp>
        <stp>[grid1_3gmijm1c.xlsx]Worksheet!R71C5</stp>
        <tr r="E71" s="2"/>
      </tp>
      <tp>
        <v>1.647071</v>
        <stp/>
        <stp>##V3_BDPV12</stp>
        <stp>PHCHX US Equity</stp>
        <stp>LAST_CLOSE_TRR_1MO</stp>
        <stp>[grid1_3gmijm1c.xlsx]Worksheet!R81C4</stp>
        <tr r="D81" s="2"/>
      </tp>
      <tp>
        <v>7.4129009999999997</v>
        <stp/>
        <stp>##V3_BDPV12</stp>
        <stp>PHCHX US Equity</stp>
        <stp>LAST_CLOSE_TRR_3MO</stp>
        <stp>[grid1_3gmijm1c.xlsx]Worksheet!R81C5</stp>
        <tr r="E81" s="2"/>
      </tp>
      <tp>
        <v>4.1637380000000004</v>
        <stp/>
        <stp>##V3_BDPV12</stp>
        <stp>FIFIX US Equity</stp>
        <stp>LAST_CLOSE_TRR_1YR</stp>
        <stp>[grid1_3gmijm1c.xlsx]Worksheet!R33C7</stp>
        <tr r="G33" s="2"/>
      </tp>
      <tp>
        <v>6.1304970000000001</v>
        <stp/>
        <stp>##V3_BDPV12</stp>
        <stp>FIFIX US Equity</stp>
        <stp>LAST_CLOSE_TRR_5YR</stp>
        <stp>[grid1_3gmijm1c.xlsx]Worksheet!R33C9</stp>
        <tr r="I33" s="2"/>
      </tp>
      <tp>
        <v>4.4877149999999997</v>
        <stp/>
        <stp>##V3_BDPV12</stp>
        <stp>FIFIX US Equity</stp>
        <stp>LAST_CLOSE_TRR_3YR</stp>
        <stp>[grid1_3gmijm1c.xlsx]Worksheet!R33C8</stp>
        <tr r="H33" s="2"/>
      </tp>
      <tp>
        <v>7.362349</v>
        <stp/>
        <stp>##V3_BDPV12</stp>
        <stp>LMZIX US Equity</stp>
        <stp>LAST_CLOSE_TRR_5YR</stp>
        <stp>[grid1_3gmijm1c.xlsx]Worksheet!R89C9</stp>
        <tr r="I89" s="2"/>
      </tp>
      <tp>
        <v>4.7315019999999999</v>
        <stp/>
        <stp>##V3_BDPV12</stp>
        <stp>LMZIX US Equity</stp>
        <stp>LAST_CLOSE_TRR_3YR</stp>
        <stp>[grid1_3gmijm1c.xlsx]Worksheet!R89C8</stp>
        <tr r="H89" s="2"/>
      </tp>
      <tp>
        <v>8.7033620000000003</v>
        <stp/>
        <stp>##V3_BDPV12</stp>
        <stp>LMZIX US Equity</stp>
        <stp>LAST_CLOSE_TRR_1YR</stp>
        <stp>[grid1_3gmijm1c.xlsx]Worksheet!R89C7</stp>
        <tr r="G89" s="2"/>
      </tp>
      <tp>
        <v>26.369710000000001</v>
        <stp/>
        <stp>##V3_BDPV12</stp>
        <stp>MXHYX US Equity</stp>
        <stp>CUST_TRR_RETURN_ANNUALIZED</stp>
        <stp>[grid1_3gmijm1c.xlsx]Worksheet!R140C3</stp>
        <stp>CUST_TRR_START_DT=20200626</stp>
        <stp>CUST_TRR_END_DT=20201226</stp>
        <tr r="C140" s="2"/>
      </tp>
      <tp>
        <v>5.0122249999999999</v>
        <stp/>
        <stp>##V3_BDPV12</stp>
        <stp>CYBIX US Equity</stp>
        <stp>LAST_CLOSE_TRR_1YR</stp>
        <stp>[grid1_3gmijm1c.xlsx]Worksheet!R49C7</stp>
        <tr r="G49" s="2"/>
      </tp>
      <tp>
        <v>6.5748800000000003</v>
        <stp/>
        <stp>##V3_BDPV12</stp>
        <stp>CYBIX US Equity</stp>
        <stp>LAST_CLOSE_TRR_5YR</stp>
        <stp>[grid1_3gmijm1c.xlsx]Worksheet!R49C9</stp>
        <tr r="I49" s="2"/>
      </tp>
      <tp>
        <v>4.9178870000000003</v>
        <stp/>
        <stp>##V3_BDPV12</stp>
        <stp>CYBIX US Equity</stp>
        <stp>LAST_CLOSE_TRR_3YR</stp>
        <stp>[grid1_3gmijm1c.xlsx]Worksheet!R49C8</stp>
        <tr r="H49" s="2"/>
      </tp>
      <tp>
        <v>2.2526760000000001</v>
        <stp/>
        <stp>##V3_BDPV12</stp>
        <stp>OHYFX US Equity</stp>
        <stp>LAST_CLOSE_TRR_YTD</stp>
        <stp>[grid1_3gmijm1c.xlsx]Worksheet!R48C6</stp>
        <tr r="F48" s="2"/>
      </tp>
      <tp>
        <v>7.1201509999999999</v>
        <stp/>
        <stp>##V3_BDPV12</stp>
        <stp>LSHIX US Equity</stp>
        <stp>LAST_CLOSE_TRR_5YR</stp>
        <stp>[grid1_3gmijm1c.xlsx]Worksheet!R76C9</stp>
        <tr r="I76" s="2"/>
      </tp>
      <tp>
        <v>3.2580260000000001</v>
        <stp/>
        <stp>##V3_BDPV12</stp>
        <stp>LSHIX US Equity</stp>
        <stp>LAST_CLOSE_TRR_3YR</stp>
        <stp>[grid1_3gmijm1c.xlsx]Worksheet!R76C8</stp>
        <tr r="H76" s="2"/>
      </tp>
      <tp>
        <v>3.4586920000000001</v>
        <stp/>
        <stp>##V3_BDPV12</stp>
        <stp>LSHIX US Equity</stp>
        <stp>LAST_CLOSE_TRR_1YR</stp>
        <stp>[grid1_3gmijm1c.xlsx]Worksheet!R76C7</stp>
        <tr r="G76" s="2"/>
      </tp>
      <tp>
        <v>3.0265520000000001</v>
        <stp/>
        <stp>##V3_BDPV12</stp>
        <stp>DDJCX US Equity</stp>
        <stp>LAST_CLOSE_TRR_YTD</stp>
        <stp>[grid1_3gmijm1c.xlsx]Worksheet!R53C6</stp>
        <tr r="F53" s="2"/>
      </tp>
      <tp>
        <v>6.8035399999999999</v>
        <stp/>
        <stp>##V3_BDPV12</stp>
        <stp>MPHAX US Equity</stp>
        <stp>LAST_CLOSE_TRR_5YR</stp>
        <stp>[grid1_3gmijm1c.xlsx]Worksheet!R57C9</stp>
        <tr r="I57" s="2"/>
      </tp>
      <tp>
        <v>4.1453519999999999</v>
        <stp/>
        <stp>##V3_BDPV12</stp>
        <stp>MPHAX US Equity</stp>
        <stp>LAST_CLOSE_TRR_3YR</stp>
        <stp>[grid1_3gmijm1c.xlsx]Worksheet!R57C8</stp>
        <tr r="H57" s="2"/>
      </tp>
      <tp>
        <v>3.546589</v>
        <stp/>
        <stp>##V3_BDPV12</stp>
        <stp>MPHAX US Equity</stp>
        <stp>LAST_CLOSE_TRR_1YR</stp>
        <stp>[grid1_3gmijm1c.xlsx]Worksheet!R57C7</stp>
        <tr r="G57" s="2"/>
      </tp>
      <tp>
        <v>4.3388150000000003</v>
        <stp/>
        <stp>##V3_BDPV12</stp>
        <stp>WTLTX US Equity</stp>
        <stp>LAST_CLOSE_TRR_3MO</stp>
        <stp>[grid1_3gmijm1c.xlsx]Worksheet!R79C5</stp>
        <tr r="E79" s="2"/>
      </tp>
      <tp>
        <v>0.73176180000000002</v>
        <stp/>
        <stp>##V3_BDPV12</stp>
        <stp>WTLTX US Equity</stp>
        <stp>LAST_CLOSE_TRR_1MO</stp>
        <stp>[grid1_3gmijm1c.xlsx]Worksheet!R79C4</stp>
        <tr r="D79" s="2"/>
      </tp>
      <tp>
        <v>7.2199460000000002</v>
        <stp/>
        <stp>##V3_BDPV12</stp>
        <stp>JHHBX US Equity</stp>
        <stp>LAST_CLOSE_TRR_5YR</stp>
        <stp>[grid1_3gmijm1c.xlsx]Worksheet!R80C9</stp>
        <tr r="I80" s="2"/>
      </tp>
      <tp>
        <v>4.9528869999999996</v>
        <stp/>
        <stp>##V3_BDPV12</stp>
        <stp>JHHBX US Equity</stp>
        <stp>LAST_CLOSE_TRR_3YR</stp>
        <stp>[grid1_3gmijm1c.xlsx]Worksheet!R80C8</stp>
        <tr r="H80" s="2"/>
      </tp>
      <tp>
        <v>3.9165030000000001</v>
        <stp/>
        <stp>##V3_BDPV12</stp>
        <stp>JHHBX US Equity</stp>
        <stp>LAST_CLOSE_TRR_1YR</stp>
        <stp>[grid1_3gmijm1c.xlsx]Worksheet!R80C7</stp>
        <tr r="G80" s="2"/>
      </tp>
      <tp t="s">
        <v>#N/A N/A</v>
        <stp/>
        <stp>##V3_BDPV12</stp>
        <stp>HREIX US Equity</stp>
        <stp>CUST_TRR_RETURN_ANNUALIZED</stp>
        <stp>[grid1_3gmijm1c.xlsx]Worksheet!R165C3</stp>
        <stp>CUST_TRR_START_DT=20200626</stp>
        <stp>CUST_TRR_END_DT=20201226</stp>
        <tr r="C165" s="2"/>
      </tp>
      <tp>
        <v>8.9001230000000007</v>
        <stp/>
        <stp>##V3_BDPV12</stp>
        <stp>BUFHX US Equity</stp>
        <stp>LAST_CLOSE_TRR_YTD</stp>
        <stp>[grid1_3gmijm1c.xlsx]Worksheet!R35C6</stp>
        <tr r="F35" s="2"/>
      </tp>
      <tp>
        <v>20.996410000000001</v>
        <stp/>
        <stp>##V3_BDPV12</stp>
        <stp>IPNAX US Equity</stp>
        <stp>CUST_TRR_RETURN_ANNUALIZED</stp>
        <stp>[grid1_3gmijm1c.xlsx]Worksheet!R157C3</stp>
        <stp>CUST_TRR_START_DT=20200626</stp>
        <stp>CUST_TRR_END_DT=20201226</stp>
        <tr r="C157" s="2"/>
      </tp>
      <tp>
        <v>-5.5664230000000003</v>
        <stp/>
        <stp>##V3_BDPV12</stp>
        <stp>RYIHX US Equity</stp>
        <stp>LAST_CLOSE_TRR_YTD</stp>
        <stp>[grid1_3gmijm1c.xlsx]Worksheet!R2C6</stp>
        <tr r="F2" s="2"/>
      </tp>
      <tp>
        <v>1.876034</v>
        <stp/>
        <stp>##V3_BDPV12</stp>
        <stp>RPHIX US Equity</stp>
        <stp>LAST_CLOSE_TRR_YTD</stp>
        <stp>[grid1_3gmijm1c.xlsx]Worksheet!R3C6</stp>
        <tr r="F3" s="2"/>
      </tp>
      <tp>
        <v>3.0344570000000002</v>
        <stp/>
        <stp>##V3_BDPV12</stp>
        <stp>AMHYX US Equity</stp>
        <stp>LAST_CLOSE_TRR_YTD</stp>
        <stp>[grid1_3gmijm1c.xlsx]Worksheet!R27C6</stp>
        <tr r="F27" s="2"/>
      </tp>
      <tp>
        <v>3.7435079999999998</v>
        <stp/>
        <stp>##V3_BDPV12</stp>
        <stp>FHIFX US Equity</stp>
        <stp>LAST_CLOSE_TRR_YTD</stp>
        <stp>[grid1_3gmijm1c.xlsx]Worksheet!R50C6</stp>
        <tr r="F50" s="2"/>
      </tp>
      <tp>
        <v>6.5374800000000004</v>
        <stp/>
        <stp>##V3_BDPV12</stp>
        <stp>DHOAX US Equity</stp>
        <stp>LAST_CLOSE_TRR_YTD</stp>
        <stp>[grid1_3gmijm1c.xlsx]Worksheet!R82C6</stp>
        <tr r="F82" s="2"/>
      </tp>
      <tp>
        <v>19.116389999999999</v>
        <stp/>
        <stp>##V3_BDPV12</stp>
        <stp>LSYAX US Equity</stp>
        <stp>CUST_TRR_RETURN_ANNUALIZED</stp>
        <stp>[grid1_3gmijm1c.xlsx]Worksheet!R175C3</stp>
        <stp>CUST_TRR_START_DT=20200626</stp>
        <stp>CUST_TRR_END_DT=20201226</stp>
        <tr r="C175" s="2"/>
      </tp>
      <tp>
        <v>6.5276839999999998</v>
        <stp/>
        <stp>##V3_BDPV12</stp>
        <stp>HWHIX US Equity</stp>
        <stp>LAST_CLOSE_TRR_5YR</stp>
        <stp>[grid1_3gmijm1c.xlsx]Worksheet!R43C9</stp>
        <tr r="I43" s="2"/>
      </tp>
      <tp>
        <v>2.9499460000000002</v>
        <stp/>
        <stp>##V3_BDPV12</stp>
        <stp>HWHIX US Equity</stp>
        <stp>LAST_CLOSE_TRR_3YR</stp>
        <stp>[grid1_3gmijm1c.xlsx]Worksheet!R43C8</stp>
        <tr r="H43" s="2"/>
      </tp>
      <tp>
        <v>3.2887919999999999</v>
        <stp/>
        <stp>##V3_BDPV12</stp>
        <stp>HWHIX US Equity</stp>
        <stp>LAST_CLOSE_TRR_1YR</stp>
        <stp>[grid1_3gmijm1c.xlsx]Worksheet!R43C7</stp>
        <tr r="G43" s="2"/>
      </tp>
      <tp>
        <v>3.6181990000000002</v>
        <stp/>
        <stp>##V3_BDPV12</stp>
        <stp>CCHYX US Equity</stp>
        <stp>LAST_CLOSE_TRR_YTD</stp>
        <stp>[grid1_3gmijm1c.xlsx]Worksheet!R25C6</stp>
        <tr r="F25" s="2"/>
      </tp>
      <tp>
        <v>6.3000829999999999</v>
        <stp/>
        <stp>##V3_BDPV12</stp>
        <stp>DCHYX US Equity</stp>
        <stp>LAST_CLOSE_TRR_YTD</stp>
        <stp>[grid1_3gmijm1c.xlsx]Worksheet!R32C6</stp>
        <tr r="F32" s="2"/>
      </tp>
      <tp>
        <v>1.152477</v>
        <stp/>
        <stp>##V3_BDPV12</stp>
        <stp>NCOAX US Equity</stp>
        <stp>LAST_CLOSE_TRR_YTD</stp>
        <stp>[grid1_3gmijm1c.xlsx]Worksheet!R98C6</stp>
        <tr r="F98" s="2"/>
      </tp>
      <tp>
        <v>4.4504979999999996</v>
        <stp/>
        <stp>##V3_BDPV12</stp>
        <stp>IHIYX US Equity</stp>
        <stp>LAST_CLOSE_TRR_3YR</stp>
        <stp>[grid1_3gmijm1c.xlsx]Worksheet!R62C8</stp>
        <tr r="H62" s="2"/>
      </tp>
      <tp>
        <v>5.3857619999999997</v>
        <stp/>
        <stp>##V3_BDPV12</stp>
        <stp>NHFIX US Equity</stp>
        <stp>LAST_CLOSE_TRR_1YR</stp>
        <stp>[grid1_3gmijm1c.xlsx]Worksheet!R75C7</stp>
        <tr r="G75" s="2"/>
      </tp>
      <tp>
        <v>6.849513</v>
        <stp/>
        <stp>##V3_BDPV12</stp>
        <stp>IHIYX US Equity</stp>
        <stp>LAST_CLOSE_TRR_5YR</stp>
        <stp>[grid1_3gmijm1c.xlsx]Worksheet!R62C9</stp>
        <tr r="I62" s="2"/>
      </tp>
      <tp>
        <v>7.1189439999999999</v>
        <stp/>
        <stp>##V3_BDPV12</stp>
        <stp>NHFIX US Equity</stp>
        <stp>LAST_CLOSE_TRR_5YR</stp>
        <stp>[grid1_3gmijm1c.xlsx]Worksheet!R75C9</stp>
        <tr r="I75" s="2"/>
      </tp>
      <tp>
        <v>3.111793</v>
        <stp/>
        <stp>##V3_BDPV12</stp>
        <stp>IHIYX US Equity</stp>
        <stp>LAST_CLOSE_TRR_1YR</stp>
        <stp>[grid1_3gmijm1c.xlsx]Worksheet!R62C7</stp>
        <tr r="G62" s="2"/>
      </tp>
      <tp>
        <v>5.4960060000000004</v>
        <stp/>
        <stp>##V3_BDPV12</stp>
        <stp>NHFIX US Equity</stp>
        <stp>LAST_CLOSE_TRR_3YR</stp>
        <stp>[grid1_3gmijm1c.xlsx]Worksheet!R75C8</stp>
        <tr r="H75" s="2"/>
      </tp>
      <tp>
        <v>6.2538080000000003</v>
        <stp/>
        <stp>##V3_BDPV12</stp>
        <stp>LBHYX US Equity</stp>
        <stp>LAST_CLOSE_TRR_5YR</stp>
        <stp>[grid1_3gmijm1c.xlsx]Worksheet!R37C9</stp>
        <tr r="I37" s="2"/>
      </tp>
      <tp>
        <v>3.9551820000000002</v>
        <stp/>
        <stp>##V3_BDPV12</stp>
        <stp>LBHYX US Equity</stp>
        <stp>LAST_CLOSE_TRR_3YR</stp>
        <stp>[grid1_3gmijm1c.xlsx]Worksheet!R37C8</stp>
        <tr r="H37" s="2"/>
      </tp>
      <tp>
        <v>2.4603820000000001</v>
        <stp/>
        <stp>##V3_BDPV12</stp>
        <stp>LBHYX US Equity</stp>
        <stp>LAST_CLOSE_TRR_1YR</stp>
        <stp>[grid1_3gmijm1c.xlsx]Worksheet!R37C7</stp>
        <tr r="G37" s="2"/>
      </tp>
      <tp t="s">
        <v>#N/A N/A</v>
        <stp/>
        <stp>##V3_BDPV12</stp>
        <stp>HVHYX US Equity</stp>
        <stp>CUST_TRR_RETURN_ANNUALIZED</stp>
        <stp>[grid1_3gmijm1c.xlsx]Worksheet!R150C3</stp>
        <stp>CUST_TRR_START_DT=20200626</stp>
        <stp>CUST_TRR_END_DT=20201226</stp>
        <tr r="C150" s="2"/>
      </tp>
      <tp>
        <v>11.57982</v>
        <stp/>
        <stp>##V3_BDPV12</stp>
        <stp>PSHNX US Equity</stp>
        <stp>CUST_TRR_RETURN_ANNUALIZED</stp>
        <stp>[grid1_3gmijm1c.xlsx]Worksheet!R155C3</stp>
        <stp>CUST_TRR_START_DT=20200626</stp>
        <stp>CUST_TRR_END_DT=20201226</stp>
        <tr r="C155" s="2"/>
      </tp>
      <tp>
        <v>4.7644799999999998</v>
        <stp/>
        <stp>##V3_BDPV12</stp>
        <stp>GSHAX US Equity</stp>
        <stp>LAST_CLOSE_TRR_YTD</stp>
        <stp>[grid1_3gmijm1c.xlsx]Worksheet!R61C6</stp>
        <tr r="F61" s="2"/>
      </tp>
      <tp>
        <v>8.451454</v>
        <stp/>
        <stp>##V3_BDPV12</stp>
        <stp>LMZIX US Equity</stp>
        <stp>LAST_CLOSE_TRR_YTD</stp>
        <stp>[grid1_3gmijm1c.xlsx]Worksheet!R89C6</stp>
        <tr r="F89" s="2"/>
      </tp>
      <tp>
        <v>3.73651</v>
        <stp/>
        <stp>##V3_BDPV12</stp>
        <stp>FIFIX US Equity</stp>
        <stp>LAST_CLOSE_TRR_YTD</stp>
        <stp>[grid1_3gmijm1c.xlsx]Worksheet!R33C6</stp>
        <tr r="F33" s="2"/>
      </tp>
      <tp>
        <v>10.4533</v>
        <stp/>
        <stp>##V3_BDPV12</stp>
        <stp>STBKX US Equity</stp>
        <stp>CUST_TRR_RETURN_ANNUALIZED</stp>
        <stp>[grid1_3gmijm1c.xlsx]Worksheet!R171C3</stp>
        <stp>CUST_TRR_START_DT=20200626</stp>
        <stp>CUST_TRR_END_DT=20201226</stp>
        <tr r="C171" s="2"/>
      </tp>
      <tp>
        <v>2.7793109999999999</v>
        <stp/>
        <stp>##V3_BDPV12</stp>
        <stp>AYBVX US Equity</stp>
        <stp>LAST_CLOSE_TRR_YTD</stp>
        <stp>[grid1_3gmijm1c.xlsx]Worksheet!R34C6</stp>
        <tr r="F34" s="2"/>
      </tp>
      <tp>
        <v>5.1033350000000004</v>
        <stp/>
        <stp>##V3_BDPV12</stp>
        <stp>ALHAX US Equity</stp>
        <stp>LAST_CLOSE_TRR_5YR</stp>
        <stp>[grid1_3gmijm1c.xlsx]Worksheet!R19C9</stp>
        <tr r="I19" s="2"/>
      </tp>
      <tp>
        <v>4.2952339999999998</v>
        <stp/>
        <stp>##V3_BDPV12</stp>
        <stp>ALHAX US Equity</stp>
        <stp>LAST_CLOSE_TRR_3YR</stp>
        <stp>[grid1_3gmijm1c.xlsx]Worksheet!R19C8</stp>
        <tr r="H19" s="2"/>
      </tp>
      <tp>
        <v>3.790308</v>
        <stp/>
        <stp>##V3_BDPV12</stp>
        <stp>ALHAX US Equity</stp>
        <stp>LAST_CLOSE_TRR_1YR</stp>
        <stp>[grid1_3gmijm1c.xlsx]Worksheet!R19C7</stp>
        <tr r="G19" s="2"/>
      </tp>
      <tp>
        <v>10.955690000000001</v>
        <stp/>
        <stp>##V3_BDPV12</stp>
        <stp>MWHYX US Equity</stp>
        <stp>LAST_CLOSE_TRR_YTD</stp>
        <stp>[grid1_3gmijm1c.xlsx]Worksheet!R78C6</stp>
        <tr r="F78" s="2"/>
      </tp>
      <tp>
        <v>20.75224</v>
        <stp/>
        <stp>##V3_BDPV12</stp>
        <stp>DPHYX US Equity</stp>
        <stp>CUST_TRR_RETURN_ANNUALIZED</stp>
        <stp>[grid1_3gmijm1c.xlsx]Worksheet!R105C3</stp>
        <stp>CUST_TRR_START_DT=20200626</stp>
        <stp>CUST_TRR_END_DT=20201226</stp>
        <tr r="C105" s="2"/>
      </tp>
      <tp>
        <v>4.627453</v>
        <stp/>
        <stp>##V3_BDPV12</stp>
        <stp>OGYAX US Equity</stp>
        <stp>LAST_CLOSE_TRR_3YR</stp>
        <stp>[grid1_3gmijm1c.xlsx]Worksheet!R47C8</stp>
        <tr r="H47" s="2"/>
      </tp>
      <tp>
        <v>6.549296</v>
        <stp/>
        <stp>##V3_BDPV12</stp>
        <stp>OGYAX US Equity</stp>
        <stp>LAST_CLOSE_TRR_5YR</stp>
        <stp>[grid1_3gmijm1c.xlsx]Worksheet!R47C9</stp>
        <tr r="I47" s="2"/>
      </tp>
      <tp>
        <v>5.9180970000000004</v>
        <stp/>
        <stp>##V3_BDPV12</stp>
        <stp>OGYAX US Equity</stp>
        <stp>LAST_CLOSE_TRR_1YR</stp>
        <stp>[grid1_3gmijm1c.xlsx]Worksheet!R47C7</stp>
        <tr r="G47" s="2"/>
      </tp>
      <tp>
        <v>8.8212820000000001</v>
        <stp/>
        <stp>##V3_BDPV12</stp>
        <stp>HFAAX US Equity</stp>
        <stp>LAST_CLOSE_TRR_1YR</stp>
        <stp>[grid1_3gmijm1c.xlsx]Worksheet!R30C7</stp>
        <tr r="G30" s="2"/>
      </tp>
      <tp>
        <v>6.2467030000000001</v>
        <stp/>
        <stp>##V3_BDPV12</stp>
        <stp>HFAAX US Equity</stp>
        <stp>LAST_CLOSE_TRR_3YR</stp>
        <stp>[grid1_3gmijm1c.xlsx]Worksheet!R30C8</stp>
        <tr r="H30" s="2"/>
      </tp>
      <tp>
        <v>6.0243260000000003</v>
        <stp/>
        <stp>##V3_BDPV12</stp>
        <stp>HFAAX US Equity</stp>
        <stp>LAST_CLOSE_TRR_5YR</stp>
        <stp>[grid1_3gmijm1c.xlsx]Worksheet!R30C9</stp>
        <tr r="I30" s="2"/>
      </tp>
      <tp>
        <v>2.791903</v>
        <stp/>
        <stp>##V3_BDPV12</stp>
        <stp>SCFAX US Equity</stp>
        <stp>LAST_CLOSE_TRR_YTD</stp>
        <stp>[grid1_3gmijm1c.xlsx]Worksheet!R9C6</stp>
        <tr r="F9" s="2"/>
      </tp>
      <tp>
        <v>2.9360590000000002</v>
        <stp/>
        <stp>##V3_BDPV12</stp>
        <stp>MHOBX US Equity</stp>
        <stp>LAST_CLOSE_TRR_YTD</stp>
        <stp>[grid1_3gmijm1c.xlsx]Worksheet!R29C6</stp>
        <tr r="F29" s="2"/>
      </tp>
      <tp>
        <v>6.9859499999999999</v>
        <stp/>
        <stp>##V3_BDPV12</stp>
        <stp>TAHYX US Equity</stp>
        <stp>LAST_CLOSE_TRR_3MO</stp>
        <stp>[grid1_3gmijm1c.xlsx]Worksheet!R59C5</stp>
        <tr r="E59" s="2"/>
      </tp>
      <tp>
        <v>1.6761079999999999</v>
        <stp/>
        <stp>##V3_BDPV12</stp>
        <stp>TAHYX US Equity</stp>
        <stp>LAST_CLOSE_TRR_1MO</stp>
        <stp>[grid1_3gmijm1c.xlsx]Worksheet!R59C4</stp>
        <tr r="D59" s="2"/>
      </tp>
      <tp>
        <v>4.8827160000000003</v>
        <stp/>
        <stp>##V3_BDPV12</stp>
        <stp>FGHNX US Equity</stp>
        <stp>LAST_CLOSE_TRR_YTD</stp>
        <stp>[grid1_3gmijm1c.xlsx]Worksheet!R72C6</stp>
        <tr r="F72" s="2"/>
      </tp>
      <tp>
        <v>23.547059999999998</v>
        <stp/>
        <stp>##V3_BDPV12</stp>
        <stp>NWXIX US Equity</stp>
        <stp>CUST_TRR_RETURN_ANNUALIZED</stp>
        <stp>[grid1_3gmijm1c.xlsx]Worksheet!R103C3</stp>
        <stp>CUST_TRR_START_DT=20200626</stp>
        <stp>CUST_TRR_END_DT=20201226</stp>
        <tr r="C103" s="2"/>
      </tp>
      <tp>
        <v>5.2502149999999999</v>
        <stp/>
        <stp>##V3_BDPV12</stp>
        <stp>IHYAX US Equity</stp>
        <stp>LAST_CLOSE_TRR_3YR</stp>
        <stp>[grid1_3gmijm1c.xlsx]Worksheet!R60C8</stp>
        <tr r="H60" s="2"/>
      </tp>
      <tp>
        <v>6.8421649999999996</v>
        <stp/>
        <stp>##V3_BDPV12</stp>
        <stp>IHYAX US Equity</stp>
        <stp>LAST_CLOSE_TRR_5YR</stp>
        <stp>[grid1_3gmijm1c.xlsx]Worksheet!R60C9</stp>
        <tr r="I60" s="2"/>
      </tp>
      <tp>
        <v>5.3469110000000004</v>
        <stp/>
        <stp>##V3_BDPV12</stp>
        <stp>IHYAX US Equity</stp>
        <stp>LAST_CLOSE_TRR_1YR</stp>
        <stp>[grid1_3gmijm1c.xlsx]Worksheet!R60C7</stp>
        <tr r="G60" s="2"/>
      </tp>
      <tp>
        <v>5.4216689999999996</v>
        <stp/>
        <stp>##V3_BDPV12</stp>
        <stp>NHINX US Equity</stp>
        <stp>LAST_CLOSE_TRR_3YR</stp>
        <stp>[grid1_3gmijm1c.xlsx]Worksheet!R77C8</stp>
        <tr r="H77" s="2"/>
      </tp>
      <tp>
        <v>7.1263269999999999</v>
        <stp/>
        <stp>##V3_BDPV12</stp>
        <stp>NHINX US Equity</stp>
        <stp>LAST_CLOSE_TRR_5YR</stp>
        <stp>[grid1_3gmijm1c.xlsx]Worksheet!R77C9</stp>
        <tr r="I77" s="2"/>
      </tp>
      <tp>
        <v>5.6666689999999997</v>
        <stp/>
        <stp>##V3_BDPV12</stp>
        <stp>NHINX US Equity</stp>
        <stp>LAST_CLOSE_TRR_1YR</stp>
        <stp>[grid1_3gmijm1c.xlsx]Worksheet!R77C7</stp>
        <tr r="G77" s="2"/>
      </tp>
      <tp>
        <v>27.557739999999999</v>
        <stp/>
        <stp>##V3_BDPV12</stp>
        <stp>APDFX US Equity</stp>
        <stp>CUST_TRR_RETURN_ANNUALIZED</stp>
        <stp>[grid1_3gmijm1c.xlsx]Worksheet!R144C3</stp>
        <stp>CUST_TRR_START_DT=20200626</stp>
        <stp>CUST_TRR_END_DT=20201226</stp>
        <tr r="C144" s="2"/>
      </tp>
      <tp t="s">
        <v>#N/A N/A</v>
        <stp/>
        <stp>##V3_BDPV12</stp>
        <stp>CRDOX US Equity</stp>
        <stp>CUST_TRR_RETURN_ANNUALIZED</stp>
        <stp>[grid1_3gmijm1c.xlsx]Worksheet!R166C3</stp>
        <stp>CUST_TRR_START_DT=20200626</stp>
        <stp>CUST_TRR_END_DT=20201226</stp>
        <tr r="C166" s="2"/>
      </tp>
      <tp>
        <v>4.4504739999999998</v>
        <stp/>
        <stp>##V3_BDPV12</stp>
        <stp>LZHYX US Equity</stp>
        <stp>LAST_CLOSE_TRR_YTD</stp>
        <stp>[grid1_3gmijm1c.xlsx]Worksheet!R28C6</stp>
        <tr r="F28" s="2"/>
      </tp>
      <tp>
        <v>22.24934</v>
        <stp/>
        <stp>##V3_BDPV12</stp>
        <stp>RPIHX US Equity</stp>
        <stp>CUST_TRR_RETURN_ANNUALIZED</stp>
        <stp>[grid1_3gmijm1c.xlsx]Worksheet!R134C3</stp>
        <stp>CUST_TRR_START_DT=20200626</stp>
        <stp>CUST_TRR_END_DT=20201226</stp>
        <tr r="C134" s="2"/>
      </tp>
      <tp>
        <v>4.9854630000000002</v>
        <stp/>
        <stp>##V3_BDPV12</stp>
        <stp>AHYVX US Equity</stp>
        <stp>LAST_CLOSE_TRR_YTD</stp>
        <stp>[grid1_3gmijm1c.xlsx]Worksheet!R52C6</stp>
        <tr r="F52" s="2"/>
      </tp>
      <tp>
        <v>4.7640469999999997</v>
        <stp/>
        <stp>##V3_BDPV12</stp>
        <stp>EKHAX US Equity</stp>
        <stp>LAST_CLOSE_TRR_YTD</stp>
        <stp>[grid1_3gmijm1c.xlsx]Worksheet!R46C6</stp>
        <tr r="F46" s="2"/>
      </tp>
      <tp>
        <v>9.9343059999999994</v>
        <stp/>
        <stp>##V3_BDPV12</stp>
        <stp>MRGIX US Equity</stp>
        <stp>LAST_CLOSE_TRR_1YR</stp>
        <stp>[grid1_3gmijm1c.xlsx]Worksheet!R23C7</stp>
        <tr r="G23" s="2"/>
      </tp>
      <tp>
        <v>6.4415459999999998</v>
        <stp/>
        <stp>##V3_BDPV12</stp>
        <stp>MRGIX US Equity</stp>
        <stp>LAST_CLOSE_TRR_3YR</stp>
        <stp>[grid1_3gmijm1c.xlsx]Worksheet!R23C8</stp>
        <tr r="H23" s="2"/>
      </tp>
      <tp>
        <v>5.4636009999999997</v>
        <stp/>
        <stp>##V3_BDPV12</stp>
        <stp>MRGIX US Equity</stp>
        <stp>LAST_CLOSE_TRR_5YR</stp>
        <stp>[grid1_3gmijm1c.xlsx]Worksheet!R23C9</stp>
        <tr r="I23" s="2"/>
      </tp>
      <tp>
        <v>2.9872890000000001</v>
        <stp/>
        <stp>##V3_BDPV12</stp>
        <stp>FDHAX US Equity</stp>
        <stp>LAST_CLOSE_TRR_YTD</stp>
        <stp>[grid1_3gmijm1c.xlsx]Worksheet!R15C6</stp>
        <tr r="F15" s="2"/>
      </tp>
      <tp>
        <v>4.4286899999999996</v>
        <stp/>
        <stp>##V3_BDPV12</stp>
        <stp>LHYAX US Equity</stp>
        <stp>LAST_CLOSE_TRR_3YR</stp>
        <stp>[grid1_3gmijm1c.xlsx]Worksheet!R92C8</stp>
        <tr r="H92" s="2"/>
      </tp>
      <tp>
        <v>5.3268690000000003</v>
        <stp/>
        <stp>##V3_BDPV12</stp>
        <stp>JHYAX US Equity</stp>
        <stp>LAST_CLOSE_TRR_3YR</stp>
        <stp>[grid1_3gmijm1c.xlsx]Worksheet!R64C8</stp>
        <tr r="H64" s="2"/>
      </tp>
      <tp>
        <v>7.3911980000000002</v>
        <stp/>
        <stp>##V3_BDPV12</stp>
        <stp>LHYAX US Equity</stp>
        <stp>LAST_CLOSE_TRR_5YR</stp>
        <stp>[grid1_3gmijm1c.xlsx]Worksheet!R92C9</stp>
        <tr r="I92" s="2"/>
      </tp>
      <tp>
        <v>6.9104749999999999</v>
        <stp/>
        <stp>##V3_BDPV12</stp>
        <stp>JHYAX US Equity</stp>
        <stp>LAST_CLOSE_TRR_5YR</stp>
        <stp>[grid1_3gmijm1c.xlsx]Worksheet!R64C9</stp>
        <tr r="I64" s="2"/>
      </tp>
      <tp>
        <v>4.2419010000000004</v>
        <stp/>
        <stp>##V3_BDPV12</stp>
        <stp>LHYAX US Equity</stp>
        <stp>LAST_CLOSE_TRR_1YR</stp>
        <stp>[grid1_3gmijm1c.xlsx]Worksheet!R92C7</stp>
        <tr r="G92" s="2"/>
      </tp>
      <tp>
        <v>4.8923719999999999</v>
        <stp/>
        <stp>##V3_BDPV12</stp>
        <stp>JHYAX US Equity</stp>
        <stp>LAST_CLOSE_TRR_1YR</stp>
        <stp>[grid1_3gmijm1c.xlsx]Worksheet!R64C7</stp>
        <tr r="G64" s="2"/>
      </tp>
      <tp>
        <v>4.9181140000000001</v>
        <stp/>
        <stp>##V3_BDPV12</stp>
        <stp>MHITX US Equity</stp>
        <stp>LAST_CLOSE_TRR_3YR</stp>
        <stp>[grid1_3gmijm1c.xlsx]Worksheet!R63C8</stp>
        <tr r="H63" s="2"/>
      </tp>
      <tp>
        <v>6.8617889999999999</v>
        <stp/>
        <stp>##V3_BDPV12</stp>
        <stp>MHITX US Equity</stp>
        <stp>LAST_CLOSE_TRR_5YR</stp>
        <stp>[grid1_3gmijm1c.xlsx]Worksheet!R63C9</stp>
        <tr r="I63" s="2"/>
      </tp>
      <tp>
        <v>4.4115440000000001</v>
        <stp/>
        <stp>##V3_BDPV12</stp>
        <stp>MHITX US Equity</stp>
        <stp>LAST_CLOSE_TRR_1YR</stp>
        <stp>[grid1_3gmijm1c.xlsx]Worksheet!R63C7</stp>
        <tr r="G63" s="2"/>
      </tp>
      <tp>
        <v>2.275798</v>
        <stp/>
        <stp>##V3_BDPV12</stp>
        <stp>BXIAX US Equity</stp>
        <stp>LAST_CLOSE_TRR_YTD</stp>
        <stp>[grid1_3gmijm1c.xlsx]Worksheet!R31C6</stp>
        <tr r="F31" s="2"/>
      </tp>
      <tp>
        <v>19.18188</v>
        <stp/>
        <stp>##V3_BDPV12</stp>
        <stp>MZHSX US Equity</stp>
        <stp>CUST_TRR_RETURN_ANNUALIZED</stp>
        <stp>[grid1_3gmijm1c.xlsx]Worksheet!R149C3</stp>
        <stp>CUST_TRR_START_DT=20200626</stp>
        <stp>CUST_TRR_END_DT=20201226</stp>
        <tr r="C149" s="2"/>
      </tp>
      <tp>
        <v>5.8706399999999999</v>
        <stp/>
        <stp>##V3_BDPV12</stp>
        <stp>FHYTX US Equity</stp>
        <stp>LAST_CLOSE_TRR_YTD</stp>
        <stp>[grid1_3gmijm1c.xlsx]Worksheet!R94C6</stp>
        <tr r="F94" s="2"/>
      </tp>
      <tp>
        <v>0.94554470000000002</v>
        <stp/>
        <stp>##V3_BDPV12</stp>
        <stp>SHYIX US Equity</stp>
        <stp>LAST_CLOSE_TRR_1MO</stp>
        <stp>[grid1_3gmijm1c.xlsx]Worksheet!R88C4</stp>
        <tr r="D88" s="2"/>
      </tp>
      <tp>
        <v>6.2595099999999997</v>
        <stp/>
        <stp>##V3_BDPV12</stp>
        <stp>SHYIX US Equity</stp>
        <stp>LAST_CLOSE_TRR_3MO</stp>
        <stp>[grid1_3gmijm1c.xlsx]Worksheet!R88C5</stp>
        <tr r="E88" s="2"/>
      </tp>
      <tp>
        <v>2.6907730000000001</v>
        <stp/>
        <stp>##V3_BDPV12</stp>
        <stp>BXHAX US Equity</stp>
        <stp>LAST_CLOSE_TRR_YTD</stp>
        <stp>[grid1_3gmijm1c.xlsx]Worksheet!R70C6</stp>
        <tr r="F70" s="2"/>
      </tp>
      <tp>
        <v>7.3306290000000001</v>
        <stp/>
        <stp>##V3_BDPV12</stp>
        <stp>ATIPX US Equity</stp>
        <stp>LAST_CLOSE_TRR_YTD</stp>
        <stp>[grid1_3gmijm1c.xlsx]Worksheet!R13C6</stp>
        <tr r="F13" s="2"/>
      </tp>
      <tp>
        <v>20.47559</v>
        <stp/>
        <stp>##V3_BDPV12</stp>
        <stp>TUHAX US Equity</stp>
        <stp>CUST_TRR_RETURN_ANNUALIZED</stp>
        <stp>[grid1_3gmijm1c.xlsx]Worksheet!R137C3</stp>
        <stp>CUST_TRR_START_DT=20200626</stp>
        <stp>CUST_TRR_END_DT=20201226</stp>
        <tr r="C137" s="2"/>
      </tp>
      <tp>
        <v>19.52317</v>
        <stp/>
        <stp>##V3_BDPV12</stp>
        <stp>FSHNX US Equity</stp>
        <stp>CUST_TRR_RETURN_ANNUALIZED</stp>
        <stp>[grid1_3gmijm1c.xlsx]Worksheet!R131C3</stp>
        <stp>CUST_TRR_START_DT=20200626</stp>
        <stp>CUST_TRR_END_DT=20201226</stp>
        <tr r="C131" s="2"/>
      </tp>
      <tp>
        <v>4.1506230000000004</v>
        <stp/>
        <stp>##V3_BDPV12</stp>
        <stp>DPLTX US Equity</stp>
        <stp>LAST_CLOSE_TRR_YTD</stp>
        <stp>[grid1_3gmijm1c.xlsx]Worksheet!R56C6</stp>
        <tr r="F56" s="2"/>
      </tp>
      <tp>
        <v>6.9639740000000003</v>
        <stp/>
        <stp>##V3_BDPV12</stp>
        <stp>FEHAX US Equity</stp>
        <stp>LAST_CLOSE_TRR_5YR</stp>
        <stp>[grid1_3gmijm1c.xlsx]Worksheet!R69C9</stp>
        <tr r="I69" s="2"/>
      </tp>
      <tp>
        <v>4.711106</v>
        <stp/>
        <stp>##V3_BDPV12</stp>
        <stp>FEHAX US Equity</stp>
        <stp>LAST_CLOSE_TRR_3YR</stp>
        <stp>[grid1_3gmijm1c.xlsx]Worksheet!R69C8</stp>
        <tr r="H69" s="2"/>
      </tp>
      <tp>
        <v>6.7916559999999997</v>
        <stp/>
        <stp>##V3_BDPV12</stp>
        <stp>FEHAX US Equity</stp>
        <stp>LAST_CLOSE_TRR_1YR</stp>
        <stp>[grid1_3gmijm1c.xlsx]Worksheet!R69C7</stp>
        <tr r="G69" s="2"/>
      </tp>
      <tp>
        <v>5.3081969999999998</v>
        <stp/>
        <stp>##V3_BDPV12</stp>
        <stp>MDHAX US Equity</stp>
        <stp>LAST_CLOSE_TRR_5YR</stp>
        <stp>[grid1_3gmijm1c.xlsx]Worksheet!R22C9</stp>
        <tr r="I22" s="2"/>
      </tp>
      <tp>
        <v>3.8435280000000001</v>
        <stp/>
        <stp>##V3_BDPV12</stp>
        <stp>MDHAX US Equity</stp>
        <stp>LAST_CLOSE_TRR_3YR</stp>
        <stp>[grid1_3gmijm1c.xlsx]Worksheet!R22C8</stp>
        <tr r="H22" s="2"/>
      </tp>
      <tp>
        <v>2.6780940000000002</v>
        <stp/>
        <stp>##V3_BDPV12</stp>
        <stp>MDHAX US Equity</stp>
        <stp>LAST_CLOSE_TRR_1YR</stp>
        <stp>[grid1_3gmijm1c.xlsx]Worksheet!R22C7</stp>
        <tr r="G22" s="2"/>
      </tp>
      <tp>
        <v>3.7090700000000001</v>
        <stp/>
        <stp>##V3_BDPV12</stp>
        <stp>HYSAX US Equity</stp>
        <stp>LAST_CLOSE_TRR_1YR</stp>
        <stp>[grid1_3gmijm1c.xlsx]Worksheet!R24C7</stp>
        <tr r="G24" s="2"/>
      </tp>
      <tp>
        <v>5.2669269999999999</v>
        <stp/>
        <stp>##V3_BDPV12</stp>
        <stp>HYSAX US Equity</stp>
        <stp>LAST_CLOSE_TRR_3YR</stp>
        <stp>[grid1_3gmijm1c.xlsx]Worksheet!R24C8</stp>
        <tr r="H24" s="2"/>
      </tp>
      <tp>
        <v>5.4826259999999998</v>
        <stp/>
        <stp>##V3_BDPV12</stp>
        <stp>HYSAX US Equity</stp>
        <stp>LAST_CLOSE_TRR_5YR</stp>
        <stp>[grid1_3gmijm1c.xlsx]Worksheet!R24C9</stp>
        <tr r="I24" s="2"/>
      </tp>
      <tp>
        <v>4.6786849999999998</v>
        <stp/>
        <stp>##V3_BDPV12</stp>
        <stp>MSYIX US Equity</stp>
        <stp>LAST_CLOSE_TRR_3YR</stp>
        <stp>[grid1_3gmijm1c.xlsx]Worksheet!R91C8</stp>
        <tr r="H91" s="2"/>
      </tp>
      <tp>
        <v>7.3866459999999998</v>
        <stp/>
        <stp>##V3_BDPV12</stp>
        <stp>MSYIX US Equity</stp>
        <stp>LAST_CLOSE_TRR_5YR</stp>
        <stp>[grid1_3gmijm1c.xlsx]Worksheet!R91C9</stp>
        <tr r="I91" s="2"/>
      </tp>
      <tp>
        <v>2.9188429999999999</v>
        <stp/>
        <stp>##V3_BDPV12</stp>
        <stp>MSYIX US Equity</stp>
        <stp>LAST_CLOSE_TRR_1YR</stp>
        <stp>[grid1_3gmijm1c.xlsx]Worksheet!R91C7</stp>
        <tr r="G91" s="2"/>
      </tp>
      <tp>
        <v>2.4559989999999998</v>
        <stp/>
        <stp>##V3_BDPV12</stp>
        <stp>AGDAX US Equity</stp>
        <stp>LAST_CLOSE_TRR_YTD</stp>
        <stp>[grid1_3gmijm1c.xlsx]Worksheet!R40C6</stp>
        <tr r="F40" s="2"/>
      </tp>
      <tp>
        <v>6.263363</v>
        <stp/>
        <stp>##V3_BDPV12</stp>
        <stp>HAHAX US Equity</stp>
        <stp>LAST_CLOSE_TRR_YTD</stp>
        <stp>[grid1_3gmijm1c.xlsx]Worksheet!R99C6</stp>
        <tr r="F99" s="2"/>
      </tp>
      <tp>
        <v>8.6066479999999999</v>
        <stp/>
        <stp>##V3_BDPV12</stp>
        <stp>ICMUX US Equity</stp>
        <stp>LAST_CLOSE_TRR_YTD</stp>
        <stp>[grid1_3gmijm1c.xlsx]Worksheet!R18C6</stp>
        <tr r="F18" s="2"/>
      </tp>
      <tp>
        <v>6.4889099999999997</v>
        <stp/>
        <stp>##V3_BDPV12</stp>
        <stp>MKHCX US Equity</stp>
        <stp>LAST_CLOSE_TRR_5YR</stp>
        <stp>[grid1_3gmijm1c.xlsx]Worksheet!R41C9</stp>
        <tr r="I41" s="2"/>
      </tp>
      <tp>
        <v>4.1748250000000002</v>
        <stp/>
        <stp>##V3_BDPV12</stp>
        <stp>MKHCX US Equity</stp>
        <stp>LAST_CLOSE_TRR_3YR</stp>
        <stp>[grid1_3gmijm1c.xlsx]Worksheet!R41C8</stp>
        <tr r="H41" s="2"/>
      </tp>
      <tp>
        <v>3.5661019999999999</v>
        <stp/>
        <stp>##V3_BDPV12</stp>
        <stp>MKHCX US Equity</stp>
        <stp>LAST_CLOSE_TRR_1YR</stp>
        <stp>[grid1_3gmijm1c.xlsx]Worksheet!R41C7</stp>
        <tr r="G41" s="2"/>
      </tp>
      <tp>
        <v>5.7225919999999997</v>
        <stp/>
        <stp>##V3_BDPV12</stp>
        <stp>KHYAX US Equity</stp>
        <stp>LAST_CLOSE_TRR_3YR</stp>
        <stp>[grid1_3gmijm1c.xlsx]Worksheet!R97C8</stp>
        <tr r="H97" s="2"/>
      </tp>
      <tp>
        <v>7.4448270000000001</v>
        <stp/>
        <stp>##V3_BDPV12</stp>
        <stp>KHYAX US Equity</stp>
        <stp>LAST_CLOSE_TRR_5YR</stp>
        <stp>[grid1_3gmijm1c.xlsx]Worksheet!R97C9</stp>
        <tr r="I97" s="2"/>
      </tp>
      <tp>
        <v>5.5000929999999997</v>
        <stp/>
        <stp>##V3_BDPV12</stp>
        <stp>KHYAX US Equity</stp>
        <stp>LAST_CLOSE_TRR_1YR</stp>
        <stp>[grid1_3gmijm1c.xlsx]Worksheet!R97C7</stp>
        <tr r="G97" s="2"/>
      </tp>
      <tp>
        <v>4.9389500000000002</v>
        <stp/>
        <stp>##V3_BDPV12</stp>
        <stp>INEAX US Equity</stp>
        <stp>LAST_CLOSE_TRR_1YR</stp>
        <stp>[grid1_3gmijm1c.xlsx]Worksheet!R55C7</stp>
        <tr r="G55" s="2"/>
      </tp>
      <tp>
        <v>5.3704029999999996</v>
        <stp/>
        <stp>##V3_BDPV12</stp>
        <stp>INEAX US Equity</stp>
        <stp>LAST_CLOSE_TRR_3YR</stp>
        <stp>[grid1_3gmijm1c.xlsx]Worksheet!R55C8</stp>
        <tr r="H55" s="2"/>
      </tp>
      <tp>
        <v>6.7410079999999999</v>
        <stp/>
        <stp>##V3_BDPV12</stp>
        <stp>INEAX US Equity</stp>
        <stp>LAST_CLOSE_TRR_5YR</stp>
        <stp>[grid1_3gmijm1c.xlsx]Worksheet!R55C9</stp>
        <tr r="I55" s="2"/>
      </tp>
      <tp>
        <v>4.2228560000000002</v>
        <stp/>
        <stp>##V3_BDPV12</stp>
        <stp>CWFIX US Equity</stp>
        <stp>LAST_CLOSE_TRR_YTD</stp>
        <stp>[grid1_3gmijm1c.xlsx]Worksheet!R12C6</stp>
        <tr r="F12" s="2"/>
      </tp>
      <tp>
        <v>4.1087559999999996</v>
        <stp/>
        <stp>##V3_BDPV12</stp>
        <stp>EVIBX US Equity</stp>
        <stp>LAST_CLOSE_TRR_YTD</stp>
        <stp>[grid1_3gmijm1c.xlsx]Worksheet!R44C6</stp>
        <tr r="F44" s="2"/>
      </tp>
      <tp>
        <v>3.2166269999999999</v>
        <stp/>
        <stp>##V3_BDPV12</stp>
        <stp>FSBHX US Equity</stp>
        <stp>LAST_CLOSE_TRR_YTD</stp>
        <stp>[grid1_3gmijm1c.xlsx]Worksheet!R17C6</stp>
        <tr r="F17" s="2"/>
      </tp>
      <tp>
        <v>2.6206680000000002</v>
        <stp/>
        <stp>##V3_BDPV12</stp>
        <stp>ESHAX US Equity</stp>
        <stp>LAST_CLOSE_TRR_YTD</stp>
        <stp>[grid1_3gmijm1c.xlsx]Worksheet!R14C6</stp>
        <tr r="F14" s="2"/>
      </tp>
      <tp>
        <v>8.8015500000000007</v>
        <stp/>
        <stp>##V3_BDPV12</stp>
        <stp>PGHYX US Equity</stp>
        <stp>LAST_CLOSE_TRR_3MO</stp>
        <stp>[grid1_3gmijm1c.xlsx]Worksheet!R39C5</stp>
        <tr r="E39" s="2"/>
      </tp>
      <tp>
        <v>2.3579150000000002</v>
        <stp/>
        <stp>##V3_BDPV12</stp>
        <stp>PGHYX US Equity</stp>
        <stp>LAST_CLOSE_TRR_1MO</stp>
        <stp>[grid1_3gmijm1c.xlsx]Worksheet!R39C4</stp>
        <tr r="D39" s="2"/>
      </tp>
      <tp>
        <v>5.332382</v>
        <stp/>
        <stp>##V3_BDPV12</stp>
        <stp>FHIIX US Equity</stp>
        <stp>LAST_CLOSE_TRR_YTD</stp>
        <stp>[grid1_3gmijm1c.xlsx]Worksheet!R96C6</stp>
        <tr r="F96" s="2"/>
      </tp>
      <tp>
        <v>4.8693619999999997</v>
        <stp/>
        <stp>##V3_BDPV12</stp>
        <stp>BJBHX US Equity</stp>
        <stp>LAST_CLOSE_TRR_YTD</stp>
        <stp>[grid1_3gmijm1c.xlsx]Worksheet!R42C6</stp>
        <tr r="F42" s="2"/>
      </tp>
      <tp>
        <v>7.0597060000000003</v>
        <stp/>
        <stp>##V3_BDPV12</stp>
        <stp>HBYAX US Equity</stp>
        <stp>LAST_CLOSE_TRR_YTD</stp>
        <stp>[grid1_3gmijm1c.xlsx]Worksheet!R58C6</stp>
        <tr r="F58" s="2"/>
      </tp>
      <tp>
        <v>9.1067219999999995</v>
        <stp/>
        <stp>##V3_BDPV12</stp>
        <stp>HBIAX US Equity</stp>
        <stp>LAST_CLOSE_TRR_YTD</stp>
        <stp>[grid1_3gmijm1c.xlsx]Worksheet!R38C6</stp>
        <tr r="F38" s="2"/>
      </tp>
      <tp>
        <v>-0.24475549999999999</v>
        <stp/>
        <stp>##V3_BDPV12</stp>
        <stp>FYAIX US Equity</stp>
        <stp>LAST_CLOSE_TRR_YTD</stp>
        <stp>[grid1_3gmijm1c.xlsx]Worksheet!R16C6</stp>
        <tr r="F16" s="2"/>
      </tp>
      <tp>
        <v>5.3337339999999998</v>
        <stp/>
        <stp>##V3_BDPV12</stp>
        <stp>HYFAX US Equity</stp>
        <stp>LAST_CLOSE_TRR_YTD</stp>
        <stp>[grid1_3gmijm1c.xlsx]Worksheet!R68C6</stp>
        <tr r="F68" s="2"/>
      </tp>
      <tp>
        <v>3.8123</v>
        <stp/>
        <stp>##V3_BDPV12</stp>
        <stp>ETHIX US Equity</stp>
        <stp>LAST_CLOSE_TRR_YTD</stp>
        <stp>[grid1_3gmijm1c.xlsx]Worksheet!R45C6</stp>
        <tr r="F45" s="2"/>
      </tp>
      <tp>
        <v>25.102789999999999</v>
        <stp/>
        <stp>##V3_BDPV12</stp>
        <stp>LSIOX US Equity</stp>
        <stp>CUST_TRR_RETURN_ANNUALIZED</stp>
        <stp>[grid1_3gmijm1c.xlsx]Worksheet!R143C3</stp>
        <stp>CUST_TRR_START_DT=20200626</stp>
        <stp>CUST_TRR_END_DT=20201226</stp>
        <tr r="C143" s="2"/>
      </tp>
      <tp>
        <v>28.065110000000001</v>
        <stp/>
        <stp>##V3_BDPV12</stp>
        <stp>GUHYX US Equity</stp>
        <stp>CUST_TRR_RETURN_ANNUALIZED</stp>
        <stp>[grid1_3gmijm1c.xlsx]Worksheet!R145C3</stp>
        <stp>CUST_TRR_START_DT=20200626</stp>
        <stp>CUST_TRR_END_DT=20201226</stp>
        <tr r="C145" s="2"/>
      </tp>
      <tp>
        <v>16.965720000000001</v>
        <stp/>
        <stp>##V3_BDPV12</stp>
        <stp>HSNAX US Equity</stp>
        <stp>CUST_TRR_RETURN_ANNUALIZED</stp>
        <stp>[grid1_3gmijm1c.xlsx]Worksheet!R113C3</stp>
        <stp>CUST_TRR_START_DT=20200626</stp>
        <stp>CUST_TRR_END_DT=20201226</stp>
        <tr r="C113" s="2"/>
      </tp>
      <tp>
        <v>5.2905030000000002</v>
        <stp/>
        <stp>##V3_BDPV12</stp>
        <stp>ASHAX US Equity</stp>
        <stp>LAST_CLOSE_TRR_YTD</stp>
        <stp>[grid1_3gmijm1c.xlsx]Worksheet!R21C6</stp>
        <tr r="F21" s="2"/>
      </tp>
      <tp t="s">
        <v>12/24/2020</v>
        <stp/>
        <stp>##V3_BDPV12</stp>
        <stp>SSTHX US Equity</stp>
        <stp>PX_CLOSE_DT</stp>
        <stp>[grid1_3gmijm1c.xlsx]Worksheet!R10C10</stp>
        <tr r="J10" s="2"/>
      </tp>
      <tp t="s">
        <v>12/24/2020</v>
        <stp/>
        <stp>##V3_BDPV12</stp>
        <stp>RBTRX US Equity</stp>
        <stp>PX_CLOSE_DT</stp>
        <stp>[grid1_3gmijm1c.xlsx]Worksheet!R11C10</stp>
        <tr r="J11" s="2"/>
      </tp>
      <tp t="s">
        <v>12/24/2020</v>
        <stp/>
        <stp>##V3_BDPV12</stp>
        <stp>HYSAX US Equity</stp>
        <stp>PX_CLOSE_DT</stp>
        <stp>[grid1_3gmijm1c.xlsx]Worksheet!R24C10</stp>
        <tr r="J24" s="2"/>
      </tp>
      <tp t="s">
        <v>12/24/2020</v>
        <stp/>
        <stp>##V3_BDPV12</stp>
        <stp>THYCX US Equity</stp>
        <stp>PX_CLOSE_DT</stp>
        <stp>[grid1_3gmijm1c.xlsx]Worksheet!R26C10</stp>
        <tr r="J26" s="2"/>
      </tp>
      <tp t="s">
        <v>12/24/2020</v>
        <stp/>
        <stp>##V3_BDPV12</stp>
        <stp>KHYAX US Equity</stp>
        <stp>PX_CLOSE_DT</stp>
        <stp>[grid1_3gmijm1c.xlsx]Worksheet!R97C10</stp>
        <tr r="J97" s="2"/>
      </tp>
      <tp t="s">
        <v>12/24/2020</v>
        <stp/>
        <stp>##V3_BDPV12</stp>
        <stp>LHYAX US Equity</stp>
        <stp>PX_CLOSE_DT</stp>
        <stp>[grid1_3gmijm1c.xlsx]Worksheet!R92C10</stp>
        <tr r="J92" s="2"/>
      </tp>
      <tp t="s">
        <v>12/24/2020</v>
        <stp/>
        <stp>##V3_BDPV12</stp>
        <stp>OGYAX US Equity</stp>
        <stp>PX_CLOSE_DT</stp>
        <stp>[grid1_3gmijm1c.xlsx]Worksheet!R47C10</stp>
        <tr r="J47" s="2"/>
      </tp>
      <tp t="s">
        <v>12/24/2020</v>
        <stp/>
        <stp>##V3_BDPV12</stp>
        <stp>IHYAX US Equity</stp>
        <stp>PX_CLOSE_DT</stp>
        <stp>[grid1_3gmijm1c.xlsx]Worksheet!R60C10</stp>
        <tr r="J60" s="2"/>
      </tp>
      <tp t="s">
        <v>12/24/2020</v>
        <stp/>
        <stp>##V3_BDPV12</stp>
        <stp>JHYAX US Equity</stp>
        <stp>PX_CLOSE_DT</stp>
        <stp>[grid1_3gmijm1c.xlsx]Worksheet!R64C10</stp>
        <tr r="J64" s="2"/>
      </tp>
      <tp t="s">
        <v>12/24/2020</v>
        <stp/>
        <stp>##V3_BDPV12</stp>
        <stp>HBYAX US Equity</stp>
        <stp>PX_CLOSE_DT</stp>
        <stp>[grid1_3gmijm1c.xlsx]Worksheet!R58C10</stp>
        <tr r="J58" s="2"/>
      </tp>
      <tp t="s">
        <v>12/24/2020</v>
        <stp/>
        <stp>##V3_BDPV12</stp>
        <stp>OHYFX US Equity</stp>
        <stp>PX_CLOSE_DT</stp>
        <stp>[grid1_3gmijm1c.xlsx]Worksheet!R48C10</stp>
        <tr r="J48" s="2"/>
      </tp>
      <tp t="s">
        <v>12/24/2020</v>
        <stp/>
        <stp>##V3_BDPV12</stp>
        <stp>MSYIX US Equity</stp>
        <stp>PX_CLOSE_DT</stp>
        <stp>[grid1_3gmijm1c.xlsx]Worksheet!R91C10</stp>
        <tr r="J91" s="2"/>
      </tp>
      <tp t="s">
        <v>12/24/2020</v>
        <stp/>
        <stp>##V3_BDPV12</stp>
        <stp>SHYIX US Equity</stp>
        <stp>PX_CLOSE_DT</stp>
        <stp>[grid1_3gmijm1c.xlsx]Worksheet!R88C10</stp>
        <tr r="J88" s="2"/>
      </tp>
      <tp t="s">
        <v>12/24/2020</v>
        <stp/>
        <stp>##V3_BDPV12</stp>
        <stp>PHYNX US Equity</stp>
        <stp>PX_CLOSE_DT</stp>
        <stp>[grid1_3gmijm1c.xlsx]Worksheet!R71C10</stp>
        <tr r="J71" s="2"/>
      </tp>
      <tp t="s">
        <v>12/24/2020</v>
        <stp/>
        <stp>##V3_BDPV12</stp>
        <stp>AHYVX US Equity</stp>
        <stp>PX_CLOSE_DT</stp>
        <stp>[grid1_3gmijm1c.xlsx]Worksheet!R52C10</stp>
        <tr r="J52" s="2"/>
      </tp>
      <tp t="s">
        <v>12/24/2020</v>
        <stp/>
        <stp>##V3_BDPV12</stp>
        <stp>THYUX US Equity</stp>
        <stp>PX_CLOSE_DT</stp>
        <stp>[grid1_3gmijm1c.xlsx]Worksheet!R51C10</stp>
        <tr r="J51" s="2"/>
      </tp>
      <tp t="s">
        <v>12/24/2020</v>
        <stp/>
        <stp>##V3_BDPV12</stp>
        <stp>FHYTX US Equity</stp>
        <stp>PX_CLOSE_DT</stp>
        <stp>[grid1_3gmijm1c.xlsx]Worksheet!R94C10</stp>
        <tr r="J94" s="2"/>
      </tp>
      <tp t="s">
        <v>12/24/2020</v>
        <stp/>
        <stp>##V3_BDPV12</stp>
        <stp>PHYTX US Equity</stp>
        <stp>PX_CLOSE_DT</stp>
        <stp>[grid1_3gmijm1c.xlsx]Worksheet!R90C10</stp>
        <tr r="J90" s="2"/>
      </tp>
      <tp t="s">
        <v>12/24/2020</v>
        <stp/>
        <stp>##V3_BDPV12</stp>
        <stp>LMZIX US Equity</stp>
        <stp>PX_CLOSE_DT</stp>
        <stp>[grid1_3gmijm1c.xlsx]Worksheet!R89C10</stp>
        <tr r="J89" s="2"/>
      </tp>
      <tp t="s">
        <v>12/24/2020</v>
        <stp/>
        <stp>##V3_BDPV12</stp>
        <stp>AGDAX US Equity</stp>
        <stp>PX_CLOSE_DT</stp>
        <stp>[grid1_3gmijm1c.xlsx]Worksheet!R40C10</stp>
        <tr r="J40" s="2"/>
      </tp>
      <tp t="s">
        <v>12/24/2020</v>
        <stp/>
        <stp>##V3_BDPV12</stp>
        <stp>PHDAX US Equity</stp>
        <stp>PX_CLOSE_DT</stp>
        <stp>[grid1_3gmijm1c.xlsx]Worksheet!R67C10</stp>
        <tr r="J67" s="2"/>
      </tp>
      <tp t="s">
        <v>12/24/2020</v>
        <stp/>
        <stp>##V3_BDPV12</stp>
        <stp>INEAX US Equity</stp>
        <stp>PX_CLOSE_DT</stp>
        <stp>[grid1_3gmijm1c.xlsx]Worksheet!R55C10</stp>
        <tr r="J55" s="2"/>
      </tp>
      <tp t="s">
        <v>12/24/2020</v>
        <stp/>
        <stp>##V3_BDPV12</stp>
        <stp>VWEHX US Equity</stp>
        <stp>PX_CLOSE_DT</stp>
        <stp>[grid1_3gmijm1c.xlsx]Worksheet!R74C10</stp>
        <tr r="J74" s="2"/>
      </tp>
      <tp t="s">
        <v>12/24/2020</v>
        <stp/>
        <stp>##V3_BDPV12</stp>
        <stp>HYFAX US Equity</stp>
        <stp>PX_CLOSE_DT</stp>
        <stp>[grid1_3gmijm1c.xlsx]Worksheet!R68C10</stp>
        <tr r="J68" s="2"/>
      </tp>
      <tp t="s">
        <v>12/24/2020</v>
        <stp/>
        <stp>##V3_BDPV12</stp>
        <stp>CWFIX US Equity</stp>
        <stp>PX_CLOSE_DT</stp>
        <stp>[grid1_3gmijm1c.xlsx]Worksheet!R12C10</stp>
        <tr r="J12" s="2"/>
      </tp>
      <tp t="s">
        <v>12/24/2020</v>
        <stp/>
        <stp>##V3_BDPV12</stp>
        <stp>FIFIX US Equity</stp>
        <stp>PX_CLOSE_DT</stp>
        <stp>[grid1_3gmijm1c.xlsx]Worksheet!R33C10</stp>
        <tr r="J33" s="2"/>
      </tp>
      <tp t="s">
        <v>12/24/2020</v>
        <stp/>
        <stp>##V3_BDPV12</stp>
        <stp>NHFIX US Equity</stp>
        <stp>PX_CLOSE_DT</stp>
        <stp>[grid1_3gmijm1c.xlsx]Worksheet!R75C10</stp>
        <tr r="J75" s="2"/>
      </tp>
      <tp t="s">
        <v>12/24/2020</v>
        <stp/>
        <stp>##V3_BDPV12</stp>
        <stp>BUFHX US Equity</stp>
        <stp>PX_CLOSE_DT</stp>
        <stp>[grid1_3gmijm1c.xlsx]Worksheet!R35C10</stp>
        <tr r="J35" s="2"/>
      </tp>
      <tp t="s">
        <v>12/24/2020</v>
        <stp/>
        <stp>##V3_BDPV12</stp>
        <stp>MRGIX US Equity</stp>
        <stp>PX_CLOSE_DT</stp>
        <stp>[grid1_3gmijm1c.xlsx]Worksheet!R23C10</stp>
        <tr r="J23" s="2"/>
      </tp>
      <tp t="s">
        <v>12/24/2020</v>
        <stp/>
        <stp>##V3_BDPV12</stp>
        <stp>WHGHX US Equity</stp>
        <stp>PX_CLOSE_DT</stp>
        <stp>[grid1_3gmijm1c.xlsx]Worksheet!R73C10</stp>
        <tr r="J73" s="2"/>
      </tp>
      <tp t="s">
        <v>12/24/2020</v>
        <stp/>
        <stp>##V3_BDPV12</stp>
        <stp>HFAAX US Equity</stp>
        <stp>PX_CLOSE_DT</stp>
        <stp>[grid1_3gmijm1c.xlsx]Worksheet!R30C10</stp>
        <tr r="J30" s="2"/>
      </tp>
      <tp t="s">
        <v>12/24/2020</v>
        <stp/>
        <stp>##V3_BDPV12</stp>
        <stp>FYAIX US Equity</stp>
        <stp>PX_CLOSE_DT</stp>
        <stp>[grid1_3gmijm1c.xlsx]Worksheet!R16C10</stp>
        <tr r="J16" s="2"/>
      </tp>
      <tp t="s">
        <v>12/24/2020</v>
        <stp/>
        <stp>##V3_BDPV12</stp>
        <stp>CYBIX US Equity</stp>
        <stp>PX_CLOSE_DT</stp>
        <stp>[grid1_3gmijm1c.xlsx]Worksheet!R49C10</stp>
        <tr r="J49" s="2"/>
      </tp>
      <tp t="s">
        <v>12/24/2020</v>
        <stp/>
        <stp>##V3_BDPV12</stp>
        <stp>BJBHX US Equity</stp>
        <stp>PX_CLOSE_DT</stp>
        <stp>[grid1_3gmijm1c.xlsx]Worksheet!R42C10</stp>
        <tr r="J42" s="2"/>
      </tp>
      <tp t="s">
        <v>12/24/2020</v>
        <stp/>
        <stp>##V3_BDPV12</stp>
        <stp>FSBHX US Equity</stp>
        <stp>PX_CLOSE_DT</stp>
        <stp>[grid1_3gmijm1c.xlsx]Worksheet!R17C10</stp>
        <tr r="J17" s="2"/>
      </tp>
      <tp t="s">
        <v>12/24/2020</v>
        <stp/>
        <stp>##V3_BDPV12</stp>
        <stp>AYBVX US Equity</stp>
        <stp>PX_CLOSE_DT</stp>
        <stp>[grid1_3gmijm1c.xlsx]Worksheet!R34C10</stp>
        <tr r="J34" s="2"/>
      </tp>
      <tp t="s">
        <v>12/24/2020</v>
        <stp/>
        <stp>##V3_BDPV12</stp>
        <stp>PHCHX US Equity</stp>
        <stp>PX_CLOSE_DT</stp>
        <stp>[grid1_3gmijm1c.xlsx]Worksheet!R81C10</stp>
        <tr r="J81" s="2"/>
      </tp>
      <tp t="s">
        <v>12/24/2020</v>
        <stp/>
        <stp>##V3_BDPV12</stp>
        <stp>DPLTX US Equity</stp>
        <stp>PX_CLOSE_DT</stp>
        <stp>[grid1_3gmijm1c.xlsx]Worksheet!R56C10</stp>
        <tr r="J56" s="2"/>
      </tp>
      <tp t="s">
        <v>12/24/2020</v>
        <stp/>
        <stp>##V3_BDPV12</stp>
        <stp>WTLTX US Equity</stp>
        <stp>PX_CLOSE_DT</stp>
        <stp>[grid1_3gmijm1c.xlsx]Worksheet!R79C10</stp>
        <tr r="J79" s="2"/>
      </tp>
      <tp t="s">
        <v>12/24/2020</v>
        <stp/>
        <stp>##V3_BDPV12</stp>
        <stp>RIMOX US Equity</stp>
        <stp>PX_CLOSE_DT</stp>
        <stp>[grid1_3gmijm1c.xlsx]Worksheet!R20C10</stp>
        <tr r="J20" s="2"/>
      </tp>
      <tp t="s">
        <v>12/24/2020</v>
        <stp/>
        <stp>##V3_BDPV12</stp>
        <stp>ICMUX US Equity</stp>
        <stp>PX_CLOSE_DT</stp>
        <stp>[grid1_3gmijm1c.xlsx]Worksheet!R18C10</stp>
        <tr r="J18" s="2"/>
      </tp>
      <tp t="s">
        <v>12/24/2020</v>
        <stp/>
        <stp>##V3_BDPV12</stp>
        <stp>MHOBX US Equity</stp>
        <stp>PX_CLOSE_DT</stp>
        <stp>[grid1_3gmijm1c.xlsx]Worksheet!R29C10</stp>
        <tr r="J29" s="2"/>
      </tp>
      <tp t="s">
        <v>12/24/2020</v>
        <stp/>
        <stp>##V3_BDPV12</stp>
        <stp>NCOAX US Equity</stp>
        <stp>PX_CLOSE_DT</stp>
        <stp>[grid1_3gmijm1c.xlsx]Worksheet!R98C10</stp>
        <tr r="J98" s="2"/>
      </tp>
      <tp t="s">
        <v>12/24/2020</v>
        <stp/>
        <stp>##V3_BDPV12</stp>
        <stp>DHOAX US Equity</stp>
        <stp>PX_CLOSE_DT</stp>
        <stp>[grid1_3gmijm1c.xlsx]Worksheet!R82C10</stp>
        <tr r="J82" s="2"/>
      </tp>
      <tp t="s">
        <v>12/24/2020</v>
        <stp/>
        <stp>##V3_BDPV12</stp>
        <stp>SHOAX US Equity</stp>
        <stp>PX_CLOSE_DT</stp>
        <stp>[grid1_3gmijm1c.xlsx]Worksheet!R95C10</stp>
        <tr r="J95" s="2"/>
      </tp>
      <tp t="s">
        <v>12/24/2020</v>
        <stp/>
        <stp>##V3_BDPV12</stp>
        <stp>MKHCX US Equity</stp>
        <stp>PX_CLOSE_DT</stp>
        <stp>[grid1_3gmijm1c.xlsx]Worksheet!R41C10</stp>
        <tr r="J41" s="2"/>
      </tp>
      <tp t="s">
        <v>12/24/2020</v>
        <stp/>
        <stp>##V3_BDPV12</stp>
        <stp>JHHBX US Equity</stp>
        <stp>PX_CLOSE_DT</stp>
        <stp>[grid1_3gmijm1c.xlsx]Worksheet!R80C10</stp>
        <tr r="J80" s="2"/>
      </tp>
      <tp t="s">
        <v>12/24/2020</v>
        <stp/>
        <stp>##V3_BDPV12</stp>
        <stp>ASHAX US Equity</stp>
        <stp>PX_CLOSE_DT</stp>
        <stp>[grid1_3gmijm1c.xlsx]Worksheet!R21C10</stp>
        <tr r="J21" s="2"/>
      </tp>
      <tp t="s">
        <v>12/24/2020</v>
        <stp/>
        <stp>##V3_BDPV12</stp>
        <stp>FEHAX US Equity</stp>
        <stp>PX_CLOSE_DT</stp>
        <stp>[grid1_3gmijm1c.xlsx]Worksheet!R69C10</stp>
        <tr r="J69" s="2"/>
      </tp>
      <tp t="s">
        <v>12/24/2020</v>
        <stp/>
        <stp>##V3_BDPV12</stp>
        <stp>ALHAX US Equity</stp>
        <stp>PX_CLOSE_DT</stp>
        <stp>[grid1_3gmijm1c.xlsx]Worksheet!R19C10</stp>
        <tr r="J19" s="2"/>
      </tp>
      <tp t="s">
        <v>12/24/2020</v>
        <stp/>
        <stp>##V3_BDPV12</stp>
        <stp>GSHAX US Equity</stp>
        <stp>PX_CLOSE_DT</stp>
        <stp>[grid1_3gmijm1c.xlsx]Worksheet!R61C10</stp>
        <tr r="J61" s="2"/>
      </tp>
      <tp t="s">
        <v>12/24/2020</v>
        <stp/>
        <stp>##V3_BDPV12</stp>
        <stp>HAHAX US Equity</stp>
        <stp>PX_CLOSE_DT</stp>
        <stp>[grid1_3gmijm1c.xlsx]Worksheet!R99C10</stp>
        <tr r="J99" s="2"/>
      </tp>
      <tp t="s">
        <v>12/24/2020</v>
        <stp/>
        <stp>##V3_BDPV12</stp>
        <stp>EKHAX US Equity</stp>
        <stp>PX_CLOSE_DT</stp>
        <stp>[grid1_3gmijm1c.xlsx]Worksheet!R46C10</stp>
        <tr r="J46" s="2"/>
      </tp>
      <tp t="s">
        <v>12/24/2020</v>
        <stp/>
        <stp>##V3_BDPV12</stp>
        <stp>FDHAX US Equity</stp>
        <stp>PX_CLOSE_DT</stp>
        <stp>[grid1_3gmijm1c.xlsx]Worksheet!R15C10</stp>
        <tr r="J15" s="2"/>
      </tp>
      <tp t="s">
        <v>12/24/2020</v>
        <stp/>
        <stp>##V3_BDPV12</stp>
        <stp>ESHAX US Equity</stp>
        <stp>PX_CLOSE_DT</stp>
        <stp>[grid1_3gmijm1c.xlsx]Worksheet!R14C10</stp>
        <tr r="J14" s="2"/>
      </tp>
      <tp t="s">
        <v>12/24/2020</v>
        <stp/>
        <stp>##V3_BDPV12</stp>
        <stp>BXHAX US Equity</stp>
        <stp>PX_CLOSE_DT</stp>
        <stp>[grid1_3gmijm1c.xlsx]Worksheet!R70C10</stp>
        <tr r="J70" s="2"/>
      </tp>
      <tp t="s">
        <v>12/24/2020</v>
        <stp/>
        <stp>##V3_BDPV12</stp>
        <stp>MPHAX US Equity</stp>
        <stp>PX_CLOSE_DT</stp>
        <stp>[grid1_3gmijm1c.xlsx]Worksheet!R57C10</stp>
        <tr r="J57" s="2"/>
      </tp>
      <tp t="s">
        <v>12/24/2020</v>
        <stp/>
        <stp>##V3_BDPV12</stp>
        <stp>MDHAX US Equity</stp>
        <stp>PX_CLOSE_DT</stp>
        <stp>[grid1_3gmijm1c.xlsx]Worksheet!R22C10</stp>
        <tr r="J22" s="2"/>
      </tp>
      <tp t="s">
        <v>12/24/2020</v>
        <stp/>
        <stp>##V3_BDPV12</stp>
        <stp>TPHAX US Equity</stp>
        <stp>PX_CLOSE_DT</stp>
        <stp>[grid1_3gmijm1c.xlsx]Worksheet!R66C10</stp>
        <tr r="J66" s="2"/>
      </tp>
      <tp t="s">
        <v>12/24/2020</v>
        <stp/>
        <stp>##V3_BDPV12</stp>
        <stp>ETHIX US Equity</stp>
        <stp>PX_CLOSE_DT</stp>
        <stp>[grid1_3gmijm1c.xlsx]Worksheet!R45C10</stp>
        <tr r="J45" s="2"/>
      </tp>
      <tp t="s">
        <v>12/24/2020</v>
        <stp/>
        <stp>##V3_BDPV12</stp>
        <stp>LSHIX US Equity</stp>
        <stp>PX_CLOSE_DT</stp>
        <stp>[grid1_3gmijm1c.xlsx]Worksheet!R76C10</stp>
        <tr r="J76" s="2"/>
      </tp>
      <tp t="s">
        <v>12/24/2020</v>
        <stp/>
        <stp>##V3_BDPV12</stp>
        <stp>HWHIX US Equity</stp>
        <stp>PX_CLOSE_DT</stp>
        <stp>[grid1_3gmijm1c.xlsx]Worksheet!R43C10</stp>
        <tr r="J43" s="2"/>
      </tp>
      <tp t="s">
        <v>12/24/2020</v>
        <stp/>
        <stp>##V3_BDPV12</stp>
        <stp>PYHIX US Equity</stp>
        <stp>PX_CLOSE_DT</stp>
        <stp>[grid1_3gmijm1c.xlsx]Worksheet!R54C10</stp>
        <tr r="J54" s="2"/>
      </tp>
      <tp t="s">
        <v>12/24/2020</v>
        <stp/>
        <stp>##V3_BDPV12</stp>
        <stp>SPHIX US Equity</stp>
        <stp>PX_CLOSE_DT</stp>
        <stp>[grid1_3gmijm1c.xlsx]Worksheet!R84C10</stp>
        <tr r="J84" s="2"/>
      </tp>
      <tp t="s">
        <v>12/24/2020</v>
        <stp/>
        <stp>##V3_BDPV12</stp>
        <stp>FGHNX US Equity</stp>
        <stp>PX_CLOSE_DT</stp>
        <stp>[grid1_3gmijm1c.xlsx]Worksheet!R72C10</stp>
        <tr r="J72" s="2"/>
      </tp>
      <tp t="s">
        <v>12/24/2020</v>
        <stp/>
        <stp>##V3_BDPV12</stp>
        <stp>PYHRX US Equity</stp>
        <stp>PX_CLOSE_DT</stp>
        <stp>[grid1_3gmijm1c.xlsx]Worksheet!R93C10</stp>
        <tr r="J93" s="2"/>
      </tp>
      <tp t="s">
        <v>12/24/2020</v>
        <stp/>
        <stp>##V3_BDPV12</stp>
        <stp>AMHYX US Equity</stp>
        <stp>PX_CLOSE_DT</stp>
        <stp>[grid1_3gmijm1c.xlsx]Worksheet!R27C10</stp>
        <tr r="J27" s="2"/>
      </tp>
      <tp t="s">
        <v>12/24/2020</v>
        <stp/>
        <stp>##V3_BDPV12</stp>
        <stp>CCHYX US Equity</stp>
        <stp>PX_CLOSE_DT</stp>
        <stp>[grid1_3gmijm1c.xlsx]Worksheet!R25C10</stp>
        <tr r="J25" s="2"/>
      </tp>
      <tp t="s">
        <v>12/24/2020</v>
        <stp/>
        <stp>##V3_BDPV12</stp>
        <stp>DCHYX US Equity</stp>
        <stp>PX_CLOSE_DT</stp>
        <stp>[grid1_3gmijm1c.xlsx]Worksheet!R32C10</stp>
        <tr r="J32" s="2"/>
      </tp>
      <tp t="s">
        <v>12/24/2020</v>
        <stp/>
        <stp>##V3_BDPV12</stp>
        <stp>MWHYX US Equity</stp>
        <stp>PX_CLOSE_DT</stp>
        <stp>[grid1_3gmijm1c.xlsx]Worksheet!R78C10</stp>
        <tr r="J78" s="2"/>
      </tp>
      <tp t="s">
        <v>12/24/2020</v>
        <stp/>
        <stp>##V3_BDPV12</stp>
        <stp>LZHYX US Equity</stp>
        <stp>PX_CLOSE_DT</stp>
        <stp>[grid1_3gmijm1c.xlsx]Worksheet!R28C10</stp>
        <tr r="J28" s="2"/>
      </tp>
      <tp t="s">
        <v>12/24/2020</v>
        <stp/>
        <stp>##V3_BDPV12</stp>
        <stp>LBHYX US Equity</stp>
        <stp>PX_CLOSE_DT</stp>
        <stp>[grid1_3gmijm1c.xlsx]Worksheet!R37C10</stp>
        <tr r="J37" s="2"/>
      </tp>
      <tp t="s">
        <v>12/24/2020</v>
        <stp/>
        <stp>##V3_BDPV12</stp>
        <stp>PGHYX US Equity</stp>
        <stp>PX_CLOSE_DT</stp>
        <stp>[grid1_3gmijm1c.xlsx]Worksheet!R39C10</stp>
        <tr r="J39" s="2"/>
      </tp>
      <tp t="s">
        <v>12/24/2020</v>
        <stp/>
        <stp>##V3_BDPV12</stp>
        <stp>TAHYX US Equity</stp>
        <stp>PX_CLOSE_DT</stp>
        <stp>[grid1_3gmijm1c.xlsx]Worksheet!R59C10</stp>
        <tr r="J59" s="2"/>
      </tp>
      <tp t="s">
        <v>12/24/2020</v>
        <stp/>
        <stp>##V3_BDPV12</stp>
        <stp>SHHYX US Equity</stp>
        <stp>PX_CLOSE_DT</stp>
        <stp>[grid1_3gmijm1c.xlsx]Worksheet!R65C10</stp>
        <tr r="J65" s="2"/>
      </tp>
      <tp t="s">
        <v>12/24/2020</v>
        <stp/>
        <stp>##V3_BDPV12</stp>
        <stp>PRHYX US Equity</stp>
        <stp>PX_CLOSE_DT</stp>
        <stp>[grid1_3gmijm1c.xlsx]Worksheet!R86C10</stp>
        <tr r="J86" s="2"/>
      </tp>
      <tp t="s">
        <v>12/24/2020</v>
        <stp/>
        <stp>##V3_BDPV12</stp>
        <stp>TIHYX US Equity</stp>
        <stp>PX_CLOSE_DT</stp>
        <stp>[grid1_3gmijm1c.xlsx]Worksheet!R83C10</stp>
        <tr r="J83" s="2"/>
      </tp>
      <tp t="s">
        <v>12/24/2020</v>
        <stp/>
        <stp>##V3_BDPV12</stp>
        <stp>TGHYX US Equity</stp>
        <stp>PX_CLOSE_DT</stp>
        <stp>[grid1_3gmijm1c.xlsx]Worksheet!R85C10</stp>
        <tr r="J85" s="2"/>
      </tp>
      <tp t="s">
        <v>12/24/2020</v>
        <stp/>
        <stp>##V3_BDPV12</stp>
        <stp>USHYX US Equity</stp>
        <stp>PX_CLOSE_DT</stp>
        <stp>[grid1_3gmijm1c.xlsx]Worksheet!R87C10</stp>
        <tr r="J87" s="2"/>
      </tp>
      <tp t="s">
        <v>12/24/2020</v>
        <stp/>
        <stp>##V3_BDPV12</stp>
        <stp>EVIBX US Equity</stp>
        <stp>PX_CLOSE_DT</stp>
        <stp>[grid1_3gmijm1c.xlsx]Worksheet!R44C10</stp>
        <tr r="J44" s="2"/>
      </tp>
      <tp t="s">
        <v>12/24/2020</v>
        <stp/>
        <stp>##V3_BDPV12</stp>
        <stp>BXIAX US Equity</stp>
        <stp>PX_CLOSE_DT</stp>
        <stp>[grid1_3gmijm1c.xlsx]Worksheet!R31C10</stp>
        <tr r="J31" s="2"/>
      </tp>
      <tp t="s">
        <v>12/24/2020</v>
        <stp/>
        <stp>##V3_BDPV12</stp>
        <stp>HBIAX US Equity</stp>
        <stp>PX_CLOSE_DT</stp>
        <stp>[grid1_3gmijm1c.xlsx]Worksheet!R38C10</stp>
        <tr r="J38" s="2"/>
      </tp>
      <tp t="s">
        <v>12/24/2020</v>
        <stp/>
        <stp>##V3_BDPV12</stp>
        <stp>SHIAX US Equity</stp>
        <stp>PX_CLOSE_DT</stp>
        <stp>[grid1_3gmijm1c.xlsx]Worksheet!R36C10</stp>
        <tr r="J36" s="2"/>
      </tp>
      <tp t="s">
        <v>12/24/2020</v>
        <stp/>
        <stp>##V3_BDPV12</stp>
        <stp>FHIFX US Equity</stp>
        <stp>PX_CLOSE_DT</stp>
        <stp>[grid1_3gmijm1c.xlsx]Worksheet!R50C10</stp>
        <tr r="J50" s="2"/>
      </tp>
      <tp t="s">
        <v>12/24/2020</v>
        <stp/>
        <stp>##V3_BDPV12</stp>
        <stp>FHIIX US Equity</stp>
        <stp>PX_CLOSE_DT</stp>
        <stp>[grid1_3gmijm1c.xlsx]Worksheet!R96C10</stp>
        <tr r="J96" s="2"/>
      </tp>
      <tp t="s">
        <v>12/24/2020</v>
        <stp/>
        <stp>##V3_BDPV12</stp>
        <stp>NHINX US Equity</stp>
        <stp>PX_CLOSE_DT</stp>
        <stp>[grid1_3gmijm1c.xlsx]Worksheet!R77C10</stp>
        <tr r="J77" s="2"/>
      </tp>
      <tp t="s">
        <v>12/24/2020</v>
        <stp/>
        <stp>##V3_BDPV12</stp>
        <stp>ATIPX US Equity</stp>
        <stp>PX_CLOSE_DT</stp>
        <stp>[grid1_3gmijm1c.xlsx]Worksheet!R13C10</stp>
        <tr r="J13" s="2"/>
      </tp>
      <tp t="s">
        <v>12/24/2020</v>
        <stp/>
        <stp>##V3_BDPV12</stp>
        <stp>MHITX US Equity</stp>
        <stp>PX_CLOSE_DT</stp>
        <stp>[grid1_3gmijm1c.xlsx]Worksheet!R63C10</stp>
        <tr r="J63" s="2"/>
      </tp>
      <tp t="s">
        <v>12/24/2020</v>
        <stp/>
        <stp>##V3_BDPV12</stp>
        <stp>IHIYX US Equity</stp>
        <stp>PX_CLOSE_DT</stp>
        <stp>[grid1_3gmijm1c.xlsx]Worksheet!R62C10</stp>
        <tr r="J62" s="2"/>
      </tp>
      <tp t="s">
        <v>12/24/2020</v>
        <stp/>
        <stp>##V3_BDPV12</stp>
        <stp>DDJCX US Equity</stp>
        <stp>PX_CLOSE_DT</stp>
        <stp>[grid1_3gmijm1c.xlsx]Worksheet!R53C10</stp>
        <tr r="J5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7"/>
  <sheetViews>
    <sheetView tabSelected="1" workbookViewId="0">
      <selection activeCell="A7" sqref="A7"/>
    </sheetView>
  </sheetViews>
  <sheetFormatPr defaultRowHeight="15" x14ac:dyDescent="0.25"/>
  <cols>
    <col min="1" max="1" width="38" customWidth="1"/>
    <col min="2" max="2" width="13.28515625" customWidth="1"/>
    <col min="3" max="3" width="19" customWidth="1"/>
    <col min="4" max="9" width="13.28515625" customWidth="1"/>
    <col min="10" max="10" width="19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>
        <f>_xll.BDP("RYIHX US Equity","CUST_TRR_RETURN_ANNUALIZED","CUST_TRR_START_DT=20200626","CUST_TRR_END_DT=20201226")</f>
        <v>-19.52524</v>
      </c>
      <c r="D2">
        <f>_xll.BDP("RYIHX US Equity","LAST_CLOSE_TRR_1MO")</f>
        <v>-1.4104639999999999</v>
      </c>
      <c r="E2">
        <f>_xll.BDP("RYIHX US Equity","LAST_CLOSE_TRR_3MO")</f>
        <v>-6.6426350000000003</v>
      </c>
      <c r="F2">
        <f>_xll.BDP("RYIHX US Equity","LAST_CLOSE_TRR_YTD")</f>
        <v>-5.5664230000000003</v>
      </c>
      <c r="G2">
        <f>_xll.BDP("RYIHX US Equity","LAST_CLOSE_TRR_1YR")</f>
        <v>-5.8256779999999999</v>
      </c>
      <c r="H2">
        <f>_xll.BDP("RYIHX US Equity","LAST_CLOSE_TRR_3YR")</f>
        <v>-5.5546540000000002</v>
      </c>
      <c r="I2">
        <f>_xll.BDP("RYIHX US Equity","LAST_CLOSE_TRR_5YR")</f>
        <v>-6.5305809999999997</v>
      </c>
      <c r="J2" t="str">
        <f>_xll.BDP("RYIHX US Equity","PX_CLOSE_DT")</f>
        <v>12/24/2020</v>
      </c>
    </row>
    <row r="3" spans="1:10" x14ac:dyDescent="0.25">
      <c r="A3" t="s">
        <v>12</v>
      </c>
      <c r="B3" t="s">
        <v>13</v>
      </c>
      <c r="C3">
        <f>_xll.BDP("RPHIX US Equity","CUST_TRR_RETURN_ANNUALIZED","CUST_TRR_START_DT=20200626","CUST_TRR_END_DT=20201226")</f>
        <v>2.961659</v>
      </c>
      <c r="D3">
        <f>_xll.BDP("RPHIX US Equity","LAST_CLOSE_TRR_1MO")</f>
        <v>0.30237589999999998</v>
      </c>
      <c r="E3">
        <f>_xll.BDP("RPHIX US Equity","LAST_CLOSE_TRR_3MO")</f>
        <v>0.71023320000000001</v>
      </c>
      <c r="F3">
        <f>_xll.BDP("RPHIX US Equity","LAST_CLOSE_TRR_YTD")</f>
        <v>1.876034</v>
      </c>
      <c r="G3">
        <f>_xll.BDP("RPHIX US Equity","LAST_CLOSE_TRR_1YR")</f>
        <v>1.8279209999999999</v>
      </c>
      <c r="H3">
        <f>_xll.BDP("RPHIX US Equity","LAST_CLOSE_TRR_3YR")</f>
        <v>2.3860640000000002</v>
      </c>
      <c r="I3">
        <f>_xll.BDP("RPHIX US Equity","LAST_CLOSE_TRR_5YR")</f>
        <v>2.6203829999999999</v>
      </c>
      <c r="J3" t="str">
        <f>_xll.BDP("RPHIX US Equity","PX_CLOSE_DT")</f>
        <v>12/24/2020</v>
      </c>
    </row>
    <row r="4" spans="1:10" x14ac:dyDescent="0.25">
      <c r="A4" t="s">
        <v>14</v>
      </c>
      <c r="B4" t="s">
        <v>15</v>
      </c>
      <c r="C4">
        <f>_xll.BDP("CHYAX US Equity","CUST_TRR_RETURN_ANNUALIZED","CUST_TRR_START_DT=20200626","CUST_TRR_END_DT=20201226")</f>
        <v>10.428699999999999</v>
      </c>
      <c r="D4">
        <f>_xll.BDP("CHYAX US Equity","LAST_CLOSE_TRR_1MO")</f>
        <v>1.8715980000000001</v>
      </c>
      <c r="E4">
        <f>_xll.BDP("CHYAX US Equity","LAST_CLOSE_TRR_3MO")</f>
        <v>2.682734</v>
      </c>
      <c r="F4">
        <f>_xll.BDP("CHYAX US Equity","LAST_CLOSE_TRR_YTD")</f>
        <v>0.79128690000000002</v>
      </c>
      <c r="G4">
        <f>_xll.BDP("CHYAX US Equity","LAST_CLOSE_TRR_1YR")</f>
        <v>0.89424029999999999</v>
      </c>
      <c r="H4">
        <f>_xll.BDP("CHYAX US Equity","LAST_CLOSE_TRR_3YR")</f>
        <v>2.6539229999999998</v>
      </c>
      <c r="I4">
        <f>_xll.BDP("CHYAX US Equity","LAST_CLOSE_TRR_5YR")</f>
        <v>2.9005619999999999</v>
      </c>
      <c r="J4" t="str">
        <f>_xll.BDP("CHYAX US Equity","PX_CLOSE_DT")</f>
        <v>12/24/2020</v>
      </c>
    </row>
    <row r="5" spans="1:10" x14ac:dyDescent="0.25">
      <c r="A5" t="s">
        <v>16</v>
      </c>
      <c r="B5" t="s">
        <v>17</v>
      </c>
      <c r="C5">
        <f>_xll.BDP("FRFEX US Equity","CUST_TRR_RETURN_ANNUALIZED","CUST_TRR_START_DT=20200626","CUST_TRR_END_DT=20201226")</f>
        <v>7.6514360000000003</v>
      </c>
      <c r="D5">
        <f>_xll.BDP("FRFEX US Equity","LAST_CLOSE_TRR_1MO")</f>
        <v>0.51282050000000001</v>
      </c>
      <c r="E5">
        <f>_xll.BDP("FRFEX US Equity","LAST_CLOSE_TRR_3MO")</f>
        <v>1.37931</v>
      </c>
      <c r="F5">
        <f>_xll.BDP("FRFEX US Equity","LAST_CLOSE_TRR_YTD")</f>
        <v>0.28531400000000001</v>
      </c>
      <c r="G5">
        <f>_xll.BDP("FRFEX US Equity","LAST_CLOSE_TRR_1YR")</f>
        <v>0.63601300000000005</v>
      </c>
      <c r="H5">
        <f>_xll.BDP("FRFEX US Equity","LAST_CLOSE_TRR_3YR")</f>
        <v>2.0362390000000001</v>
      </c>
      <c r="I5">
        <f>_xll.BDP("FRFEX US Equity","LAST_CLOSE_TRR_5YR")</f>
        <v>2.9991289999999999</v>
      </c>
      <c r="J5" t="str">
        <f>_xll.BDP("FRFEX US Equity","PX_CLOSE_DT")</f>
        <v>12/24/2020</v>
      </c>
    </row>
    <row r="6" spans="1:10" x14ac:dyDescent="0.25">
      <c r="A6" t="s">
        <v>18</v>
      </c>
      <c r="B6" t="s">
        <v>19</v>
      </c>
      <c r="C6">
        <f>_xll.BDP("NTHEX US Equity","CUST_TRR_RETURN_ANNUALIZED","CUST_TRR_START_DT=20200626","CUST_TRR_END_DT=20201226")</f>
        <v>9.4473380000000002</v>
      </c>
      <c r="D6">
        <f>_xll.BDP("NTHEX US Equity","LAST_CLOSE_TRR_1MO")</f>
        <v>0.80428949999999999</v>
      </c>
      <c r="E6">
        <f>_xll.BDP("NTHEX US Equity","LAST_CLOSE_TRR_3MO")</f>
        <v>2.972124</v>
      </c>
      <c r="F6">
        <f>_xll.BDP("NTHEX US Equity","LAST_CLOSE_TRR_YTD")</f>
        <v>-2.5726079999999998</v>
      </c>
      <c r="G6">
        <f>_xll.BDP("NTHEX US Equity","LAST_CLOSE_TRR_1YR")</f>
        <v>-2.333815</v>
      </c>
      <c r="H6">
        <f>_xll.BDP("NTHEX US Equity","LAST_CLOSE_TRR_3YR")</f>
        <v>-2.1193659999999999</v>
      </c>
      <c r="I6">
        <f>_xll.BDP("NTHEX US Equity","LAST_CLOSE_TRR_5YR")</f>
        <v>3.0241820000000001</v>
      </c>
      <c r="J6" t="str">
        <f>_xll.BDP("NTHEX US Equity","PX_CLOSE_DT")</f>
        <v>12/24/2020</v>
      </c>
    </row>
    <row r="7" spans="1:10" x14ac:dyDescent="0.25">
      <c r="A7" t="s">
        <v>20</v>
      </c>
      <c r="B7" t="s">
        <v>21</v>
      </c>
      <c r="C7">
        <f>_xll.BDP("PMOTX US Equity","CUST_TRR_RETURN_ANNUALIZED","CUST_TRR_START_DT=20200626","CUST_TRR_END_DT=20201226")</f>
        <v>7.6040390000000002</v>
      </c>
      <c r="D7">
        <f>_xll.BDP("PMOTX US Equity","LAST_CLOSE_TRR_1MO")</f>
        <v>1.249695</v>
      </c>
      <c r="E7">
        <f>_xll.BDP("PMOTX US Equity","LAST_CLOSE_TRR_3MO")</f>
        <v>4.520054</v>
      </c>
      <c r="F7">
        <f>_xll.BDP("PMOTX US Equity","LAST_CLOSE_TRR_YTD")</f>
        <v>-6.6431979999999999</v>
      </c>
      <c r="G7">
        <f>_xll.BDP("PMOTX US Equity","LAST_CLOSE_TRR_1YR")</f>
        <v>-6.3757000000000001</v>
      </c>
      <c r="H7">
        <f>_xll.BDP("PMOTX US Equity","LAST_CLOSE_TRR_3YR")</f>
        <v>2.1487910000000001</v>
      </c>
      <c r="I7">
        <f>_xll.BDP("PMOTX US Equity","LAST_CLOSE_TRR_5YR")</f>
        <v>3.3261370000000001</v>
      </c>
      <c r="J7" t="str">
        <f>_xll.BDP("PMOTX US Equity","PX_CLOSE_DT")</f>
        <v>12/24/2020</v>
      </c>
    </row>
    <row r="8" spans="1:10" x14ac:dyDescent="0.25">
      <c r="A8" t="s">
        <v>22</v>
      </c>
      <c r="B8" t="s">
        <v>23</v>
      </c>
      <c r="C8">
        <f>_xll.BDP("SHRIX US Equity","CUST_TRR_RETURN_ANNUALIZED","CUST_TRR_START_DT=20200626","CUST_TRR_END_DT=20201226")</f>
        <v>11.109030000000001</v>
      </c>
      <c r="D8">
        <f>_xll.BDP("SHRIX US Equity","LAST_CLOSE_TRR_1MO")</f>
        <v>0.1232318</v>
      </c>
      <c r="E8">
        <f>_xll.BDP("SHRIX US Equity","LAST_CLOSE_TRR_3MO")</f>
        <v>1.4306080000000001</v>
      </c>
      <c r="F8">
        <f>_xll.BDP("SHRIX US Equity","LAST_CLOSE_TRR_YTD")</f>
        <v>6.7521649999999998</v>
      </c>
      <c r="G8">
        <f>_xll.BDP("SHRIX US Equity","LAST_CLOSE_TRR_1YR")</f>
        <v>6.8701230000000004</v>
      </c>
      <c r="H8">
        <f>_xll.BDP("SHRIX US Equity","LAST_CLOSE_TRR_3YR")</f>
        <v>4.8787560000000001</v>
      </c>
      <c r="I8">
        <f>_xll.BDP("SHRIX US Equity","LAST_CLOSE_TRR_5YR")</f>
        <v>3.4800010000000001</v>
      </c>
      <c r="J8" t="str">
        <f>_xll.BDP("SHRIX US Equity","PX_CLOSE_DT")</f>
        <v>12/24/2020</v>
      </c>
    </row>
    <row r="9" spans="1:10" x14ac:dyDescent="0.25">
      <c r="A9" t="s">
        <v>24</v>
      </c>
      <c r="B9" t="s">
        <v>25</v>
      </c>
      <c r="C9">
        <f>_xll.BDP("SCFAX US Equity","CUST_TRR_RETURN_ANNUALIZED","CUST_TRR_START_DT=20200626","CUST_TRR_END_DT=20201226")</f>
        <v>8.2711330000000007</v>
      </c>
      <c r="D9">
        <f>_xll.BDP("SCFAX US Equity","LAST_CLOSE_TRR_1MO")</f>
        <v>0.30956250000000002</v>
      </c>
      <c r="E9">
        <f>_xll.BDP("SCFAX US Equity","LAST_CLOSE_TRR_3MO")</f>
        <v>2.4120599999999999</v>
      </c>
      <c r="F9">
        <f>_xll.BDP("SCFAX US Equity","LAST_CLOSE_TRR_YTD")</f>
        <v>2.791903</v>
      </c>
      <c r="G9">
        <f>_xll.BDP("SCFAX US Equity","LAST_CLOSE_TRR_1YR")</f>
        <v>2.8695010000000001</v>
      </c>
      <c r="H9">
        <f>_xll.BDP("SCFAX US Equity","LAST_CLOSE_TRR_3YR")</f>
        <v>3.4835250000000002</v>
      </c>
      <c r="I9">
        <f>_xll.BDP("SCFAX US Equity","LAST_CLOSE_TRR_5YR")</f>
        <v>3.7045309999999998</v>
      </c>
      <c r="J9" t="str">
        <f>_xll.BDP("SCFAX US Equity","PX_CLOSE_DT")</f>
        <v>12/24/2020</v>
      </c>
    </row>
    <row r="10" spans="1:10" x14ac:dyDescent="0.25">
      <c r="A10" t="s">
        <v>26</v>
      </c>
      <c r="B10" t="s">
        <v>27</v>
      </c>
      <c r="C10">
        <f>_xll.BDP("SSTHX US Equity","CUST_TRR_RETURN_ANNUALIZED","CUST_TRR_START_DT=20200626","CUST_TRR_END_DT=20201226")</f>
        <v>11.86567</v>
      </c>
      <c r="D10">
        <f>_xll.BDP("SSTHX US Equity","LAST_CLOSE_TRR_1MO")</f>
        <v>0.90867849999999994</v>
      </c>
      <c r="E10">
        <f>_xll.BDP("SSTHX US Equity","LAST_CLOSE_TRR_3MO")</f>
        <v>3.5639970000000001</v>
      </c>
      <c r="F10">
        <f>_xll.BDP("SSTHX US Equity","LAST_CLOSE_TRR_YTD")</f>
        <v>5.1339579999999998</v>
      </c>
      <c r="G10">
        <f>_xll.BDP("SSTHX US Equity","LAST_CLOSE_TRR_1YR")</f>
        <v>5.1841699999999999</v>
      </c>
      <c r="H10">
        <f>_xll.BDP("SSTHX US Equity","LAST_CLOSE_TRR_3YR")</f>
        <v>4.0914650000000004</v>
      </c>
      <c r="I10">
        <f>_xll.BDP("SSTHX US Equity","LAST_CLOSE_TRR_5YR")</f>
        <v>3.7992819999999998</v>
      </c>
      <c r="J10" t="str">
        <f>_xll.BDP("SSTHX US Equity","PX_CLOSE_DT")</f>
        <v>12/24/2020</v>
      </c>
    </row>
    <row r="11" spans="1:10" x14ac:dyDescent="0.25">
      <c r="A11" t="s">
        <v>28</v>
      </c>
      <c r="B11" t="s">
        <v>29</v>
      </c>
      <c r="C11">
        <f>_xll.BDP("RBTRX US Equity","CUST_TRR_RETURN_ANNUALIZED","CUST_TRR_START_DT=20200626","CUST_TRR_END_DT=20201226")</f>
        <v>5.4464740000000003</v>
      </c>
      <c r="D11">
        <f>_xll.BDP("RBTRX US Equity","LAST_CLOSE_TRR_1MO")</f>
        <v>0.30393039999999999</v>
      </c>
      <c r="E11">
        <f>_xll.BDP("RBTRX US Equity","LAST_CLOSE_TRR_3MO")</f>
        <v>1.3295330000000001</v>
      </c>
      <c r="F11">
        <f>_xll.BDP("RBTRX US Equity","LAST_CLOSE_TRR_YTD")</f>
        <v>4.0531769999999998</v>
      </c>
      <c r="G11">
        <f>_xll.BDP("RBTRX US Equity","LAST_CLOSE_TRR_1YR")</f>
        <v>4.1614529999999998</v>
      </c>
      <c r="H11">
        <f>_xll.BDP("RBTRX US Equity","LAST_CLOSE_TRR_3YR")</f>
        <v>3.2322549999999999</v>
      </c>
      <c r="I11">
        <f>_xll.BDP("RBTRX US Equity","LAST_CLOSE_TRR_5YR")</f>
        <v>4.4126180000000002</v>
      </c>
      <c r="J11" t="str">
        <f>_xll.BDP("RBTRX US Equity","PX_CLOSE_DT")</f>
        <v>12/24/2020</v>
      </c>
    </row>
    <row r="12" spans="1:10" x14ac:dyDescent="0.25">
      <c r="A12" t="s">
        <v>30</v>
      </c>
      <c r="B12" t="s">
        <v>31</v>
      </c>
      <c r="C12">
        <f>_xll.BDP("CWFIX US Equity","CUST_TRR_RETURN_ANNUALIZED","CUST_TRR_START_DT=20200626","CUST_TRR_END_DT=20201226")</f>
        <v>10.45735</v>
      </c>
      <c r="D12">
        <f>_xll.BDP("CWFIX US Equity","LAST_CLOSE_TRR_1MO")</f>
        <v>0.69465739999999998</v>
      </c>
      <c r="E12">
        <f>_xll.BDP("CWFIX US Equity","LAST_CLOSE_TRR_3MO")</f>
        <v>3.394409</v>
      </c>
      <c r="F12">
        <f>_xll.BDP("CWFIX US Equity","LAST_CLOSE_TRR_YTD")</f>
        <v>4.2228560000000002</v>
      </c>
      <c r="G12">
        <f>_xll.BDP("CWFIX US Equity","LAST_CLOSE_TRR_1YR")</f>
        <v>4.2068050000000001</v>
      </c>
      <c r="H12">
        <f>_xll.BDP("CWFIX US Equity","LAST_CLOSE_TRR_3YR")</f>
        <v>3.9561199999999999</v>
      </c>
      <c r="I12">
        <f>_xll.BDP("CWFIX US Equity","LAST_CLOSE_TRR_5YR")</f>
        <v>4.5002089999999999</v>
      </c>
      <c r="J12" t="str">
        <f>_xll.BDP("CWFIX US Equity","PX_CLOSE_DT")</f>
        <v>12/24/2020</v>
      </c>
    </row>
    <row r="13" spans="1:10" x14ac:dyDescent="0.25">
      <c r="A13" t="s">
        <v>32</v>
      </c>
      <c r="B13" t="s">
        <v>33</v>
      </c>
      <c r="C13">
        <f>_xll.BDP("ATIPX US Equity","CUST_TRR_RETURN_ANNUALIZED","CUST_TRR_START_DT=20200626","CUST_TRR_END_DT=20201226")</f>
        <v>14.930289999999999</v>
      </c>
      <c r="D13">
        <f>_xll.BDP("ATIPX US Equity","LAST_CLOSE_TRR_1MO")</f>
        <v>0.48234050000000001</v>
      </c>
      <c r="E13">
        <f>_xll.BDP("ATIPX US Equity","LAST_CLOSE_TRR_3MO")</f>
        <v>3.9390339999999999</v>
      </c>
      <c r="F13">
        <f>_xll.BDP("ATIPX US Equity","LAST_CLOSE_TRR_YTD")</f>
        <v>7.3306290000000001</v>
      </c>
      <c r="G13">
        <f>_xll.BDP("ATIPX US Equity","LAST_CLOSE_TRR_1YR")</f>
        <v>7.2865859999999998</v>
      </c>
      <c r="H13">
        <f>_xll.BDP("ATIPX US Equity","LAST_CLOSE_TRR_3YR")</f>
        <v>4.3023439999999997</v>
      </c>
      <c r="I13">
        <f>_xll.BDP("ATIPX US Equity","LAST_CLOSE_TRR_5YR")</f>
        <v>4.5680709999999998</v>
      </c>
      <c r="J13" t="str">
        <f>_xll.BDP("ATIPX US Equity","PX_CLOSE_DT")</f>
        <v>12/24/2020</v>
      </c>
    </row>
    <row r="14" spans="1:10" x14ac:dyDescent="0.25">
      <c r="A14" t="s">
        <v>34</v>
      </c>
      <c r="B14" t="s">
        <v>35</v>
      </c>
      <c r="C14">
        <f>_xll.BDP("ESHAX US Equity","CUST_TRR_RETURN_ANNUALIZED","CUST_TRR_START_DT=20200626","CUST_TRR_END_DT=20201226")</f>
        <v>14.2767</v>
      </c>
      <c r="D14">
        <f>_xll.BDP("ESHAX US Equity","LAST_CLOSE_TRR_1MO")</f>
        <v>0.73494870000000001</v>
      </c>
      <c r="E14">
        <f>_xll.BDP("ESHAX US Equity","LAST_CLOSE_TRR_3MO")</f>
        <v>4.4427599999999998</v>
      </c>
      <c r="F14">
        <f>_xll.BDP("ESHAX US Equity","LAST_CLOSE_TRR_YTD")</f>
        <v>2.6206680000000002</v>
      </c>
      <c r="G14">
        <f>_xll.BDP("ESHAX US Equity","LAST_CLOSE_TRR_1YR")</f>
        <v>2.6537950000000001</v>
      </c>
      <c r="H14">
        <f>_xll.BDP("ESHAX US Equity","LAST_CLOSE_TRR_3YR")</f>
        <v>3.443022</v>
      </c>
      <c r="I14">
        <f>_xll.BDP("ESHAX US Equity","LAST_CLOSE_TRR_5YR")</f>
        <v>4.7720149999999997</v>
      </c>
      <c r="J14" t="str">
        <f>_xll.BDP("ESHAX US Equity","PX_CLOSE_DT")</f>
        <v>12/24/2020</v>
      </c>
    </row>
    <row r="15" spans="1:10" x14ac:dyDescent="0.25">
      <c r="A15" t="s">
        <v>36</v>
      </c>
      <c r="B15" t="s">
        <v>37</v>
      </c>
      <c r="C15">
        <f>_xll.BDP("FDHAX US Equity","CUST_TRR_RETURN_ANNUALIZED","CUST_TRR_START_DT=20200626","CUST_TRR_END_DT=20201226")</f>
        <v>12.810969999999999</v>
      </c>
      <c r="D15">
        <f>_xll.BDP("FDHAX US Equity","LAST_CLOSE_TRR_1MO")</f>
        <v>0.90148010000000001</v>
      </c>
      <c r="E15">
        <f>_xll.BDP("FDHAX US Equity","LAST_CLOSE_TRR_3MO")</f>
        <v>3.4152559999999998</v>
      </c>
      <c r="F15">
        <f>_xll.BDP("FDHAX US Equity","LAST_CLOSE_TRR_YTD")</f>
        <v>2.9872890000000001</v>
      </c>
      <c r="G15">
        <f>_xll.BDP("FDHAX US Equity","LAST_CLOSE_TRR_1YR")</f>
        <v>3.0591550000000001</v>
      </c>
      <c r="H15">
        <f>_xll.BDP("FDHAX US Equity","LAST_CLOSE_TRR_3YR")</f>
        <v>3.815347</v>
      </c>
      <c r="I15">
        <f>_xll.BDP("FDHAX US Equity","LAST_CLOSE_TRR_5YR")</f>
        <v>4.9342949999999997</v>
      </c>
      <c r="J15" t="str">
        <f>_xll.BDP("FDHAX US Equity","PX_CLOSE_DT")</f>
        <v>12/24/2020</v>
      </c>
    </row>
    <row r="16" spans="1:10" x14ac:dyDescent="0.25">
      <c r="A16" t="s">
        <v>38</v>
      </c>
      <c r="B16" t="s">
        <v>39</v>
      </c>
      <c r="C16">
        <f>_xll.BDP("FYAIX US Equity","CUST_TRR_RETURN_ANNUALIZED","CUST_TRR_START_DT=20200626","CUST_TRR_END_DT=20201226")</f>
        <v>16.715229999999998</v>
      </c>
      <c r="D16">
        <f>_xll.BDP("FYAIX US Equity","LAST_CLOSE_TRR_1MO")</f>
        <v>0.84745760000000003</v>
      </c>
      <c r="E16">
        <f>_xll.BDP("FYAIX US Equity","LAST_CLOSE_TRR_3MO")</f>
        <v>4.9021350000000004</v>
      </c>
      <c r="F16">
        <f>_xll.BDP("FYAIX US Equity","LAST_CLOSE_TRR_YTD")</f>
        <v>-0.24475549999999999</v>
      </c>
      <c r="G16">
        <f>_xll.BDP("FYAIX US Equity","LAST_CLOSE_TRR_1YR")</f>
        <v>2.597238E-2</v>
      </c>
      <c r="H16">
        <f>_xll.BDP("FYAIX US Equity","LAST_CLOSE_TRR_3YR")</f>
        <v>3.7196389999999999</v>
      </c>
      <c r="I16">
        <f>_xll.BDP("FYAIX US Equity","LAST_CLOSE_TRR_5YR")</f>
        <v>4.9979399999999998</v>
      </c>
      <c r="J16" t="str">
        <f>_xll.BDP("FYAIX US Equity","PX_CLOSE_DT")</f>
        <v>12/24/2020</v>
      </c>
    </row>
    <row r="17" spans="1:10" x14ac:dyDescent="0.25">
      <c r="A17" t="s">
        <v>40</v>
      </c>
      <c r="B17" t="s">
        <v>41</v>
      </c>
      <c r="C17">
        <f>_xll.BDP("FSBHX US Equity","CUST_TRR_RETURN_ANNUALIZED","CUST_TRR_START_DT=20200626","CUST_TRR_END_DT=20201226")</f>
        <v>10.929650000000001</v>
      </c>
      <c r="D17">
        <f>_xll.BDP("FSBHX US Equity","LAST_CLOSE_TRR_1MO")</f>
        <v>0.58837660000000003</v>
      </c>
      <c r="E17">
        <f>_xll.BDP("FSBHX US Equity","LAST_CLOSE_TRR_3MO")</f>
        <v>2.9756399999999998</v>
      </c>
      <c r="F17">
        <f>_xll.BDP("FSBHX US Equity","LAST_CLOSE_TRR_YTD")</f>
        <v>3.2166269999999999</v>
      </c>
      <c r="G17">
        <f>_xll.BDP("FSBHX US Equity","LAST_CLOSE_TRR_1YR")</f>
        <v>3.1745739999999998</v>
      </c>
      <c r="H17">
        <f>_xll.BDP("FSBHX US Equity","LAST_CLOSE_TRR_3YR")</f>
        <v>3.3422770000000002</v>
      </c>
      <c r="I17">
        <f>_xll.BDP("FSBHX US Equity","LAST_CLOSE_TRR_5YR")</f>
        <v>4.9969390000000002</v>
      </c>
      <c r="J17" t="str">
        <f>_xll.BDP("FSBHX US Equity","PX_CLOSE_DT")</f>
        <v>12/24/2020</v>
      </c>
    </row>
    <row r="18" spans="1:10" x14ac:dyDescent="0.25">
      <c r="A18" t="s">
        <v>42</v>
      </c>
      <c r="B18" t="s">
        <v>43</v>
      </c>
      <c r="C18">
        <f>_xll.BDP("ICMUX US Equity","CUST_TRR_RETURN_ANNUALIZED","CUST_TRR_START_DT=20200626","CUST_TRR_END_DT=20201226")</f>
        <v>23.430700000000002</v>
      </c>
      <c r="D18">
        <f>_xll.BDP("ICMUX US Equity","LAST_CLOSE_TRR_1MO")</f>
        <v>2.2580969999999998</v>
      </c>
      <c r="E18">
        <f>_xll.BDP("ICMUX US Equity","LAST_CLOSE_TRR_3MO")</f>
        <v>7.524546</v>
      </c>
      <c r="F18">
        <f>_xll.BDP("ICMUX US Equity","LAST_CLOSE_TRR_YTD")</f>
        <v>8.6066479999999999</v>
      </c>
      <c r="G18">
        <f>_xll.BDP("ICMUX US Equity","LAST_CLOSE_TRR_1YR")</f>
        <v>8.6797599999999999</v>
      </c>
      <c r="H18">
        <f>_xll.BDP("ICMUX US Equity","LAST_CLOSE_TRR_3YR")</f>
        <v>4.5784539999999998</v>
      </c>
      <c r="I18">
        <f>_xll.BDP("ICMUX US Equity","LAST_CLOSE_TRR_5YR")</f>
        <v>5.0219449999999997</v>
      </c>
      <c r="J18" t="str">
        <f>_xll.BDP("ICMUX US Equity","PX_CLOSE_DT")</f>
        <v>12/24/2020</v>
      </c>
    </row>
    <row r="19" spans="1:10" x14ac:dyDescent="0.25">
      <c r="A19" t="s">
        <v>44</v>
      </c>
      <c r="B19" t="s">
        <v>45</v>
      </c>
      <c r="C19">
        <f>_xll.BDP("ALHAX US Equity","CUST_TRR_RETURN_ANNUALIZED","CUST_TRR_START_DT=20200626","CUST_TRR_END_DT=20201226")</f>
        <v>17.235659999999999</v>
      </c>
      <c r="D19">
        <f>_xll.BDP("ALHAX US Equity","LAST_CLOSE_TRR_1MO")</f>
        <v>1.7656719999999999</v>
      </c>
      <c r="E19">
        <f>_xll.BDP("ALHAX US Equity","LAST_CLOSE_TRR_3MO")</f>
        <v>5.1315359999999997</v>
      </c>
      <c r="F19">
        <f>_xll.BDP("ALHAX US Equity","LAST_CLOSE_TRR_YTD")</f>
        <v>3.6187369999999999</v>
      </c>
      <c r="G19">
        <f>_xll.BDP("ALHAX US Equity","LAST_CLOSE_TRR_1YR")</f>
        <v>3.790308</v>
      </c>
      <c r="H19">
        <f>_xll.BDP("ALHAX US Equity","LAST_CLOSE_TRR_3YR")</f>
        <v>4.2952339999999998</v>
      </c>
      <c r="I19">
        <f>_xll.BDP("ALHAX US Equity","LAST_CLOSE_TRR_5YR")</f>
        <v>5.1033350000000004</v>
      </c>
      <c r="J19" t="str">
        <f>_xll.BDP("ALHAX US Equity","PX_CLOSE_DT")</f>
        <v>12/24/2020</v>
      </c>
    </row>
    <row r="20" spans="1:10" x14ac:dyDescent="0.25">
      <c r="A20" t="s">
        <v>46</v>
      </c>
      <c r="B20" t="s">
        <v>47</v>
      </c>
      <c r="C20">
        <f>_xll.BDP("RIMOX US Equity","CUST_TRR_RETURN_ANNUALIZED","CUST_TRR_START_DT=20200626","CUST_TRR_END_DT=20201226")</f>
        <v>17.21555</v>
      </c>
      <c r="D20">
        <f>_xll.BDP("RIMOX US Equity","LAST_CLOSE_TRR_1MO")</f>
        <v>2.0678559999999999</v>
      </c>
      <c r="E20">
        <f>_xll.BDP("RIMOX US Equity","LAST_CLOSE_TRR_3MO")</f>
        <v>5.815588</v>
      </c>
      <c r="F20">
        <f>_xll.BDP("RIMOX US Equity","LAST_CLOSE_TRR_YTD")</f>
        <v>2.1916380000000002</v>
      </c>
      <c r="G20">
        <f>_xll.BDP("RIMOX US Equity","LAST_CLOSE_TRR_1YR")</f>
        <v>2.485293</v>
      </c>
      <c r="H20">
        <f>_xll.BDP("RIMOX US Equity","LAST_CLOSE_TRR_3YR")</f>
        <v>2.9185409999999998</v>
      </c>
      <c r="I20">
        <f>_xll.BDP("RIMOX US Equity","LAST_CLOSE_TRR_5YR")</f>
        <v>5.1540280000000003</v>
      </c>
      <c r="J20" t="str">
        <f>_xll.BDP("RIMOX US Equity","PX_CLOSE_DT")</f>
        <v>12/24/2020</v>
      </c>
    </row>
    <row r="21" spans="1:10" x14ac:dyDescent="0.25">
      <c r="A21" t="s">
        <v>48</v>
      </c>
      <c r="B21" t="s">
        <v>49</v>
      </c>
      <c r="C21">
        <f>_xll.BDP("ASHAX US Equity","CUST_TRR_RETURN_ANNUALIZED","CUST_TRR_START_DT=20200626","CUST_TRR_END_DT=20201226")</f>
        <v>17.609850000000002</v>
      </c>
      <c r="D21">
        <f>_xll.BDP("ASHAX US Equity","LAST_CLOSE_TRR_1MO")</f>
        <v>2.2487550000000001</v>
      </c>
      <c r="E21">
        <f>_xll.BDP("ASHAX US Equity","LAST_CLOSE_TRR_3MO")</f>
        <v>6.9761819999999997</v>
      </c>
      <c r="F21">
        <f>_xll.BDP("ASHAX US Equity","LAST_CLOSE_TRR_YTD")</f>
        <v>5.2905030000000002</v>
      </c>
      <c r="G21">
        <f>_xll.BDP("ASHAX US Equity","LAST_CLOSE_TRR_1YR")</f>
        <v>5.3624720000000003</v>
      </c>
      <c r="H21">
        <f>_xll.BDP("ASHAX US Equity","LAST_CLOSE_TRR_3YR")</f>
        <v>4.0234100000000002</v>
      </c>
      <c r="I21">
        <f>_xll.BDP("ASHAX US Equity","LAST_CLOSE_TRR_5YR")</f>
        <v>5.2172850000000004</v>
      </c>
      <c r="J21" t="str">
        <f>_xll.BDP("ASHAX US Equity","PX_CLOSE_DT")</f>
        <v>12/24/2020</v>
      </c>
    </row>
    <row r="22" spans="1:10" x14ac:dyDescent="0.25">
      <c r="A22" t="s">
        <v>50</v>
      </c>
      <c r="B22" t="s">
        <v>51</v>
      </c>
      <c r="C22">
        <f>_xll.BDP("MDHAX US Equity","CUST_TRR_RETURN_ANNUALIZED","CUST_TRR_START_DT=20200626","CUST_TRR_END_DT=20201226")</f>
        <v>13.617010000000001</v>
      </c>
      <c r="D22">
        <f>_xll.BDP("MDHAX US Equity","LAST_CLOSE_TRR_1MO")</f>
        <v>1.1495230000000001</v>
      </c>
      <c r="E22">
        <f>_xll.BDP("MDHAX US Equity","LAST_CLOSE_TRR_3MO")</f>
        <v>3.749241</v>
      </c>
      <c r="F22">
        <f>_xll.BDP("MDHAX US Equity","LAST_CLOSE_TRR_YTD")</f>
        <v>2.5745879999999999</v>
      </c>
      <c r="G22">
        <f>_xll.BDP("MDHAX US Equity","LAST_CLOSE_TRR_1YR")</f>
        <v>2.6780940000000002</v>
      </c>
      <c r="H22">
        <f>_xll.BDP("MDHAX US Equity","LAST_CLOSE_TRR_3YR")</f>
        <v>3.8435280000000001</v>
      </c>
      <c r="I22">
        <f>_xll.BDP("MDHAX US Equity","LAST_CLOSE_TRR_5YR")</f>
        <v>5.3081969999999998</v>
      </c>
      <c r="J22" t="str">
        <f>_xll.BDP("MDHAX US Equity","PX_CLOSE_DT")</f>
        <v>12/24/2020</v>
      </c>
    </row>
    <row r="23" spans="1:10" x14ac:dyDescent="0.25">
      <c r="A23" t="s">
        <v>52</v>
      </c>
      <c r="B23" t="s">
        <v>53</v>
      </c>
      <c r="C23">
        <f>_xll.BDP("MRGIX US Equity","CUST_TRR_RETURN_ANNUALIZED","CUST_TRR_START_DT=20200626","CUST_TRR_END_DT=20201226")</f>
        <v>20.797730000000001</v>
      </c>
      <c r="D23">
        <f>_xll.BDP("MRGIX US Equity","LAST_CLOSE_TRR_1MO")</f>
        <v>1.576589</v>
      </c>
      <c r="E23">
        <f>_xll.BDP("MRGIX US Equity","LAST_CLOSE_TRR_3MO")</f>
        <v>4.8666099999999997</v>
      </c>
      <c r="F23">
        <f>_xll.BDP("MRGIX US Equity","LAST_CLOSE_TRR_YTD")</f>
        <v>9.7373890000000003</v>
      </c>
      <c r="G23">
        <f>_xll.BDP("MRGIX US Equity","LAST_CLOSE_TRR_1YR")</f>
        <v>9.9343059999999994</v>
      </c>
      <c r="H23">
        <f>_xll.BDP("MRGIX US Equity","LAST_CLOSE_TRR_3YR")</f>
        <v>6.4415459999999998</v>
      </c>
      <c r="I23">
        <f>_xll.BDP("MRGIX US Equity","LAST_CLOSE_TRR_5YR")</f>
        <v>5.4636009999999997</v>
      </c>
      <c r="J23" t="str">
        <f>_xll.BDP("MRGIX US Equity","PX_CLOSE_DT")</f>
        <v>12/24/2020</v>
      </c>
    </row>
    <row r="24" spans="1:10" x14ac:dyDescent="0.25">
      <c r="A24" t="s">
        <v>54</v>
      </c>
      <c r="B24" t="s">
        <v>55</v>
      </c>
      <c r="C24">
        <f>_xll.BDP("HYSAX US Equity","CUST_TRR_RETURN_ANNUALIZED","CUST_TRR_START_DT=20200626","CUST_TRR_END_DT=20201226")</f>
        <v>15.15901</v>
      </c>
      <c r="D24">
        <f>_xll.BDP("HYSAX US Equity","LAST_CLOSE_TRR_1MO")</f>
        <v>1.279976</v>
      </c>
      <c r="E24">
        <f>_xll.BDP("HYSAX US Equity","LAST_CLOSE_TRR_3MO")</f>
        <v>4.3516009999999996</v>
      </c>
      <c r="F24">
        <f>_xll.BDP("HYSAX US Equity","LAST_CLOSE_TRR_YTD")</f>
        <v>3.6228549999999999</v>
      </c>
      <c r="G24">
        <f>_xll.BDP("HYSAX US Equity","LAST_CLOSE_TRR_1YR")</f>
        <v>3.7090700000000001</v>
      </c>
      <c r="H24">
        <f>_xll.BDP("HYSAX US Equity","LAST_CLOSE_TRR_3YR")</f>
        <v>5.2669269999999999</v>
      </c>
      <c r="I24">
        <f>_xll.BDP("HYSAX US Equity","LAST_CLOSE_TRR_5YR")</f>
        <v>5.4826259999999998</v>
      </c>
      <c r="J24" t="str">
        <f>_xll.BDP("HYSAX US Equity","PX_CLOSE_DT")</f>
        <v>12/24/2020</v>
      </c>
    </row>
    <row r="25" spans="1:10" x14ac:dyDescent="0.25">
      <c r="A25" t="s">
        <v>56</v>
      </c>
      <c r="B25" t="s">
        <v>57</v>
      </c>
      <c r="C25">
        <f>_xll.BDP("CCHYX US Equity","CUST_TRR_RETURN_ANNUALIZED","CUST_TRR_START_DT=20200626","CUST_TRR_END_DT=20201226")</f>
        <v>22.639600000000002</v>
      </c>
      <c r="D25">
        <f>_xll.BDP("CCHYX US Equity","LAST_CLOSE_TRR_1MO")</f>
        <v>1.8471070000000001</v>
      </c>
      <c r="E25">
        <f>_xll.BDP("CCHYX US Equity","LAST_CLOSE_TRR_3MO")</f>
        <v>6.8898549999999998</v>
      </c>
      <c r="F25">
        <f>_xll.BDP("CCHYX US Equity","LAST_CLOSE_TRR_YTD")</f>
        <v>3.6181990000000002</v>
      </c>
      <c r="G25">
        <f>_xll.BDP("CCHYX US Equity","LAST_CLOSE_TRR_1YR")</f>
        <v>3.7902070000000001</v>
      </c>
      <c r="H25">
        <f>_xll.BDP("CCHYX US Equity","LAST_CLOSE_TRR_3YR")</f>
        <v>3.8203640000000001</v>
      </c>
      <c r="I25">
        <f>_xll.BDP("CCHYX US Equity","LAST_CLOSE_TRR_5YR")</f>
        <v>5.5637850000000002</v>
      </c>
      <c r="J25" t="str">
        <f>_xll.BDP("CCHYX US Equity","PX_CLOSE_DT")</f>
        <v>12/24/2020</v>
      </c>
    </row>
    <row r="26" spans="1:10" x14ac:dyDescent="0.25">
      <c r="A26" t="s">
        <v>58</v>
      </c>
      <c r="B26" t="s">
        <v>59</v>
      </c>
      <c r="C26">
        <f>_xll.BDP("THYCX US Equity","CUST_TRR_RETURN_ANNUALIZED","CUST_TRR_START_DT=20200626","CUST_TRR_END_DT=20201226")</f>
        <v>20.094000000000001</v>
      </c>
      <c r="D26">
        <f>_xll.BDP("THYCX US Equity","LAST_CLOSE_TRR_1MO")</f>
        <v>1.575639</v>
      </c>
      <c r="E26">
        <f>_xll.BDP("THYCX US Equity","LAST_CLOSE_TRR_3MO")</f>
        <v>6.215522</v>
      </c>
      <c r="F26">
        <f>_xll.BDP("THYCX US Equity","LAST_CLOSE_TRR_YTD")</f>
        <v>2.7222810000000002</v>
      </c>
      <c r="G26">
        <f>_xll.BDP("THYCX US Equity","LAST_CLOSE_TRR_1YR")</f>
        <v>2.814657</v>
      </c>
      <c r="H26">
        <f>_xll.BDP("THYCX US Equity","LAST_CLOSE_TRR_3YR")</f>
        <v>3.891448</v>
      </c>
      <c r="I26">
        <f>_xll.BDP("THYCX US Equity","LAST_CLOSE_TRR_5YR")</f>
        <v>5.6745910000000004</v>
      </c>
      <c r="J26" t="str">
        <f>_xll.BDP("THYCX US Equity","PX_CLOSE_DT")</f>
        <v>12/24/2020</v>
      </c>
    </row>
    <row r="27" spans="1:10" x14ac:dyDescent="0.25">
      <c r="A27" t="s">
        <v>60</v>
      </c>
      <c r="B27" t="s">
        <v>61</v>
      </c>
      <c r="C27">
        <f>_xll.BDP("AMHYX US Equity","CUST_TRR_RETURN_ANNUALIZED","CUST_TRR_START_DT=20200626","CUST_TRR_END_DT=20201226")</f>
        <v>22.279640000000001</v>
      </c>
      <c r="D27">
        <f>_xll.BDP("AMHYX US Equity","LAST_CLOSE_TRR_1MO")</f>
        <v>2.0785960000000001</v>
      </c>
      <c r="E27">
        <f>_xll.BDP("AMHYX US Equity","LAST_CLOSE_TRR_3MO")</f>
        <v>6.6818489999999997</v>
      </c>
      <c r="F27">
        <f>_xll.BDP("AMHYX US Equity","LAST_CLOSE_TRR_YTD")</f>
        <v>3.0344570000000002</v>
      </c>
      <c r="G27">
        <f>_xll.BDP("AMHYX US Equity","LAST_CLOSE_TRR_1YR")</f>
        <v>3.1307640000000001</v>
      </c>
      <c r="H27">
        <f>_xll.BDP("AMHYX US Equity","LAST_CLOSE_TRR_3YR")</f>
        <v>4.0889959999999999</v>
      </c>
      <c r="I27">
        <f>_xll.BDP("AMHYX US Equity","LAST_CLOSE_TRR_5YR")</f>
        <v>5.8305550000000004</v>
      </c>
      <c r="J27" t="str">
        <f>_xll.BDP("AMHYX US Equity","PX_CLOSE_DT")</f>
        <v>12/24/2020</v>
      </c>
    </row>
    <row r="28" spans="1:10" x14ac:dyDescent="0.25">
      <c r="A28" t="s">
        <v>62</v>
      </c>
      <c r="B28" t="s">
        <v>63</v>
      </c>
      <c r="C28">
        <f>_xll.BDP("LZHYX US Equity","CUST_TRR_RETURN_ANNUALIZED","CUST_TRR_START_DT=20200626","CUST_TRR_END_DT=20201226")</f>
        <v>14.41596</v>
      </c>
      <c r="D28">
        <f>_xll.BDP("LZHYX US Equity","LAST_CLOSE_TRR_1MO")</f>
        <v>0.75547169999999997</v>
      </c>
      <c r="E28">
        <f>_xll.BDP("LZHYX US Equity","LAST_CLOSE_TRR_3MO")</f>
        <v>4.1696210000000002</v>
      </c>
      <c r="F28">
        <f>_xll.BDP("LZHYX US Equity","LAST_CLOSE_TRR_YTD")</f>
        <v>4.4504739999999998</v>
      </c>
      <c r="G28">
        <f>_xll.BDP("LZHYX US Equity","LAST_CLOSE_TRR_1YR")</f>
        <v>4.8181839999999996</v>
      </c>
      <c r="H28">
        <f>_xll.BDP("LZHYX US Equity","LAST_CLOSE_TRR_3YR")</f>
        <v>4.8685289999999997</v>
      </c>
      <c r="I28">
        <f>_xll.BDP("LZHYX US Equity","LAST_CLOSE_TRR_5YR")</f>
        <v>5.881799</v>
      </c>
      <c r="J28" t="str">
        <f>_xll.BDP("LZHYX US Equity","PX_CLOSE_DT")</f>
        <v>12/24/2020</v>
      </c>
    </row>
    <row r="29" spans="1:10" x14ac:dyDescent="0.25">
      <c r="A29" t="s">
        <v>64</v>
      </c>
      <c r="B29" t="s">
        <v>65</v>
      </c>
      <c r="C29">
        <f>_xll.BDP("MHOBX US Equity","CUST_TRR_RETURN_ANNUALIZED","CUST_TRR_START_DT=20200626","CUST_TRR_END_DT=20201226")</f>
        <v>16.188559999999999</v>
      </c>
      <c r="D29">
        <f>_xll.BDP("MHOBX US Equity","LAST_CLOSE_TRR_1MO")</f>
        <v>0.95805839999999998</v>
      </c>
      <c r="E29">
        <f>_xll.BDP("MHOBX US Equity","LAST_CLOSE_TRR_3MO")</f>
        <v>5.1061540000000001</v>
      </c>
      <c r="F29">
        <f>_xll.BDP("MHOBX US Equity","LAST_CLOSE_TRR_YTD")</f>
        <v>2.9360590000000002</v>
      </c>
      <c r="G29">
        <f>_xll.BDP("MHOBX US Equity","LAST_CLOSE_TRR_1YR")</f>
        <v>3.0042909999999998</v>
      </c>
      <c r="H29">
        <f>_xll.BDP("MHOBX US Equity","LAST_CLOSE_TRR_3YR")</f>
        <v>3.8615370000000002</v>
      </c>
      <c r="I29">
        <f>_xll.BDP("MHOBX US Equity","LAST_CLOSE_TRR_5YR")</f>
        <v>5.9715619999999996</v>
      </c>
      <c r="J29" t="str">
        <f>_xll.BDP("MHOBX US Equity","PX_CLOSE_DT")</f>
        <v>12/24/2020</v>
      </c>
    </row>
    <row r="30" spans="1:10" x14ac:dyDescent="0.25">
      <c r="A30" t="s">
        <v>66</v>
      </c>
      <c r="B30" t="s">
        <v>67</v>
      </c>
      <c r="C30">
        <f>_xll.BDP("HFAAX US Equity","CUST_TRR_RETURN_ANNUALIZED","CUST_TRR_START_DT=20200626","CUST_TRR_END_DT=20201226")</f>
        <v>9.9461049999999993</v>
      </c>
      <c r="D30">
        <f>_xll.BDP("HFAAX US Equity","LAST_CLOSE_TRR_1MO")</f>
        <v>0.55789330000000004</v>
      </c>
      <c r="E30">
        <f>_xll.BDP("HFAAX US Equity","LAST_CLOSE_TRR_3MO")</f>
        <v>2.9170590000000001</v>
      </c>
      <c r="F30">
        <f>_xll.BDP("HFAAX US Equity","LAST_CLOSE_TRR_YTD")</f>
        <v>8.8664079999999998</v>
      </c>
      <c r="G30">
        <f>_xll.BDP("HFAAX US Equity","LAST_CLOSE_TRR_1YR")</f>
        <v>8.8212820000000001</v>
      </c>
      <c r="H30">
        <f>_xll.BDP("HFAAX US Equity","LAST_CLOSE_TRR_3YR")</f>
        <v>6.2467030000000001</v>
      </c>
      <c r="I30">
        <f>_xll.BDP("HFAAX US Equity","LAST_CLOSE_TRR_5YR")</f>
        <v>6.0243260000000003</v>
      </c>
      <c r="J30" t="str">
        <f>_xll.BDP("HFAAX US Equity","PX_CLOSE_DT")</f>
        <v>12/24/2020</v>
      </c>
    </row>
    <row r="31" spans="1:10" x14ac:dyDescent="0.25">
      <c r="A31" t="s">
        <v>68</v>
      </c>
      <c r="B31" t="s">
        <v>69</v>
      </c>
      <c r="C31">
        <f>_xll.BDP("BXIAX US Equity","CUST_TRR_RETURN_ANNUALIZED","CUST_TRR_START_DT=20200626","CUST_TRR_END_DT=20201226")</f>
        <v>19.535889999999998</v>
      </c>
      <c r="D31">
        <f>_xll.BDP("BXIAX US Equity","LAST_CLOSE_TRR_1MO")</f>
        <v>1.658679</v>
      </c>
      <c r="E31">
        <f>_xll.BDP("BXIAX US Equity","LAST_CLOSE_TRR_3MO")</f>
        <v>5.8597270000000004</v>
      </c>
      <c r="F31">
        <f>_xll.BDP("BXIAX US Equity","LAST_CLOSE_TRR_YTD")</f>
        <v>2.275798</v>
      </c>
      <c r="G31">
        <f>_xll.BDP("BXIAX US Equity","LAST_CLOSE_TRR_1YR")</f>
        <v>2.3836710000000001</v>
      </c>
      <c r="H31">
        <f>_xll.BDP("BXIAX US Equity","LAST_CLOSE_TRR_3YR")</f>
        <v>3.157413</v>
      </c>
      <c r="I31">
        <f>_xll.BDP("BXIAX US Equity","LAST_CLOSE_TRR_5YR")</f>
        <v>6.0270270000000004</v>
      </c>
      <c r="J31" t="str">
        <f>_xll.BDP("BXIAX US Equity","PX_CLOSE_DT")</f>
        <v>12/24/2020</v>
      </c>
    </row>
    <row r="32" spans="1:10" x14ac:dyDescent="0.25">
      <c r="A32" t="s">
        <v>70</v>
      </c>
      <c r="B32" t="s">
        <v>71</v>
      </c>
      <c r="C32">
        <f>_xll.BDP("DCHYX US Equity","CUST_TRR_RETURN_ANNUALIZED","CUST_TRR_START_DT=20200626","CUST_TRR_END_DT=20201226")</f>
        <v>19.728449999999999</v>
      </c>
      <c r="D32">
        <f>_xll.BDP("DCHYX US Equity","LAST_CLOSE_TRR_1MO")</f>
        <v>1.3084610000000001</v>
      </c>
      <c r="E32">
        <f>_xll.BDP("DCHYX US Equity","LAST_CLOSE_TRR_3MO")</f>
        <v>6.1362949999999996</v>
      </c>
      <c r="F32">
        <f>_xll.BDP("DCHYX US Equity","LAST_CLOSE_TRR_YTD")</f>
        <v>6.3000829999999999</v>
      </c>
      <c r="G32">
        <f>_xll.BDP("DCHYX US Equity","LAST_CLOSE_TRR_1YR")</f>
        <v>6.2777649999999996</v>
      </c>
      <c r="H32">
        <f>_xll.BDP("DCHYX US Equity","LAST_CLOSE_TRR_3YR")</f>
        <v>4.7537039999999999</v>
      </c>
      <c r="I32">
        <f>_xll.BDP("DCHYX US Equity","LAST_CLOSE_TRR_5YR")</f>
        <v>6.0926359999999997</v>
      </c>
      <c r="J32" t="str">
        <f>_xll.BDP("DCHYX US Equity","PX_CLOSE_DT")</f>
        <v>12/24/2020</v>
      </c>
    </row>
    <row r="33" spans="1:10" x14ac:dyDescent="0.25">
      <c r="A33" t="s">
        <v>72</v>
      </c>
      <c r="B33" t="s">
        <v>73</v>
      </c>
      <c r="C33">
        <f>_xll.BDP("FIFIX US Equity","CUST_TRR_RETURN_ANNUALIZED","CUST_TRR_START_DT=20200626","CUST_TRR_END_DT=20201226")</f>
        <v>15.77801</v>
      </c>
      <c r="D33">
        <f>_xll.BDP("FIFIX US Equity","LAST_CLOSE_TRR_1MO")</f>
        <v>0.48192770000000001</v>
      </c>
      <c r="E33">
        <f>_xll.BDP("FIFIX US Equity","LAST_CLOSE_TRR_3MO")</f>
        <v>5.1260500000000002</v>
      </c>
      <c r="F33">
        <f>_xll.BDP("FIFIX US Equity","LAST_CLOSE_TRR_YTD")</f>
        <v>3.73651</v>
      </c>
      <c r="G33">
        <f>_xll.BDP("FIFIX US Equity","LAST_CLOSE_TRR_1YR")</f>
        <v>4.1637380000000004</v>
      </c>
      <c r="H33">
        <f>_xll.BDP("FIFIX US Equity","LAST_CLOSE_TRR_3YR")</f>
        <v>4.4877149999999997</v>
      </c>
      <c r="I33">
        <f>_xll.BDP("FIFIX US Equity","LAST_CLOSE_TRR_5YR")</f>
        <v>6.1304970000000001</v>
      </c>
      <c r="J33" t="str">
        <f>_xll.BDP("FIFIX US Equity","PX_CLOSE_DT")</f>
        <v>12/24/2020</v>
      </c>
    </row>
    <row r="34" spans="1:10" x14ac:dyDescent="0.25">
      <c r="A34" t="s">
        <v>74</v>
      </c>
      <c r="B34" t="s">
        <v>75</v>
      </c>
      <c r="C34">
        <f>_xll.BDP("AYBVX US Equity","CUST_TRR_RETURN_ANNUALIZED","CUST_TRR_START_DT=20200626","CUST_TRR_END_DT=20201226")</f>
        <v>19.919899999999998</v>
      </c>
      <c r="D34">
        <f>_xll.BDP("AYBVX US Equity","LAST_CLOSE_TRR_1MO")</f>
        <v>0.9375</v>
      </c>
      <c r="E34">
        <f>_xll.BDP("AYBVX US Equity","LAST_CLOSE_TRR_3MO")</f>
        <v>6.4857100000000001</v>
      </c>
      <c r="F34">
        <f>_xll.BDP("AYBVX US Equity","LAST_CLOSE_TRR_YTD")</f>
        <v>2.7793109999999999</v>
      </c>
      <c r="G34">
        <f>_xll.BDP("AYBVX US Equity","LAST_CLOSE_TRR_1YR")</f>
        <v>2.5411199999999998</v>
      </c>
      <c r="H34">
        <f>_xll.BDP("AYBVX US Equity","LAST_CLOSE_TRR_3YR")</f>
        <v>3.7443599999999999</v>
      </c>
      <c r="I34">
        <f>_xll.BDP("AYBVX US Equity","LAST_CLOSE_TRR_5YR")</f>
        <v>6.1537100000000002</v>
      </c>
      <c r="J34" t="str">
        <f>_xll.BDP("AYBVX US Equity","PX_CLOSE_DT")</f>
        <v>12/24/2020</v>
      </c>
    </row>
    <row r="35" spans="1:10" x14ac:dyDescent="0.25">
      <c r="A35" t="s">
        <v>76</v>
      </c>
      <c r="B35" t="s">
        <v>77</v>
      </c>
      <c r="C35">
        <f>_xll.BDP("BUFHX US Equity","CUST_TRR_RETURN_ANNUALIZED","CUST_TRR_START_DT=20200626","CUST_TRR_END_DT=20201226")</f>
        <v>27.257560000000002</v>
      </c>
      <c r="D35">
        <f>_xll.BDP("BUFHX US Equity","LAST_CLOSE_TRR_1MO")</f>
        <v>2.2269230000000002</v>
      </c>
      <c r="E35">
        <f>_xll.BDP("BUFHX US Equity","LAST_CLOSE_TRR_3MO")</f>
        <v>7.772519</v>
      </c>
      <c r="F35">
        <f>_xll.BDP("BUFHX US Equity","LAST_CLOSE_TRR_YTD")</f>
        <v>8.9001230000000007</v>
      </c>
      <c r="G35">
        <f>_xll.BDP("BUFHX US Equity","LAST_CLOSE_TRR_1YR")</f>
        <v>9.1920800000000007</v>
      </c>
      <c r="H35">
        <f>_xll.BDP("BUFHX US Equity","LAST_CLOSE_TRR_3YR")</f>
        <v>6.1793680000000002</v>
      </c>
      <c r="I35">
        <f>_xll.BDP("BUFHX US Equity","LAST_CLOSE_TRR_5YR")</f>
        <v>6.1617259999999998</v>
      </c>
      <c r="J35" t="str">
        <f>_xll.BDP("BUFHX US Equity","PX_CLOSE_DT")</f>
        <v>12/24/2020</v>
      </c>
    </row>
    <row r="36" spans="1:10" x14ac:dyDescent="0.25">
      <c r="A36" t="s">
        <v>78</v>
      </c>
      <c r="B36" t="s">
        <v>79</v>
      </c>
      <c r="C36">
        <f>_xll.BDP("SHIAX US Equity","CUST_TRR_RETURN_ANNUALIZED","CUST_TRR_START_DT=20200626","CUST_TRR_END_DT=20201226")</f>
        <v>20.198640000000001</v>
      </c>
      <c r="D36">
        <f>_xll.BDP("SHIAX US Equity","LAST_CLOSE_TRR_1MO")</f>
        <v>1.215144</v>
      </c>
      <c r="E36">
        <f>_xll.BDP("SHIAX US Equity","LAST_CLOSE_TRR_3MO")</f>
        <v>6.1490330000000002</v>
      </c>
      <c r="F36">
        <f>_xll.BDP("SHIAX US Equity","LAST_CLOSE_TRR_YTD")</f>
        <v>3.5076239999999999</v>
      </c>
      <c r="G36">
        <f>_xll.BDP("SHIAX US Equity","LAST_CLOSE_TRR_1YR")</f>
        <v>3.618611</v>
      </c>
      <c r="H36">
        <f>_xll.BDP("SHIAX US Equity","LAST_CLOSE_TRR_3YR")</f>
        <v>4.3461740000000004</v>
      </c>
      <c r="I36">
        <f>_xll.BDP("SHIAX US Equity","LAST_CLOSE_TRR_5YR")</f>
        <v>6.2269420000000002</v>
      </c>
      <c r="J36" t="str">
        <f>_xll.BDP("SHIAX US Equity","PX_CLOSE_DT")</f>
        <v>12/24/2020</v>
      </c>
    </row>
    <row r="37" spans="1:10" x14ac:dyDescent="0.25">
      <c r="A37" t="s">
        <v>80</v>
      </c>
      <c r="B37" t="s">
        <v>81</v>
      </c>
      <c r="C37">
        <f>_xll.BDP("LBHYX US Equity","CUST_TRR_RETURN_ANNUALIZED","CUST_TRR_START_DT=20200626","CUST_TRR_END_DT=20201226")</f>
        <v>18.90429</v>
      </c>
      <c r="D37">
        <f>_xll.BDP("LBHYX US Equity","LAST_CLOSE_TRR_1MO")</f>
        <v>1.2319880000000001</v>
      </c>
      <c r="E37">
        <f>_xll.BDP("LBHYX US Equity","LAST_CLOSE_TRR_3MO")</f>
        <v>5.8732949999999997</v>
      </c>
      <c r="F37">
        <f>_xll.BDP("LBHYX US Equity","LAST_CLOSE_TRR_YTD")</f>
        <v>2.1506759999999998</v>
      </c>
      <c r="G37">
        <f>_xll.BDP("LBHYX US Equity","LAST_CLOSE_TRR_1YR")</f>
        <v>2.4603820000000001</v>
      </c>
      <c r="H37">
        <f>_xll.BDP("LBHYX US Equity","LAST_CLOSE_TRR_3YR")</f>
        <v>3.9551820000000002</v>
      </c>
      <c r="I37">
        <f>_xll.BDP("LBHYX US Equity","LAST_CLOSE_TRR_5YR")</f>
        <v>6.2538080000000003</v>
      </c>
      <c r="J37" t="str">
        <f>_xll.BDP("LBHYX US Equity","PX_CLOSE_DT")</f>
        <v>12/24/2020</v>
      </c>
    </row>
    <row r="38" spans="1:10" x14ac:dyDescent="0.25">
      <c r="A38" t="s">
        <v>82</v>
      </c>
      <c r="B38" t="s">
        <v>83</v>
      </c>
      <c r="C38">
        <f>_xll.BDP("HBIAX US Equity","CUST_TRR_RETURN_ANNUALIZED","CUST_TRR_START_DT=20200626","CUST_TRR_END_DT=20201226")</f>
        <v>14.98264</v>
      </c>
      <c r="D38">
        <f>_xll.BDP("HBIAX US Equity","LAST_CLOSE_TRR_1MO")</f>
        <v>1.2914239999999999</v>
      </c>
      <c r="E38">
        <f>_xll.BDP("HBIAX US Equity","LAST_CLOSE_TRR_3MO")</f>
        <v>4.7136120000000004</v>
      </c>
      <c r="F38">
        <f>_xll.BDP("HBIAX US Equity","LAST_CLOSE_TRR_YTD")</f>
        <v>9.1067219999999995</v>
      </c>
      <c r="G38">
        <f>_xll.BDP("HBIAX US Equity","LAST_CLOSE_TRR_1YR")</f>
        <v>8.7876960000000004</v>
      </c>
      <c r="H38">
        <f>_xll.BDP("HBIAX US Equity","LAST_CLOSE_TRR_3YR")</f>
        <v>5.746518</v>
      </c>
      <c r="I38">
        <f>_xll.BDP("HBIAX US Equity","LAST_CLOSE_TRR_5YR")</f>
        <v>6.3031079999999999</v>
      </c>
      <c r="J38" t="str">
        <f>_xll.BDP("HBIAX US Equity","PX_CLOSE_DT")</f>
        <v>12/24/2020</v>
      </c>
    </row>
    <row r="39" spans="1:10" x14ac:dyDescent="0.25">
      <c r="A39" t="s">
        <v>84</v>
      </c>
      <c r="B39" t="s">
        <v>85</v>
      </c>
      <c r="C39">
        <f>_xll.BDP("PGHYX US Equity","CUST_TRR_RETURN_ANNUALIZED","CUST_TRR_START_DT=20200626","CUST_TRR_END_DT=20201226")</f>
        <v>26.376619999999999</v>
      </c>
      <c r="D39">
        <f>_xll.BDP("PGHYX US Equity","LAST_CLOSE_TRR_1MO")</f>
        <v>2.3579150000000002</v>
      </c>
      <c r="E39">
        <f>_xll.BDP("PGHYX US Equity","LAST_CLOSE_TRR_3MO")</f>
        <v>8.8015500000000007</v>
      </c>
      <c r="F39">
        <f>_xll.BDP("PGHYX US Equity","LAST_CLOSE_TRR_YTD")</f>
        <v>2.1231650000000002</v>
      </c>
      <c r="G39">
        <f>_xll.BDP("PGHYX US Equity","LAST_CLOSE_TRR_1YR")</f>
        <v>2.4532289999999999</v>
      </c>
      <c r="H39">
        <f>_xll.BDP("PGHYX US Equity","LAST_CLOSE_TRR_3YR")</f>
        <v>3.176005</v>
      </c>
      <c r="I39">
        <f>_xll.BDP("PGHYX US Equity","LAST_CLOSE_TRR_5YR")</f>
        <v>6.3901940000000002</v>
      </c>
      <c r="J39" t="str">
        <f>_xll.BDP("PGHYX US Equity","PX_CLOSE_DT")</f>
        <v>12/24/2020</v>
      </c>
    </row>
    <row r="40" spans="1:10" x14ac:dyDescent="0.25">
      <c r="A40" t="s">
        <v>86</v>
      </c>
      <c r="B40" t="s">
        <v>87</v>
      </c>
      <c r="C40">
        <f>_xll.BDP("AGDAX US Equity","CUST_TRR_RETURN_ANNUALIZED","CUST_TRR_START_DT=20200626","CUST_TRR_END_DT=20201226")</f>
        <v>26.577449999999999</v>
      </c>
      <c r="D40">
        <f>_xll.BDP("AGDAX US Equity","LAST_CLOSE_TRR_1MO")</f>
        <v>2.4772240000000001</v>
      </c>
      <c r="E40">
        <f>_xll.BDP("AGDAX US Equity","LAST_CLOSE_TRR_3MO")</f>
        <v>8.2386560000000006</v>
      </c>
      <c r="F40">
        <f>_xll.BDP("AGDAX US Equity","LAST_CLOSE_TRR_YTD")</f>
        <v>2.4559989999999998</v>
      </c>
      <c r="G40">
        <f>_xll.BDP("AGDAX US Equity","LAST_CLOSE_TRR_1YR")</f>
        <v>2.6890619999999998</v>
      </c>
      <c r="H40">
        <f>_xll.BDP("AGDAX US Equity","LAST_CLOSE_TRR_3YR")</f>
        <v>3.2086459999999999</v>
      </c>
      <c r="I40">
        <f>_xll.BDP("AGDAX US Equity","LAST_CLOSE_TRR_5YR")</f>
        <v>6.4600619999999997</v>
      </c>
      <c r="J40" t="str">
        <f>_xll.BDP("AGDAX US Equity","PX_CLOSE_DT")</f>
        <v>12/24/2020</v>
      </c>
    </row>
    <row r="41" spans="1:10" x14ac:dyDescent="0.25">
      <c r="A41" t="s">
        <v>88</v>
      </c>
      <c r="B41" t="s">
        <v>89</v>
      </c>
      <c r="C41">
        <f>_xll.BDP("MKHCX US Equity","CUST_TRR_RETURN_ANNUALIZED","CUST_TRR_START_DT=20200626","CUST_TRR_END_DT=20201226")</f>
        <v>17.171849999999999</v>
      </c>
      <c r="D41">
        <f>_xll.BDP("MKHCX US Equity","LAST_CLOSE_TRR_1MO")</f>
        <v>1.2505539999999999</v>
      </c>
      <c r="E41">
        <f>_xll.BDP("MKHCX US Equity","LAST_CLOSE_TRR_3MO")</f>
        <v>4.7446169999999999</v>
      </c>
      <c r="F41">
        <f>_xll.BDP("MKHCX US Equity","LAST_CLOSE_TRR_YTD")</f>
        <v>3.5661019999999999</v>
      </c>
      <c r="G41">
        <f>_xll.BDP("MKHCX US Equity","LAST_CLOSE_TRR_1YR")</f>
        <v>3.5661019999999999</v>
      </c>
      <c r="H41">
        <f>_xll.BDP("MKHCX US Equity","LAST_CLOSE_TRR_3YR")</f>
        <v>4.1748250000000002</v>
      </c>
      <c r="I41">
        <f>_xll.BDP("MKHCX US Equity","LAST_CLOSE_TRR_5YR")</f>
        <v>6.4889099999999997</v>
      </c>
      <c r="J41" t="str">
        <f>_xll.BDP("MKHCX US Equity","PX_CLOSE_DT")</f>
        <v>12/24/2020</v>
      </c>
    </row>
    <row r="42" spans="1:10" x14ac:dyDescent="0.25">
      <c r="A42" t="s">
        <v>90</v>
      </c>
      <c r="B42" t="s">
        <v>91</v>
      </c>
      <c r="C42">
        <f>_xll.BDP("BJBHX US Equity","CUST_TRR_RETURN_ANNUALIZED","CUST_TRR_START_DT=20200626","CUST_TRR_END_DT=20201226")</f>
        <v>21.290479999999999</v>
      </c>
      <c r="D42">
        <f>_xll.BDP("BJBHX US Equity","LAST_CLOSE_TRR_1MO")</f>
        <v>1.376795</v>
      </c>
      <c r="E42">
        <f>_xll.BDP("BJBHX US Equity","LAST_CLOSE_TRR_3MO")</f>
        <v>6.9813239999999999</v>
      </c>
      <c r="F42">
        <f>_xll.BDP("BJBHX US Equity","LAST_CLOSE_TRR_YTD")</f>
        <v>4.8693619999999997</v>
      </c>
      <c r="G42">
        <f>_xll.BDP("BJBHX US Equity","LAST_CLOSE_TRR_1YR")</f>
        <v>4.8931909999999998</v>
      </c>
      <c r="H42">
        <f>_xll.BDP("BJBHX US Equity","LAST_CLOSE_TRR_3YR")</f>
        <v>4.8318329999999996</v>
      </c>
      <c r="I42">
        <f>_xll.BDP("BJBHX US Equity","LAST_CLOSE_TRR_5YR")</f>
        <v>6.510243</v>
      </c>
      <c r="J42" t="str">
        <f>_xll.BDP("BJBHX US Equity","PX_CLOSE_DT")</f>
        <v>12/24/2020</v>
      </c>
    </row>
    <row r="43" spans="1:10" x14ac:dyDescent="0.25">
      <c r="A43" t="s">
        <v>92</v>
      </c>
      <c r="B43" t="s">
        <v>93</v>
      </c>
      <c r="C43">
        <f>_xll.BDP("HWHIX US Equity","CUST_TRR_RETURN_ANNUALIZED","CUST_TRR_START_DT=20200626","CUST_TRR_END_DT=20201226")</f>
        <v>25.42305</v>
      </c>
      <c r="D43">
        <f>_xll.BDP("HWHIX US Equity","LAST_CLOSE_TRR_1MO")</f>
        <v>3.1180180000000002</v>
      </c>
      <c r="E43">
        <f>_xll.BDP("HWHIX US Equity","LAST_CLOSE_TRR_3MO")</f>
        <v>7.8235010000000003</v>
      </c>
      <c r="F43">
        <f>_xll.BDP("HWHIX US Equity","LAST_CLOSE_TRR_YTD")</f>
        <v>2.9951180000000002</v>
      </c>
      <c r="G43">
        <f>_xll.BDP("HWHIX US Equity","LAST_CLOSE_TRR_1YR")</f>
        <v>3.2887919999999999</v>
      </c>
      <c r="H43">
        <f>_xll.BDP("HWHIX US Equity","LAST_CLOSE_TRR_3YR")</f>
        <v>2.9499460000000002</v>
      </c>
      <c r="I43">
        <f>_xll.BDP("HWHIX US Equity","LAST_CLOSE_TRR_5YR")</f>
        <v>6.5276839999999998</v>
      </c>
      <c r="J43" t="str">
        <f>_xll.BDP("HWHIX US Equity","PX_CLOSE_DT")</f>
        <v>12/24/2020</v>
      </c>
    </row>
    <row r="44" spans="1:10" x14ac:dyDescent="0.25">
      <c r="A44" t="s">
        <v>94</v>
      </c>
      <c r="B44" t="s">
        <v>95</v>
      </c>
      <c r="C44">
        <f>_xll.BDP("EVIBX US Equity","CUST_TRR_RETURN_ANNUALIZED","CUST_TRR_START_DT=20200626","CUST_TRR_END_DT=20201226")</f>
        <v>18.80949</v>
      </c>
      <c r="D44">
        <f>_xll.BDP("EVIBX US Equity","LAST_CLOSE_TRR_1MO")</f>
        <v>1.033005</v>
      </c>
      <c r="E44">
        <f>_xll.BDP("EVIBX US Equity","LAST_CLOSE_TRR_3MO")</f>
        <v>6.0279210000000001</v>
      </c>
      <c r="F44">
        <f>_xll.BDP("EVIBX US Equity","LAST_CLOSE_TRR_YTD")</f>
        <v>4.1087559999999996</v>
      </c>
      <c r="G44">
        <f>_xll.BDP("EVIBX US Equity","LAST_CLOSE_TRR_1YR")</f>
        <v>4.2049779999999997</v>
      </c>
      <c r="H44">
        <f>_xll.BDP("EVIBX US Equity","LAST_CLOSE_TRR_3YR")</f>
        <v>4.7384630000000003</v>
      </c>
      <c r="I44">
        <f>_xll.BDP("EVIBX US Equity","LAST_CLOSE_TRR_5YR")</f>
        <v>6.5328530000000002</v>
      </c>
      <c r="J44" t="str">
        <f>_xll.BDP("EVIBX US Equity","PX_CLOSE_DT")</f>
        <v>12/24/2020</v>
      </c>
    </row>
    <row r="45" spans="1:10" x14ac:dyDescent="0.25">
      <c r="A45" t="s">
        <v>96</v>
      </c>
      <c r="B45" t="s">
        <v>97</v>
      </c>
      <c r="C45">
        <f>_xll.BDP("ETHIX US Equity","CUST_TRR_RETURN_ANNUALIZED","CUST_TRR_START_DT=20200626","CUST_TRR_END_DT=20201226")</f>
        <v>21.031870000000001</v>
      </c>
      <c r="D45">
        <f>_xll.BDP("ETHIX US Equity","LAST_CLOSE_TRR_1MO")</f>
        <v>1.382385</v>
      </c>
      <c r="E45">
        <f>_xll.BDP("ETHIX US Equity","LAST_CLOSE_TRR_3MO")</f>
        <v>6.7041709999999997</v>
      </c>
      <c r="F45">
        <f>_xll.BDP("ETHIX US Equity","LAST_CLOSE_TRR_YTD")</f>
        <v>3.8123</v>
      </c>
      <c r="G45">
        <f>_xll.BDP("ETHIX US Equity","LAST_CLOSE_TRR_1YR")</f>
        <v>3.9030040000000001</v>
      </c>
      <c r="H45">
        <f>_xll.BDP("ETHIX US Equity","LAST_CLOSE_TRR_3YR")</f>
        <v>4.6833749999999998</v>
      </c>
      <c r="I45">
        <f>_xll.BDP("ETHIX US Equity","LAST_CLOSE_TRR_5YR")</f>
        <v>6.5410170000000001</v>
      </c>
      <c r="J45" t="str">
        <f>_xll.BDP("ETHIX US Equity","PX_CLOSE_DT")</f>
        <v>12/24/2020</v>
      </c>
    </row>
    <row r="46" spans="1:10" x14ac:dyDescent="0.25">
      <c r="A46" t="s">
        <v>98</v>
      </c>
      <c r="B46" t="s">
        <v>99</v>
      </c>
      <c r="C46">
        <f>_xll.BDP("EKHAX US Equity","CUST_TRR_RETURN_ANNUALIZED","CUST_TRR_START_DT=20200626","CUST_TRR_END_DT=20201226")</f>
        <v>18.314409999999999</v>
      </c>
      <c r="D46">
        <f>_xll.BDP("EKHAX US Equity","LAST_CLOSE_TRR_1MO")</f>
        <v>0.8796389</v>
      </c>
      <c r="E46">
        <f>_xll.BDP("EKHAX US Equity","LAST_CLOSE_TRR_3MO")</f>
        <v>5.2128620000000003</v>
      </c>
      <c r="F46">
        <f>_xll.BDP("EKHAX US Equity","LAST_CLOSE_TRR_YTD")</f>
        <v>4.7640469999999997</v>
      </c>
      <c r="G46">
        <f>_xll.BDP("EKHAX US Equity","LAST_CLOSE_TRR_1YR")</f>
        <v>4.8295839999999997</v>
      </c>
      <c r="H46">
        <f>_xll.BDP("EKHAX US Equity","LAST_CLOSE_TRR_3YR")</f>
        <v>4.414536</v>
      </c>
      <c r="I46">
        <f>_xll.BDP("EKHAX US Equity","LAST_CLOSE_TRR_5YR")</f>
        <v>6.548038</v>
      </c>
      <c r="J46" t="str">
        <f>_xll.BDP("EKHAX US Equity","PX_CLOSE_DT")</f>
        <v>12/24/2020</v>
      </c>
    </row>
    <row r="47" spans="1:10" x14ac:dyDescent="0.25">
      <c r="A47" t="s">
        <v>100</v>
      </c>
      <c r="B47" t="s">
        <v>101</v>
      </c>
      <c r="C47">
        <f>_xll.BDP("OGYAX US Equity","CUST_TRR_RETURN_ANNUALIZED","CUST_TRR_START_DT=20200626","CUST_TRR_END_DT=20201226")</f>
        <v>21.32151</v>
      </c>
      <c r="D47">
        <f>_xll.BDP("OGYAX US Equity","LAST_CLOSE_TRR_1MO")</f>
        <v>2.0256090000000002</v>
      </c>
      <c r="E47">
        <f>_xll.BDP("OGYAX US Equity","LAST_CLOSE_TRR_3MO")</f>
        <v>6.2416489999999998</v>
      </c>
      <c r="F47">
        <f>_xll.BDP("OGYAX US Equity","LAST_CLOSE_TRR_YTD")</f>
        <v>5.8778610000000002</v>
      </c>
      <c r="G47">
        <f>_xll.BDP("OGYAX US Equity","LAST_CLOSE_TRR_1YR")</f>
        <v>5.9180970000000004</v>
      </c>
      <c r="H47">
        <f>_xll.BDP("OGYAX US Equity","LAST_CLOSE_TRR_3YR")</f>
        <v>4.627453</v>
      </c>
      <c r="I47">
        <f>_xll.BDP("OGYAX US Equity","LAST_CLOSE_TRR_5YR")</f>
        <v>6.549296</v>
      </c>
      <c r="J47" t="str">
        <f>_xll.BDP("OGYAX US Equity","PX_CLOSE_DT")</f>
        <v>12/24/2020</v>
      </c>
    </row>
    <row r="48" spans="1:10" x14ac:dyDescent="0.25">
      <c r="A48" t="s">
        <v>102</v>
      </c>
      <c r="B48" t="s">
        <v>103</v>
      </c>
      <c r="C48">
        <f>_xll.BDP("OHYFX US Equity","CUST_TRR_RETURN_ANNUALIZED","CUST_TRR_START_DT=20200626","CUST_TRR_END_DT=20201226")</f>
        <v>19.3019</v>
      </c>
      <c r="D48">
        <f>_xll.BDP("OHYFX US Equity","LAST_CLOSE_TRR_1MO")</f>
        <v>1.4933339999999999</v>
      </c>
      <c r="E48">
        <f>_xll.BDP("OHYFX US Equity","LAST_CLOSE_TRR_3MO")</f>
        <v>6.0536989999999999</v>
      </c>
      <c r="F48">
        <f>_xll.BDP("OHYFX US Equity","LAST_CLOSE_TRR_YTD")</f>
        <v>2.2526760000000001</v>
      </c>
      <c r="G48">
        <f>_xll.BDP("OHYFX US Equity","LAST_CLOSE_TRR_1YR")</f>
        <v>2.418768</v>
      </c>
      <c r="H48">
        <f>_xll.BDP("OHYFX US Equity","LAST_CLOSE_TRR_3YR")</f>
        <v>4.1068410000000002</v>
      </c>
      <c r="I48">
        <f>_xll.BDP("OHYFX US Equity","LAST_CLOSE_TRR_5YR")</f>
        <v>6.5496179999999997</v>
      </c>
      <c r="J48" t="str">
        <f>_xll.BDP("OHYFX US Equity","PX_CLOSE_DT")</f>
        <v>12/24/2020</v>
      </c>
    </row>
    <row r="49" spans="1:10" x14ac:dyDescent="0.25">
      <c r="A49" t="s">
        <v>104</v>
      </c>
      <c r="B49" t="s">
        <v>105</v>
      </c>
      <c r="C49">
        <f>_xll.BDP("CYBIX US Equity","CUST_TRR_RETURN_ANNUALIZED","CUST_TRR_START_DT=20200626","CUST_TRR_END_DT=20201226")</f>
        <v>17.550640000000001</v>
      </c>
      <c r="D49">
        <f>_xll.BDP("CYBIX US Equity","LAST_CLOSE_TRR_1MO")</f>
        <v>0.80083610000000005</v>
      </c>
      <c r="E49">
        <f>_xll.BDP("CYBIX US Equity","LAST_CLOSE_TRR_3MO")</f>
        <v>5.2124269999999999</v>
      </c>
      <c r="F49">
        <f>_xll.BDP("CYBIX US Equity","LAST_CLOSE_TRR_YTD")</f>
        <v>4.9368489999999996</v>
      </c>
      <c r="G49">
        <f>_xll.BDP("CYBIX US Equity","LAST_CLOSE_TRR_1YR")</f>
        <v>5.0122249999999999</v>
      </c>
      <c r="H49">
        <f>_xll.BDP("CYBIX US Equity","LAST_CLOSE_TRR_3YR")</f>
        <v>4.9178870000000003</v>
      </c>
      <c r="I49">
        <f>_xll.BDP("CYBIX US Equity","LAST_CLOSE_TRR_5YR")</f>
        <v>6.5748800000000003</v>
      </c>
      <c r="J49" t="str">
        <f>_xll.BDP("CYBIX US Equity","PX_CLOSE_DT")</f>
        <v>12/24/2020</v>
      </c>
    </row>
    <row r="50" spans="1:10" x14ac:dyDescent="0.25">
      <c r="A50" t="s">
        <v>106</v>
      </c>
      <c r="B50" t="s">
        <v>107</v>
      </c>
      <c r="C50">
        <f>_xll.BDP("FHIFX US Equity","CUST_TRR_RETURN_ANNUALIZED","CUST_TRR_START_DT=20200626","CUST_TRR_END_DT=20201226")</f>
        <v>13.934089999999999</v>
      </c>
      <c r="D50">
        <f>_xll.BDP("FHIFX US Equity","LAST_CLOSE_TRR_1MO")</f>
        <v>0.54802050000000002</v>
      </c>
      <c r="E50">
        <f>_xll.BDP("FHIFX US Equity","LAST_CLOSE_TRR_3MO")</f>
        <v>4.2365360000000001</v>
      </c>
      <c r="F50">
        <f>_xll.BDP("FHIFX US Equity","LAST_CLOSE_TRR_YTD")</f>
        <v>3.7435079999999998</v>
      </c>
      <c r="G50">
        <f>_xll.BDP("FHIFX US Equity","LAST_CLOSE_TRR_1YR")</f>
        <v>3.8211379999999999</v>
      </c>
      <c r="H50">
        <f>_xll.BDP("FHIFX US Equity","LAST_CLOSE_TRR_3YR")</f>
        <v>5.0695499999999996</v>
      </c>
      <c r="I50">
        <f>_xll.BDP("FHIFX US Equity","LAST_CLOSE_TRR_5YR")</f>
        <v>6.6295599999999997</v>
      </c>
      <c r="J50" t="str">
        <f>_xll.BDP("FHIFX US Equity","PX_CLOSE_DT")</f>
        <v>12/24/2020</v>
      </c>
    </row>
    <row r="51" spans="1:10" x14ac:dyDescent="0.25">
      <c r="A51" t="s">
        <v>108</v>
      </c>
      <c r="B51" t="s">
        <v>109</v>
      </c>
      <c r="C51">
        <f>_xll.BDP("THYUX US Equity","CUST_TRR_RETURN_ANNUALIZED","CUST_TRR_START_DT=20200626","CUST_TRR_END_DT=20201226")</f>
        <v>19.636230000000001</v>
      </c>
      <c r="D51">
        <f>_xll.BDP("THYUX US Equity","LAST_CLOSE_TRR_1MO")</f>
        <v>1.251387</v>
      </c>
      <c r="E51">
        <f>_xll.BDP("THYUX US Equity","LAST_CLOSE_TRR_3MO")</f>
        <v>6.134938</v>
      </c>
      <c r="F51">
        <f>_xll.BDP("THYUX US Equity","LAST_CLOSE_TRR_YTD")</f>
        <v>1.4984150000000001</v>
      </c>
      <c r="G51">
        <f>_xll.BDP("THYUX US Equity","LAST_CLOSE_TRR_1YR")</f>
        <v>1.689487</v>
      </c>
      <c r="H51">
        <f>_xll.BDP("THYUX US Equity","LAST_CLOSE_TRR_3YR")</f>
        <v>4.1220230000000004</v>
      </c>
      <c r="I51">
        <f>_xll.BDP("THYUX US Equity","LAST_CLOSE_TRR_5YR")</f>
        <v>6.6366379999999996</v>
      </c>
      <c r="J51" t="str">
        <f>_xll.BDP("THYUX US Equity","PX_CLOSE_DT")</f>
        <v>12/24/2020</v>
      </c>
    </row>
    <row r="52" spans="1:10" x14ac:dyDescent="0.25">
      <c r="A52" t="s">
        <v>110</v>
      </c>
      <c r="B52" t="s">
        <v>111</v>
      </c>
      <c r="C52">
        <f>_xll.BDP("AHYVX US Equity","CUST_TRR_RETURN_ANNUALIZED","CUST_TRR_START_DT=20200626","CUST_TRR_END_DT=20201226")</f>
        <v>18.933579999999999</v>
      </c>
      <c r="D52">
        <f>_xll.BDP("AHYVX US Equity","LAST_CLOSE_TRR_1MO")</f>
        <v>1.247914</v>
      </c>
      <c r="E52">
        <f>_xll.BDP("AHYVX US Equity","LAST_CLOSE_TRR_3MO")</f>
        <v>5.4522880000000002</v>
      </c>
      <c r="F52">
        <f>_xll.BDP("AHYVX US Equity","LAST_CLOSE_TRR_YTD")</f>
        <v>4.9854630000000002</v>
      </c>
      <c r="G52">
        <f>_xll.BDP("AHYVX US Equity","LAST_CLOSE_TRR_1YR")</f>
        <v>5.066675</v>
      </c>
      <c r="H52">
        <f>_xll.BDP("AHYVX US Equity","LAST_CLOSE_TRR_3YR")</f>
        <v>4.6350920000000002</v>
      </c>
      <c r="I52">
        <f>_xll.BDP("AHYVX US Equity","LAST_CLOSE_TRR_5YR")</f>
        <v>6.6375260000000003</v>
      </c>
      <c r="J52" t="str">
        <f>_xll.BDP("AHYVX US Equity","PX_CLOSE_DT")</f>
        <v>12/24/2020</v>
      </c>
    </row>
    <row r="53" spans="1:10" x14ac:dyDescent="0.25">
      <c r="A53" t="s">
        <v>112</v>
      </c>
      <c r="B53" t="s">
        <v>113</v>
      </c>
      <c r="C53">
        <f>_xll.BDP("DDJCX US Equity","CUST_TRR_RETURN_ANNUALIZED","CUST_TRR_START_DT=20200626","CUST_TRR_END_DT=20201226")</f>
        <v>23.28913</v>
      </c>
      <c r="D53">
        <f>_xll.BDP("DDJCX US Equity","LAST_CLOSE_TRR_1MO")</f>
        <v>1.7690300000000001</v>
      </c>
      <c r="E53">
        <f>_xll.BDP("DDJCX US Equity","LAST_CLOSE_TRR_3MO")</f>
        <v>6.0328900000000001</v>
      </c>
      <c r="F53">
        <f>_xll.BDP("DDJCX US Equity","LAST_CLOSE_TRR_YTD")</f>
        <v>3.0265520000000001</v>
      </c>
      <c r="G53">
        <f>_xll.BDP("DDJCX US Equity","LAST_CLOSE_TRR_1YR")</f>
        <v>3.143894</v>
      </c>
      <c r="H53">
        <f>_xll.BDP("DDJCX US Equity","LAST_CLOSE_TRR_3YR")</f>
        <v>3.0794779999999999</v>
      </c>
      <c r="I53">
        <f>_xll.BDP("DDJCX US Equity","LAST_CLOSE_TRR_5YR")</f>
        <v>6.722537</v>
      </c>
      <c r="J53" t="str">
        <f>_xll.BDP("DDJCX US Equity","PX_CLOSE_DT")</f>
        <v>12/24/2020</v>
      </c>
    </row>
    <row r="54" spans="1:10" x14ac:dyDescent="0.25">
      <c r="A54" t="s">
        <v>114</v>
      </c>
      <c r="B54" t="s">
        <v>115</v>
      </c>
      <c r="C54">
        <f>_xll.BDP("PYHIX US Equity","CUST_TRR_RETURN_ANNUALIZED","CUST_TRR_START_DT=20200626","CUST_TRR_END_DT=20201226")</f>
        <v>21.84966</v>
      </c>
      <c r="D54">
        <f>_xll.BDP("PYHIX US Equity","LAST_CLOSE_TRR_1MO")</f>
        <v>1.2958959999999999</v>
      </c>
      <c r="E54">
        <f>_xll.BDP("PYHIX US Equity","LAST_CLOSE_TRR_3MO")</f>
        <v>6.1905780000000004</v>
      </c>
      <c r="F54">
        <f>_xll.BDP("PYHIX US Equity","LAST_CLOSE_TRR_YTD")</f>
        <v>4.8960140000000001</v>
      </c>
      <c r="G54">
        <f>_xll.BDP("PYHIX US Equity","LAST_CLOSE_TRR_1YR")</f>
        <v>5.0292389999999996</v>
      </c>
      <c r="H54">
        <f>_xll.BDP("PYHIX US Equity","LAST_CLOSE_TRR_3YR")</f>
        <v>4.4948519999999998</v>
      </c>
      <c r="I54">
        <f>_xll.BDP("PYHIX US Equity","LAST_CLOSE_TRR_5YR")</f>
        <v>6.7318360000000004</v>
      </c>
      <c r="J54" t="str">
        <f>_xll.BDP("PYHIX US Equity","PX_CLOSE_DT")</f>
        <v>12/24/2020</v>
      </c>
    </row>
    <row r="55" spans="1:10" x14ac:dyDescent="0.25">
      <c r="A55" t="s">
        <v>116</v>
      </c>
      <c r="B55" t="s">
        <v>117</v>
      </c>
      <c r="C55">
        <f>_xll.BDP("INEAX US Equity","CUST_TRR_RETURN_ANNUALIZED","CUST_TRR_START_DT=20200626","CUST_TRR_END_DT=20201226")</f>
        <v>19.29975</v>
      </c>
      <c r="D55">
        <f>_xll.BDP("INEAX US Equity","LAST_CLOSE_TRR_1MO")</f>
        <v>1.385391</v>
      </c>
      <c r="E55">
        <f>_xll.BDP("INEAX US Equity","LAST_CLOSE_TRR_3MO")</f>
        <v>6.2861770000000003</v>
      </c>
      <c r="F55">
        <f>_xll.BDP("INEAX US Equity","LAST_CLOSE_TRR_YTD")</f>
        <v>4.8403099999999997</v>
      </c>
      <c r="G55">
        <f>_xll.BDP("INEAX US Equity","LAST_CLOSE_TRR_1YR")</f>
        <v>4.9389500000000002</v>
      </c>
      <c r="H55">
        <f>_xll.BDP("INEAX US Equity","LAST_CLOSE_TRR_3YR")</f>
        <v>5.3704029999999996</v>
      </c>
      <c r="I55">
        <f>_xll.BDP("INEAX US Equity","LAST_CLOSE_TRR_5YR")</f>
        <v>6.7410079999999999</v>
      </c>
      <c r="J55" t="str">
        <f>_xll.BDP("INEAX US Equity","PX_CLOSE_DT")</f>
        <v>12/24/2020</v>
      </c>
    </row>
    <row r="56" spans="1:10" x14ac:dyDescent="0.25">
      <c r="A56" t="s">
        <v>118</v>
      </c>
      <c r="B56" t="s">
        <v>119</v>
      </c>
      <c r="C56">
        <f>_xll.BDP("DPLTX US Equity","CUST_TRR_RETURN_ANNUALIZED","CUST_TRR_START_DT=20200626","CUST_TRR_END_DT=20201226")</f>
        <v>18.907720000000001</v>
      </c>
      <c r="D56">
        <f>_xll.BDP("DPLTX US Equity","LAST_CLOSE_TRR_1MO")</f>
        <v>1.070465</v>
      </c>
      <c r="E56">
        <f>_xll.BDP("DPLTX US Equity","LAST_CLOSE_TRR_3MO")</f>
        <v>5.5468359999999999</v>
      </c>
      <c r="F56">
        <f>_xll.BDP("DPLTX US Equity","LAST_CLOSE_TRR_YTD")</f>
        <v>4.1506230000000004</v>
      </c>
      <c r="G56">
        <f>_xll.BDP("DPLTX US Equity","LAST_CLOSE_TRR_1YR")</f>
        <v>4.2502149999999999</v>
      </c>
      <c r="H56">
        <f>_xll.BDP("DPLTX US Equity","LAST_CLOSE_TRR_3YR")</f>
        <v>4.6373439999999997</v>
      </c>
      <c r="I56">
        <f>_xll.BDP("DPLTX US Equity","LAST_CLOSE_TRR_5YR")</f>
        <v>6.7469929999999998</v>
      </c>
      <c r="J56" t="str">
        <f>_xll.BDP("DPLTX US Equity","PX_CLOSE_DT")</f>
        <v>12/24/2020</v>
      </c>
    </row>
    <row r="57" spans="1:10" x14ac:dyDescent="0.25">
      <c r="A57" t="s">
        <v>120</v>
      </c>
      <c r="B57" t="s">
        <v>121</v>
      </c>
      <c r="C57">
        <f>_xll.BDP("MPHAX US Equity","CUST_TRR_RETURN_ANNUALIZED","CUST_TRR_START_DT=20200626","CUST_TRR_END_DT=20201226")</f>
        <v>21.49813</v>
      </c>
      <c r="D57">
        <f>_xll.BDP("MPHAX US Equity","LAST_CLOSE_TRR_1MO")</f>
        <v>1.678782</v>
      </c>
      <c r="E57">
        <f>_xll.BDP("MPHAX US Equity","LAST_CLOSE_TRR_3MO")</f>
        <v>6.7326379999999997</v>
      </c>
      <c r="F57">
        <f>_xll.BDP("MPHAX US Equity","LAST_CLOSE_TRR_YTD")</f>
        <v>3.4278430000000002</v>
      </c>
      <c r="G57">
        <f>_xll.BDP("MPHAX US Equity","LAST_CLOSE_TRR_1YR")</f>
        <v>3.546589</v>
      </c>
      <c r="H57">
        <f>_xll.BDP("MPHAX US Equity","LAST_CLOSE_TRR_3YR")</f>
        <v>4.1453519999999999</v>
      </c>
      <c r="I57">
        <f>_xll.BDP("MPHAX US Equity","LAST_CLOSE_TRR_5YR")</f>
        <v>6.8035399999999999</v>
      </c>
      <c r="J57" t="str">
        <f>_xll.BDP("MPHAX US Equity","PX_CLOSE_DT")</f>
        <v>12/24/2020</v>
      </c>
    </row>
    <row r="58" spans="1:10" x14ac:dyDescent="0.25">
      <c r="A58" t="s">
        <v>122</v>
      </c>
      <c r="B58" t="s">
        <v>123</v>
      </c>
      <c r="C58">
        <f>_xll.BDP("HBYAX US Equity","CUST_TRR_RETURN_ANNUALIZED","CUST_TRR_START_DT=20200626","CUST_TRR_END_DT=20201226")</f>
        <v>21.560700000000001</v>
      </c>
      <c r="D58">
        <f>_xll.BDP("HBYAX US Equity","LAST_CLOSE_TRR_1MO")</f>
        <v>1.250686</v>
      </c>
      <c r="E58">
        <f>_xll.BDP("HBYAX US Equity","LAST_CLOSE_TRR_3MO")</f>
        <v>6.6457420000000003</v>
      </c>
      <c r="F58">
        <f>_xll.BDP("HBYAX US Equity","LAST_CLOSE_TRR_YTD")</f>
        <v>7.0597060000000003</v>
      </c>
      <c r="G58">
        <f>_xll.BDP("HBYAX US Equity","LAST_CLOSE_TRR_1YR")</f>
        <v>7.2202419999999998</v>
      </c>
      <c r="H58">
        <f>_xll.BDP("HBYAX US Equity","LAST_CLOSE_TRR_3YR")</f>
        <v>5.3538800000000002</v>
      </c>
      <c r="I58">
        <f>_xll.BDP("HBYAX US Equity","LAST_CLOSE_TRR_5YR")</f>
        <v>6.8238500000000002</v>
      </c>
      <c r="J58" t="str">
        <f>_xll.BDP("HBYAX US Equity","PX_CLOSE_DT")</f>
        <v>12/24/2020</v>
      </c>
    </row>
    <row r="59" spans="1:10" x14ac:dyDescent="0.25">
      <c r="A59" t="s">
        <v>124</v>
      </c>
      <c r="B59" t="s">
        <v>125</v>
      </c>
      <c r="C59">
        <f>_xll.BDP("TAHYX US Equity","CUST_TRR_RETURN_ANNUALIZED","CUST_TRR_START_DT=20200626","CUST_TRR_END_DT=20201226")</f>
        <v>23.340979999999998</v>
      </c>
      <c r="D59">
        <f>_xll.BDP("TAHYX US Equity","LAST_CLOSE_TRR_1MO")</f>
        <v>1.6761079999999999</v>
      </c>
      <c r="E59">
        <f>_xll.BDP("TAHYX US Equity","LAST_CLOSE_TRR_3MO")</f>
        <v>6.9859499999999999</v>
      </c>
      <c r="F59">
        <f>_xll.BDP("TAHYX US Equity","LAST_CLOSE_TRR_YTD")</f>
        <v>2.4798779999999998</v>
      </c>
      <c r="G59">
        <f>_xll.BDP("TAHYX US Equity","LAST_CLOSE_TRR_1YR")</f>
        <v>2.5768059999999999</v>
      </c>
      <c r="H59">
        <f>_xll.BDP("TAHYX US Equity","LAST_CLOSE_TRR_3YR")</f>
        <v>4.1869420000000002</v>
      </c>
      <c r="I59">
        <f>_xll.BDP("TAHYX US Equity","LAST_CLOSE_TRR_5YR")</f>
        <v>6.8285939999999998</v>
      </c>
      <c r="J59" t="str">
        <f>_xll.BDP("TAHYX US Equity","PX_CLOSE_DT")</f>
        <v>12/24/2020</v>
      </c>
    </row>
    <row r="60" spans="1:10" x14ac:dyDescent="0.25">
      <c r="A60" t="s">
        <v>126</v>
      </c>
      <c r="B60" t="s">
        <v>127</v>
      </c>
      <c r="C60">
        <f>_xll.BDP("IHYAX US Equity","CUST_TRR_RETURN_ANNUALIZED","CUST_TRR_START_DT=20200626","CUST_TRR_END_DT=20201226")</f>
        <v>21.007629999999999</v>
      </c>
      <c r="D60">
        <f>_xll.BDP("IHYAX US Equity","LAST_CLOSE_TRR_1MO")</f>
        <v>1.206971</v>
      </c>
      <c r="E60">
        <f>_xll.BDP("IHYAX US Equity","LAST_CLOSE_TRR_3MO")</f>
        <v>6.0273009999999996</v>
      </c>
      <c r="F60">
        <f>_xll.BDP("IHYAX US Equity","LAST_CLOSE_TRR_YTD")</f>
        <v>5.1402270000000003</v>
      </c>
      <c r="G60">
        <f>_xll.BDP("IHYAX US Equity","LAST_CLOSE_TRR_1YR")</f>
        <v>5.3469110000000004</v>
      </c>
      <c r="H60">
        <f>_xll.BDP("IHYAX US Equity","LAST_CLOSE_TRR_3YR")</f>
        <v>5.2502149999999999</v>
      </c>
      <c r="I60">
        <f>_xll.BDP("IHYAX US Equity","LAST_CLOSE_TRR_5YR")</f>
        <v>6.8421649999999996</v>
      </c>
      <c r="J60" t="str">
        <f>_xll.BDP("IHYAX US Equity","PX_CLOSE_DT")</f>
        <v>12/24/2020</v>
      </c>
    </row>
    <row r="61" spans="1:10" x14ac:dyDescent="0.25">
      <c r="A61" t="s">
        <v>128</v>
      </c>
      <c r="B61" t="s">
        <v>129</v>
      </c>
      <c r="C61">
        <f>_xll.BDP("GSHAX US Equity","CUST_TRR_RETURN_ANNUALIZED","CUST_TRR_START_DT=20200626","CUST_TRR_END_DT=20201226")</f>
        <v>22.074739999999998</v>
      </c>
      <c r="D61">
        <f>_xll.BDP("GSHAX US Equity","LAST_CLOSE_TRR_1MO")</f>
        <v>1.392236</v>
      </c>
      <c r="E61">
        <f>_xll.BDP("GSHAX US Equity","LAST_CLOSE_TRR_3MO")</f>
        <v>6.6388749999999996</v>
      </c>
      <c r="F61">
        <f>_xll.BDP("GSHAX US Equity","LAST_CLOSE_TRR_YTD")</f>
        <v>4.7644799999999998</v>
      </c>
      <c r="G61">
        <f>_xll.BDP("GSHAX US Equity","LAST_CLOSE_TRR_1YR")</f>
        <v>4.8600969999999997</v>
      </c>
      <c r="H61">
        <f>_xll.BDP("GSHAX US Equity","LAST_CLOSE_TRR_3YR")</f>
        <v>5.0372890000000003</v>
      </c>
      <c r="I61">
        <f>_xll.BDP("GSHAX US Equity","LAST_CLOSE_TRR_5YR")</f>
        <v>6.8494219999999997</v>
      </c>
      <c r="J61" t="str">
        <f>_xll.BDP("GSHAX US Equity","PX_CLOSE_DT")</f>
        <v>12/24/2020</v>
      </c>
    </row>
    <row r="62" spans="1:10" x14ac:dyDescent="0.25">
      <c r="A62" t="s">
        <v>130</v>
      </c>
      <c r="B62" t="s">
        <v>131</v>
      </c>
      <c r="C62">
        <f>_xll.BDP("IHIYX US Equity","CUST_TRR_RETURN_ANNUALIZED","CUST_TRR_START_DT=20200626","CUST_TRR_END_DT=20201226")</f>
        <v>23.020520000000001</v>
      </c>
      <c r="D62">
        <f>_xll.BDP("IHIYX US Equity","LAST_CLOSE_TRR_1MO")</f>
        <v>1.7221280000000001</v>
      </c>
      <c r="E62">
        <f>_xll.BDP("IHIYX US Equity","LAST_CLOSE_TRR_3MO")</f>
        <v>7.0793929999999996</v>
      </c>
      <c r="F62">
        <f>_xll.BDP("IHIYX US Equity","LAST_CLOSE_TRR_YTD")</f>
        <v>3.0162640000000001</v>
      </c>
      <c r="G62">
        <f>_xll.BDP("IHIYX US Equity","LAST_CLOSE_TRR_1YR")</f>
        <v>3.111793</v>
      </c>
      <c r="H62">
        <f>_xll.BDP("IHIYX US Equity","LAST_CLOSE_TRR_3YR")</f>
        <v>4.4504979999999996</v>
      </c>
      <c r="I62">
        <f>_xll.BDP("IHIYX US Equity","LAST_CLOSE_TRR_5YR")</f>
        <v>6.849513</v>
      </c>
      <c r="J62" t="str">
        <f>_xll.BDP("IHIYX US Equity","PX_CLOSE_DT")</f>
        <v>12/24/2020</v>
      </c>
    </row>
    <row r="63" spans="1:10" x14ac:dyDescent="0.25">
      <c r="A63" t="s">
        <v>132</v>
      </c>
      <c r="B63" t="s">
        <v>133</v>
      </c>
      <c r="C63">
        <f>_xll.BDP("MHITX US Equity","CUST_TRR_RETURN_ANNUALIZED","CUST_TRR_START_DT=20200626","CUST_TRR_END_DT=20201226")</f>
        <v>16.32292</v>
      </c>
      <c r="D63">
        <f>_xll.BDP("MHITX US Equity","LAST_CLOSE_TRR_1MO")</f>
        <v>0.97045809999999999</v>
      </c>
      <c r="E63">
        <f>_xll.BDP("MHITX US Equity","LAST_CLOSE_TRR_3MO")</f>
        <v>5.0897790000000001</v>
      </c>
      <c r="F63">
        <f>_xll.BDP("MHITX US Equity","LAST_CLOSE_TRR_YTD")</f>
        <v>4.3308280000000003</v>
      </c>
      <c r="G63">
        <f>_xll.BDP("MHITX US Equity","LAST_CLOSE_TRR_1YR")</f>
        <v>4.4115440000000001</v>
      </c>
      <c r="H63">
        <f>_xll.BDP("MHITX US Equity","LAST_CLOSE_TRR_3YR")</f>
        <v>4.9181140000000001</v>
      </c>
      <c r="I63">
        <f>_xll.BDP("MHITX US Equity","LAST_CLOSE_TRR_5YR")</f>
        <v>6.8617889999999999</v>
      </c>
      <c r="J63" t="str">
        <f>_xll.BDP("MHITX US Equity","PX_CLOSE_DT")</f>
        <v>12/24/2020</v>
      </c>
    </row>
    <row r="64" spans="1:10" x14ac:dyDescent="0.25">
      <c r="A64" t="s">
        <v>134</v>
      </c>
      <c r="B64" t="s">
        <v>135</v>
      </c>
      <c r="C64">
        <f>_xll.BDP("JHYAX US Equity","CUST_TRR_RETURN_ANNUALIZED","CUST_TRR_START_DT=20200626","CUST_TRR_END_DT=20201226")</f>
        <v>24.109829999999999</v>
      </c>
      <c r="D64">
        <f>_xll.BDP("JHYAX US Equity","LAST_CLOSE_TRR_1MO")</f>
        <v>1.38124</v>
      </c>
      <c r="E64">
        <f>_xll.BDP("JHYAX US Equity","LAST_CLOSE_TRR_3MO")</f>
        <v>7.3465220000000002</v>
      </c>
      <c r="F64">
        <f>_xll.BDP("JHYAX US Equity","LAST_CLOSE_TRR_YTD")</f>
        <v>4.67638</v>
      </c>
      <c r="G64">
        <f>_xll.BDP("JHYAX US Equity","LAST_CLOSE_TRR_1YR")</f>
        <v>4.8923719999999999</v>
      </c>
      <c r="H64">
        <f>_xll.BDP("JHYAX US Equity","LAST_CLOSE_TRR_3YR")</f>
        <v>5.3268690000000003</v>
      </c>
      <c r="I64">
        <f>_xll.BDP("JHYAX US Equity","LAST_CLOSE_TRR_5YR")</f>
        <v>6.9104749999999999</v>
      </c>
      <c r="J64" t="str">
        <f>_xll.BDP("JHYAX US Equity","PX_CLOSE_DT")</f>
        <v>12/24/2020</v>
      </c>
    </row>
    <row r="65" spans="1:10" x14ac:dyDescent="0.25">
      <c r="A65" t="s">
        <v>136</v>
      </c>
      <c r="B65" t="s">
        <v>137</v>
      </c>
      <c r="C65">
        <f>_xll.BDP("SHHYX US Equity","CUST_TRR_RETURN_ANNUALIZED","CUST_TRR_START_DT=20200626","CUST_TRR_END_DT=20201226")</f>
        <v>21.864429999999999</v>
      </c>
      <c r="D65">
        <f>_xll.BDP("SHHYX US Equity","LAST_CLOSE_TRR_1MO")</f>
        <v>1.370479</v>
      </c>
      <c r="E65">
        <f>_xll.BDP("SHHYX US Equity","LAST_CLOSE_TRR_3MO")</f>
        <v>6.770035</v>
      </c>
      <c r="F65">
        <f>_xll.BDP("SHHYX US Equity","LAST_CLOSE_TRR_YTD")</f>
        <v>6.4402910000000002</v>
      </c>
      <c r="G65">
        <f>_xll.BDP("SHHYX US Equity","LAST_CLOSE_TRR_1YR")</f>
        <v>6.4402910000000002</v>
      </c>
      <c r="H65">
        <f>_xll.BDP("SHHYX US Equity","LAST_CLOSE_TRR_3YR")</f>
        <v>5.5499900000000002</v>
      </c>
      <c r="I65">
        <f>_xll.BDP("SHHYX US Equity","LAST_CLOSE_TRR_5YR")</f>
        <v>6.9105090000000002</v>
      </c>
      <c r="J65" t="str">
        <f>_xll.BDP("SHHYX US Equity","PX_CLOSE_DT")</f>
        <v>12/24/2020</v>
      </c>
    </row>
    <row r="66" spans="1:10" x14ac:dyDescent="0.25">
      <c r="A66" t="s">
        <v>138</v>
      </c>
      <c r="B66" t="s">
        <v>139</v>
      </c>
      <c r="C66">
        <f>_xll.BDP("TPHAX US Equity","CUST_TRR_RETURN_ANNUALIZED","CUST_TRR_START_DT=20200626","CUST_TRR_END_DT=20201226")</f>
        <v>20.31232</v>
      </c>
      <c r="D66">
        <f>_xll.BDP("TPHAX US Equity","LAST_CLOSE_TRR_1MO")</f>
        <v>1.884163</v>
      </c>
      <c r="E66">
        <f>_xll.BDP("TPHAX US Equity","LAST_CLOSE_TRR_3MO")</f>
        <v>5.9980330000000004</v>
      </c>
      <c r="F66">
        <f>_xll.BDP("TPHAX US Equity","LAST_CLOSE_TRR_YTD")</f>
        <v>5.4594240000000003</v>
      </c>
      <c r="G66">
        <f>_xll.BDP("TPHAX US Equity","LAST_CLOSE_TRR_1YR")</f>
        <v>5.5697369999999999</v>
      </c>
      <c r="H66">
        <f>_xll.BDP("TPHAX US Equity","LAST_CLOSE_TRR_3YR")</f>
        <v>5.5027799999999996</v>
      </c>
      <c r="I66">
        <f>_xll.BDP("TPHAX US Equity","LAST_CLOSE_TRR_5YR")</f>
        <v>6.9225620000000001</v>
      </c>
      <c r="J66" t="str">
        <f>_xll.BDP("TPHAX US Equity","PX_CLOSE_DT")</f>
        <v>12/24/2020</v>
      </c>
    </row>
    <row r="67" spans="1:10" x14ac:dyDescent="0.25">
      <c r="A67" t="s">
        <v>140</v>
      </c>
      <c r="B67" t="s">
        <v>141</v>
      </c>
      <c r="C67">
        <f>_xll.BDP("PHDAX US Equity","CUST_TRR_RETURN_ANNUALIZED","CUST_TRR_START_DT=20200626","CUST_TRR_END_DT=20201226")</f>
        <v>18.019500000000001</v>
      </c>
      <c r="D67">
        <f>_xll.BDP("PHDAX US Equity","LAST_CLOSE_TRR_1MO")</f>
        <v>1.030845</v>
      </c>
      <c r="E67">
        <f>_xll.BDP("PHDAX US Equity","LAST_CLOSE_TRR_3MO")</f>
        <v>5.6122550000000002</v>
      </c>
      <c r="F67">
        <f>_xll.BDP("PHDAX US Equity","LAST_CLOSE_TRR_YTD")</f>
        <v>4.4255969999999998</v>
      </c>
      <c r="G67">
        <f>_xll.BDP("PHDAX US Equity","LAST_CLOSE_TRR_1YR")</f>
        <v>4.5187809999999997</v>
      </c>
      <c r="H67">
        <f>_xll.BDP("PHDAX US Equity","LAST_CLOSE_TRR_3YR")</f>
        <v>5.1544439999999998</v>
      </c>
      <c r="I67">
        <f>_xll.BDP("PHDAX US Equity","LAST_CLOSE_TRR_5YR")</f>
        <v>6.9353990000000003</v>
      </c>
      <c r="J67" t="str">
        <f>_xll.BDP("PHDAX US Equity","PX_CLOSE_DT")</f>
        <v>12/24/2020</v>
      </c>
    </row>
    <row r="68" spans="1:10" x14ac:dyDescent="0.25">
      <c r="A68" t="s">
        <v>142</v>
      </c>
      <c r="B68" t="s">
        <v>143</v>
      </c>
      <c r="C68">
        <f>_xll.BDP("HYFAX US Equity","CUST_TRR_RETURN_ANNUALIZED","CUST_TRR_START_DT=20200626","CUST_TRR_END_DT=20201226")</f>
        <v>19.593060000000001</v>
      </c>
      <c r="D68">
        <f>_xll.BDP("HYFAX US Equity","LAST_CLOSE_TRR_1MO")</f>
        <v>1.648873</v>
      </c>
      <c r="E68">
        <f>_xll.BDP("HYFAX US Equity","LAST_CLOSE_TRR_3MO")</f>
        <v>6.2013150000000001</v>
      </c>
      <c r="F68">
        <f>_xll.BDP("HYFAX US Equity","LAST_CLOSE_TRR_YTD")</f>
        <v>5.3337339999999998</v>
      </c>
      <c r="G68">
        <f>_xll.BDP("HYFAX US Equity","LAST_CLOSE_TRR_1YR")</f>
        <v>5.3337339999999998</v>
      </c>
      <c r="H68">
        <f>_xll.BDP("HYFAX US Equity","LAST_CLOSE_TRR_3YR")</f>
        <v>5.2881090000000004</v>
      </c>
      <c r="I68">
        <f>_xll.BDP("HYFAX US Equity","LAST_CLOSE_TRR_5YR")</f>
        <v>6.9447539999999996</v>
      </c>
      <c r="J68" t="str">
        <f>_xll.BDP("HYFAX US Equity","PX_CLOSE_DT")</f>
        <v>12/24/2020</v>
      </c>
    </row>
    <row r="69" spans="1:10" x14ac:dyDescent="0.25">
      <c r="A69" t="s">
        <v>144</v>
      </c>
      <c r="B69" t="s">
        <v>145</v>
      </c>
      <c r="C69">
        <f>_xll.BDP("FEHAX US Equity","CUST_TRR_RETURN_ANNUALIZED","CUST_TRR_START_DT=20200626","CUST_TRR_END_DT=20201226")</f>
        <v>22.1981</v>
      </c>
      <c r="D69">
        <f>_xll.BDP("FEHAX US Equity","LAST_CLOSE_TRR_1MO")</f>
        <v>1.6255599999999999</v>
      </c>
      <c r="E69">
        <f>_xll.BDP("FEHAX US Equity","LAST_CLOSE_TRR_3MO")</f>
        <v>5.2051670000000003</v>
      </c>
      <c r="F69">
        <f>_xll.BDP("FEHAX US Equity","LAST_CLOSE_TRR_YTD")</f>
        <v>6.703837</v>
      </c>
      <c r="G69">
        <f>_xll.BDP("FEHAX US Equity","LAST_CLOSE_TRR_1YR")</f>
        <v>6.7916559999999997</v>
      </c>
      <c r="H69">
        <f>_xll.BDP("FEHAX US Equity","LAST_CLOSE_TRR_3YR")</f>
        <v>4.711106</v>
      </c>
      <c r="I69">
        <f>_xll.BDP("FEHAX US Equity","LAST_CLOSE_TRR_5YR")</f>
        <v>6.9639740000000003</v>
      </c>
      <c r="J69" t="str">
        <f>_xll.BDP("FEHAX US Equity","PX_CLOSE_DT")</f>
        <v>12/24/2020</v>
      </c>
    </row>
    <row r="70" spans="1:10" x14ac:dyDescent="0.25">
      <c r="A70" t="s">
        <v>146</v>
      </c>
      <c r="B70" t="s">
        <v>147</v>
      </c>
      <c r="C70">
        <f>_xll.BDP("BXHAX US Equity","CUST_TRR_RETURN_ANNUALIZED","CUST_TRR_START_DT=20200626","CUST_TRR_END_DT=20201226")</f>
        <v>21.068729999999999</v>
      </c>
      <c r="D70">
        <f>_xll.BDP("BXHAX US Equity","LAST_CLOSE_TRR_1MO")</f>
        <v>1.790308</v>
      </c>
      <c r="E70">
        <f>_xll.BDP("BXHAX US Equity","LAST_CLOSE_TRR_3MO")</f>
        <v>6.7237730000000004</v>
      </c>
      <c r="F70">
        <f>_xll.BDP("BXHAX US Equity","LAST_CLOSE_TRR_YTD")</f>
        <v>2.6907730000000001</v>
      </c>
      <c r="G70">
        <f>_xll.BDP("BXHAX US Equity","LAST_CLOSE_TRR_1YR")</f>
        <v>2.759328</v>
      </c>
      <c r="H70">
        <f>_xll.BDP("BXHAX US Equity","LAST_CLOSE_TRR_3YR")</f>
        <v>4.033442</v>
      </c>
      <c r="I70">
        <f>_xll.BDP("BXHAX US Equity","LAST_CLOSE_TRR_5YR")</f>
        <v>7.0003130000000002</v>
      </c>
      <c r="J70" t="str">
        <f>_xll.BDP("BXHAX US Equity","PX_CLOSE_DT")</f>
        <v>12/24/2020</v>
      </c>
    </row>
    <row r="71" spans="1:10" x14ac:dyDescent="0.25">
      <c r="A71" t="s">
        <v>148</v>
      </c>
      <c r="B71" t="s">
        <v>149</v>
      </c>
      <c r="C71">
        <f>_xll.BDP("PHYNX US Equity","CUST_TRR_RETURN_ANNUALIZED","CUST_TRR_START_DT=20200626","CUST_TRR_END_DT=20201226")</f>
        <v>26.652329999999999</v>
      </c>
      <c r="D71">
        <f>_xll.BDP("PHYNX US Equity","LAST_CLOSE_TRR_1MO")</f>
        <v>2.141721</v>
      </c>
      <c r="E71">
        <f>_xll.BDP("PHYNX US Equity","LAST_CLOSE_TRR_3MO")</f>
        <v>8.1469480000000001</v>
      </c>
      <c r="F71">
        <f>_xll.BDP("PHYNX US Equity","LAST_CLOSE_TRR_YTD")</f>
        <v>3.287191</v>
      </c>
      <c r="G71">
        <f>_xll.BDP("PHYNX US Equity","LAST_CLOSE_TRR_1YR")</f>
        <v>3.3905820000000002</v>
      </c>
      <c r="H71">
        <f>_xll.BDP("PHYNX US Equity","LAST_CLOSE_TRR_3YR")</f>
        <v>4.4301519999999996</v>
      </c>
      <c r="I71">
        <f>_xll.BDP("PHYNX US Equity","LAST_CLOSE_TRR_5YR")</f>
        <v>7.0415130000000001</v>
      </c>
      <c r="J71" t="str">
        <f>_xll.BDP("PHYNX US Equity","PX_CLOSE_DT")</f>
        <v>12/24/2020</v>
      </c>
    </row>
    <row r="72" spans="1:10" x14ac:dyDescent="0.25">
      <c r="A72" t="s">
        <v>150</v>
      </c>
      <c r="B72" t="s">
        <v>151</v>
      </c>
      <c r="C72">
        <f>_xll.BDP("FGHNX US Equity","CUST_TRR_RETURN_ANNUALIZED","CUST_TRR_START_DT=20200626","CUST_TRR_END_DT=20201226")</f>
        <v>21.23582</v>
      </c>
      <c r="D72">
        <f>_xll.BDP("FGHNX US Equity","LAST_CLOSE_TRR_1MO")</f>
        <v>1.946796</v>
      </c>
      <c r="E72">
        <f>_xll.BDP("FGHNX US Equity","LAST_CLOSE_TRR_3MO")</f>
        <v>6.3793680000000004</v>
      </c>
      <c r="F72">
        <f>_xll.BDP("FGHNX US Equity","LAST_CLOSE_TRR_YTD")</f>
        <v>4.8827160000000003</v>
      </c>
      <c r="G72">
        <f>_xll.BDP("FGHNX US Equity","LAST_CLOSE_TRR_1YR")</f>
        <v>5.0810389999999996</v>
      </c>
      <c r="H72">
        <f>_xll.BDP("FGHNX US Equity","LAST_CLOSE_TRR_3YR")</f>
        <v>4.3995870000000004</v>
      </c>
      <c r="I72">
        <f>_xll.BDP("FGHNX US Equity","LAST_CLOSE_TRR_5YR")</f>
        <v>7.0438460000000003</v>
      </c>
      <c r="J72" t="str">
        <f>_xll.BDP("FGHNX US Equity","PX_CLOSE_DT")</f>
        <v>12/24/2020</v>
      </c>
    </row>
    <row r="73" spans="1:10" x14ac:dyDescent="0.25">
      <c r="A73" t="s">
        <v>152</v>
      </c>
      <c r="B73" t="s">
        <v>153</v>
      </c>
      <c r="C73">
        <f>_xll.BDP("WHGHX US Equity","CUST_TRR_RETURN_ANNUALIZED","CUST_TRR_START_DT=20200626","CUST_TRR_END_DT=20201226")</f>
        <v>30.855370000000001</v>
      </c>
      <c r="D73">
        <f>_xll.BDP("WHGHX US Equity","LAST_CLOSE_TRR_1MO")</f>
        <v>2.2529849999999998</v>
      </c>
      <c r="E73">
        <f>_xll.BDP("WHGHX US Equity","LAST_CLOSE_TRR_3MO")</f>
        <v>9.3152120000000007</v>
      </c>
      <c r="F73">
        <f>_xll.BDP("WHGHX US Equity","LAST_CLOSE_TRR_YTD")</f>
        <v>14.10496</v>
      </c>
      <c r="G73">
        <f>_xll.BDP("WHGHX US Equity","LAST_CLOSE_TRR_1YR")</f>
        <v>14.119590000000001</v>
      </c>
      <c r="H73">
        <f>_xll.BDP("WHGHX US Equity","LAST_CLOSE_TRR_3YR")</f>
        <v>7.8205220000000004</v>
      </c>
      <c r="I73">
        <f>_xll.BDP("WHGHX US Equity","LAST_CLOSE_TRR_5YR")</f>
        <v>7.0705580000000001</v>
      </c>
      <c r="J73" t="str">
        <f>_xll.BDP("WHGHX US Equity","PX_CLOSE_DT")</f>
        <v>12/24/2020</v>
      </c>
    </row>
    <row r="74" spans="1:10" x14ac:dyDescent="0.25">
      <c r="A74" t="s">
        <v>154</v>
      </c>
      <c r="B74" t="s">
        <v>155</v>
      </c>
      <c r="C74">
        <f>_xll.BDP("VWEHX US Equity","CUST_TRR_RETURN_ANNUALIZED","CUST_TRR_START_DT=20200626","CUST_TRR_END_DT=20201226")</f>
        <v>17.1785</v>
      </c>
      <c r="D74">
        <f>_xll.BDP("VWEHX US Equity","LAST_CLOSE_TRR_1MO")</f>
        <v>0.90183639999999998</v>
      </c>
      <c r="E74">
        <f>_xll.BDP("VWEHX US Equity","LAST_CLOSE_TRR_3MO")</f>
        <v>4.830057</v>
      </c>
      <c r="F74">
        <f>_xll.BDP("VWEHX US Equity","LAST_CLOSE_TRR_YTD")</f>
        <v>4.8825269999999996</v>
      </c>
      <c r="G74">
        <f>_xll.BDP("VWEHX US Equity","LAST_CLOSE_TRR_1YR")</f>
        <v>4.7942989999999996</v>
      </c>
      <c r="H74">
        <f>_xll.BDP("VWEHX US Equity","LAST_CLOSE_TRR_3YR")</f>
        <v>5.6996200000000004</v>
      </c>
      <c r="I74">
        <f>_xll.BDP("VWEHX US Equity","LAST_CLOSE_TRR_5YR")</f>
        <v>7.0805170000000004</v>
      </c>
      <c r="J74" t="str">
        <f>_xll.BDP("VWEHX US Equity","PX_CLOSE_DT")</f>
        <v>12/24/2020</v>
      </c>
    </row>
    <row r="75" spans="1:10" x14ac:dyDescent="0.25">
      <c r="A75" t="s">
        <v>156</v>
      </c>
      <c r="B75" t="s">
        <v>157</v>
      </c>
      <c r="C75">
        <f>_xll.BDP("NHFIX US Equity","CUST_TRR_RETURN_ANNUALIZED","CUST_TRR_START_DT=20200626","CUST_TRR_END_DT=20201226")</f>
        <v>24.02018</v>
      </c>
      <c r="D75">
        <f>_xll.BDP("NHFIX US Equity","LAST_CLOSE_TRR_1MO")</f>
        <v>1.8502449999999999</v>
      </c>
      <c r="E75">
        <f>_xll.BDP("NHFIX US Equity","LAST_CLOSE_TRR_3MO")</f>
        <v>7.8132390000000003</v>
      </c>
      <c r="F75">
        <f>_xll.BDP("NHFIX US Equity","LAST_CLOSE_TRR_YTD")</f>
        <v>5.3857619999999997</v>
      </c>
      <c r="G75">
        <f>_xll.BDP("NHFIX US Equity","LAST_CLOSE_TRR_1YR")</f>
        <v>5.3857619999999997</v>
      </c>
      <c r="H75">
        <f>_xll.BDP("NHFIX US Equity","LAST_CLOSE_TRR_3YR")</f>
        <v>5.4960060000000004</v>
      </c>
      <c r="I75">
        <f>_xll.BDP("NHFIX US Equity","LAST_CLOSE_TRR_5YR")</f>
        <v>7.1189439999999999</v>
      </c>
      <c r="J75" t="str">
        <f>_xll.BDP("NHFIX US Equity","PX_CLOSE_DT")</f>
        <v>12/24/2020</v>
      </c>
    </row>
    <row r="76" spans="1:10" x14ac:dyDescent="0.25">
      <c r="A76" t="s">
        <v>158</v>
      </c>
      <c r="B76" t="s">
        <v>159</v>
      </c>
      <c r="C76">
        <f>_xll.BDP("LSHIX US Equity","CUST_TRR_RETURN_ANNUALIZED","CUST_TRR_START_DT=20200626","CUST_TRR_END_DT=20201226")</f>
        <v>28.308219999999999</v>
      </c>
      <c r="D76">
        <f>_xll.BDP("LSHIX US Equity","LAST_CLOSE_TRR_1MO")</f>
        <v>1.3372999999999999</v>
      </c>
      <c r="E76">
        <f>_xll.BDP("LSHIX US Equity","LAST_CLOSE_TRR_3MO")</f>
        <v>8.1613600000000002</v>
      </c>
      <c r="F76">
        <f>_xll.BDP("LSHIX US Equity","LAST_CLOSE_TRR_YTD")</f>
        <v>2.9612949999999998</v>
      </c>
      <c r="G76">
        <f>_xll.BDP("LSHIX US Equity","LAST_CLOSE_TRR_1YR")</f>
        <v>3.4586920000000001</v>
      </c>
      <c r="H76">
        <f>_xll.BDP("LSHIX US Equity","LAST_CLOSE_TRR_3YR")</f>
        <v>3.2580260000000001</v>
      </c>
      <c r="I76">
        <f>_xll.BDP("LSHIX US Equity","LAST_CLOSE_TRR_5YR")</f>
        <v>7.1201509999999999</v>
      </c>
      <c r="J76" t="str">
        <f>_xll.BDP("LSHIX US Equity","PX_CLOSE_DT")</f>
        <v>12/24/2020</v>
      </c>
    </row>
    <row r="77" spans="1:10" x14ac:dyDescent="0.25">
      <c r="A77" t="s">
        <v>160</v>
      </c>
      <c r="B77" t="s">
        <v>161</v>
      </c>
      <c r="C77">
        <f>_xll.BDP("NHINX US Equity","CUST_TRR_RETURN_ANNUALIZED","CUST_TRR_START_DT=20200626","CUST_TRR_END_DT=20201226")</f>
        <v>22.50142</v>
      </c>
      <c r="D77">
        <f>_xll.BDP("NHINX US Equity","LAST_CLOSE_TRR_1MO")</f>
        <v>1.243077</v>
      </c>
      <c r="E77">
        <f>_xll.BDP("NHINX US Equity","LAST_CLOSE_TRR_3MO")</f>
        <v>6.7849440000000003</v>
      </c>
      <c r="F77">
        <f>_xll.BDP("NHINX US Equity","LAST_CLOSE_TRR_YTD")</f>
        <v>5.582751</v>
      </c>
      <c r="G77">
        <f>_xll.BDP("NHINX US Equity","LAST_CLOSE_TRR_1YR")</f>
        <v>5.6666689999999997</v>
      </c>
      <c r="H77">
        <f>_xll.BDP("NHINX US Equity","LAST_CLOSE_TRR_3YR")</f>
        <v>5.4216689999999996</v>
      </c>
      <c r="I77">
        <f>_xll.BDP("NHINX US Equity","LAST_CLOSE_TRR_5YR")</f>
        <v>7.1263269999999999</v>
      </c>
      <c r="J77" t="str">
        <f>_xll.BDP("NHINX US Equity","PX_CLOSE_DT")</f>
        <v>12/24/2020</v>
      </c>
    </row>
    <row r="78" spans="1:10" x14ac:dyDescent="0.25">
      <c r="A78" t="s">
        <v>162</v>
      </c>
      <c r="B78" t="s">
        <v>163</v>
      </c>
      <c r="C78">
        <f>_xll.BDP("MWHYX US Equity","CUST_TRR_RETURN_ANNUALIZED","CUST_TRR_START_DT=20200626","CUST_TRR_END_DT=20201226")</f>
        <v>17.216899999999999</v>
      </c>
      <c r="D78">
        <f>_xll.BDP("MWHYX US Equity","LAST_CLOSE_TRR_1MO")</f>
        <v>1.0448459999999999</v>
      </c>
      <c r="E78">
        <f>_xll.BDP("MWHYX US Equity","LAST_CLOSE_TRR_3MO")</f>
        <v>4.821402</v>
      </c>
      <c r="F78">
        <f>_xll.BDP("MWHYX US Equity","LAST_CLOSE_TRR_YTD")</f>
        <v>10.955690000000001</v>
      </c>
      <c r="G78">
        <f>_xll.BDP("MWHYX US Equity","LAST_CLOSE_TRR_1YR")</f>
        <v>11.13912</v>
      </c>
      <c r="H78">
        <f>_xll.BDP("MWHYX US Equity","LAST_CLOSE_TRR_3YR")</f>
        <v>7.14635</v>
      </c>
      <c r="I78">
        <f>_xll.BDP("MWHYX US Equity","LAST_CLOSE_TRR_5YR")</f>
        <v>7.1308579999999999</v>
      </c>
      <c r="J78" t="str">
        <f>_xll.BDP("MWHYX US Equity","PX_CLOSE_DT")</f>
        <v>12/24/2020</v>
      </c>
    </row>
    <row r="79" spans="1:10" x14ac:dyDescent="0.25">
      <c r="A79" t="s">
        <v>164</v>
      </c>
      <c r="B79" t="s">
        <v>165</v>
      </c>
      <c r="C79">
        <f>_xll.BDP("WTLTX US Equity","CUST_TRR_RETURN_ANNUALIZED","CUST_TRR_START_DT=20200626","CUST_TRR_END_DT=20201226")</f>
        <v>16.007480000000001</v>
      </c>
      <c r="D79">
        <f>_xll.BDP("WTLTX US Equity","LAST_CLOSE_TRR_1MO")</f>
        <v>0.73176180000000002</v>
      </c>
      <c r="E79">
        <f>_xll.BDP("WTLTX US Equity","LAST_CLOSE_TRR_3MO")</f>
        <v>4.3388150000000003</v>
      </c>
      <c r="F79">
        <f>_xll.BDP("WTLTX US Equity","LAST_CLOSE_TRR_YTD")</f>
        <v>6.841361</v>
      </c>
      <c r="G79">
        <f>_xll.BDP("WTLTX US Equity","LAST_CLOSE_TRR_1YR")</f>
        <v>6.841361</v>
      </c>
      <c r="H79">
        <f>_xll.BDP("WTLTX US Equity","LAST_CLOSE_TRR_3YR")</f>
        <v>5.5122799999999996</v>
      </c>
      <c r="I79">
        <f>_xll.BDP("WTLTX US Equity","LAST_CLOSE_TRR_5YR")</f>
        <v>7.1948030000000003</v>
      </c>
      <c r="J79" t="str">
        <f>_xll.BDP("WTLTX US Equity","PX_CLOSE_DT")</f>
        <v>12/24/2020</v>
      </c>
    </row>
    <row r="80" spans="1:10" x14ac:dyDescent="0.25">
      <c r="A80" t="s">
        <v>166</v>
      </c>
      <c r="B80" t="s">
        <v>167</v>
      </c>
      <c r="C80">
        <f>_xll.BDP("JHHBX US Equity","CUST_TRR_RETURN_ANNUALIZED","CUST_TRR_START_DT=20200626","CUST_TRR_END_DT=20201226")</f>
        <v>19.615449999999999</v>
      </c>
      <c r="D80">
        <f>_xll.BDP("JHHBX US Equity","LAST_CLOSE_TRR_1MO")</f>
        <v>0.98379939999999999</v>
      </c>
      <c r="E80">
        <f>_xll.BDP("JHHBX US Equity","LAST_CLOSE_TRR_3MO")</f>
        <v>5.8493139999999997</v>
      </c>
      <c r="F80">
        <f>_xll.BDP("JHHBX US Equity","LAST_CLOSE_TRR_YTD")</f>
        <v>3.8170799999999998</v>
      </c>
      <c r="G80">
        <f>_xll.BDP("JHHBX US Equity","LAST_CLOSE_TRR_1YR")</f>
        <v>3.9165030000000001</v>
      </c>
      <c r="H80">
        <f>_xll.BDP("JHHBX US Equity","LAST_CLOSE_TRR_3YR")</f>
        <v>4.9528869999999996</v>
      </c>
      <c r="I80">
        <f>_xll.BDP("JHHBX US Equity","LAST_CLOSE_TRR_5YR")</f>
        <v>7.2199460000000002</v>
      </c>
      <c r="J80" t="str">
        <f>_xll.BDP("JHHBX US Equity","PX_CLOSE_DT")</f>
        <v>12/24/2020</v>
      </c>
    </row>
    <row r="81" spans="1:10" x14ac:dyDescent="0.25">
      <c r="A81" t="s">
        <v>168</v>
      </c>
      <c r="B81" t="s">
        <v>169</v>
      </c>
      <c r="C81">
        <f>_xll.BDP("PHCHX US Equity","CUST_TRR_RETURN_ANNUALIZED","CUST_TRR_START_DT=20200626","CUST_TRR_END_DT=20201226")</f>
        <v>23.454709999999999</v>
      </c>
      <c r="D81">
        <f>_xll.BDP("PHCHX US Equity","LAST_CLOSE_TRR_1MO")</f>
        <v>1.647071</v>
      </c>
      <c r="E81">
        <f>_xll.BDP("PHCHX US Equity","LAST_CLOSE_TRR_3MO")</f>
        <v>7.4129009999999997</v>
      </c>
      <c r="F81">
        <f>_xll.BDP("PHCHX US Equity","LAST_CLOSE_TRR_YTD")</f>
        <v>6.259817</v>
      </c>
      <c r="G81">
        <f>_xll.BDP("PHCHX US Equity","LAST_CLOSE_TRR_1YR")</f>
        <v>6.3811039999999997</v>
      </c>
      <c r="H81">
        <f>_xll.BDP("PHCHX US Equity","LAST_CLOSE_TRR_3YR")</f>
        <v>5.6214690000000003</v>
      </c>
      <c r="I81">
        <f>_xll.BDP("PHCHX US Equity","LAST_CLOSE_TRR_5YR")</f>
        <v>7.2514010000000004</v>
      </c>
      <c r="J81" t="str">
        <f>_xll.BDP("PHCHX US Equity","PX_CLOSE_DT")</f>
        <v>12/24/2020</v>
      </c>
    </row>
    <row r="82" spans="1:10" x14ac:dyDescent="0.25">
      <c r="A82" t="s">
        <v>170</v>
      </c>
      <c r="B82" t="s">
        <v>171</v>
      </c>
      <c r="C82">
        <f>_xll.BDP("DHOAX US Equity","CUST_TRR_RETURN_ANNUALIZED","CUST_TRR_START_DT=20200626","CUST_TRR_END_DT=20201226")</f>
        <v>21.359190000000002</v>
      </c>
      <c r="D82">
        <f>_xll.BDP("DHOAX US Equity","LAST_CLOSE_TRR_1MO")</f>
        <v>1.2405489999999999</v>
      </c>
      <c r="E82">
        <f>_xll.BDP("DHOAX US Equity","LAST_CLOSE_TRR_3MO")</f>
        <v>6.234324</v>
      </c>
      <c r="F82">
        <f>_xll.BDP("DHOAX US Equity","LAST_CLOSE_TRR_YTD")</f>
        <v>6.5374800000000004</v>
      </c>
      <c r="G82">
        <f>_xll.BDP("DHOAX US Equity","LAST_CLOSE_TRR_1YR")</f>
        <v>6.6400050000000004</v>
      </c>
      <c r="H82">
        <f>_xll.BDP("DHOAX US Equity","LAST_CLOSE_TRR_3YR")</f>
        <v>5.4197600000000001</v>
      </c>
      <c r="I82">
        <f>_xll.BDP("DHOAX US Equity","LAST_CLOSE_TRR_5YR")</f>
        <v>7.2719800000000001</v>
      </c>
      <c r="J82" t="str">
        <f>_xll.BDP("DHOAX US Equity","PX_CLOSE_DT")</f>
        <v>12/24/2020</v>
      </c>
    </row>
    <row r="83" spans="1:10" x14ac:dyDescent="0.25">
      <c r="A83" t="s">
        <v>172</v>
      </c>
      <c r="B83" t="s">
        <v>173</v>
      </c>
      <c r="C83">
        <f>_xll.BDP("TIHYX US Equity","CUST_TRR_RETURN_ANNUALIZED","CUST_TRR_START_DT=20200626","CUST_TRR_END_DT=20201226")</f>
        <v>18.667490000000001</v>
      </c>
      <c r="D83">
        <f>_xll.BDP("TIHYX US Equity","LAST_CLOSE_TRR_1MO")</f>
        <v>1.1698999999999999</v>
      </c>
      <c r="E83">
        <f>_xll.BDP("TIHYX US Equity","LAST_CLOSE_TRR_3MO")</f>
        <v>5.7033509999999996</v>
      </c>
      <c r="F83">
        <f>_xll.BDP("TIHYX US Equity","LAST_CLOSE_TRR_YTD")</f>
        <v>1.7485440000000001</v>
      </c>
      <c r="G83">
        <f>_xll.BDP("TIHYX US Equity","LAST_CLOSE_TRR_1YR")</f>
        <v>1.9399150000000001</v>
      </c>
      <c r="H83">
        <f>_xll.BDP("TIHYX US Equity","LAST_CLOSE_TRR_3YR")</f>
        <v>4.8505560000000001</v>
      </c>
      <c r="I83">
        <f>_xll.BDP("TIHYX US Equity","LAST_CLOSE_TRR_5YR")</f>
        <v>7.2828210000000002</v>
      </c>
      <c r="J83" t="str">
        <f>_xll.BDP("TIHYX US Equity","PX_CLOSE_DT")</f>
        <v>12/24/2020</v>
      </c>
    </row>
    <row r="84" spans="1:10" x14ac:dyDescent="0.25">
      <c r="A84" t="s">
        <v>174</v>
      </c>
      <c r="B84" t="s">
        <v>175</v>
      </c>
      <c r="C84">
        <f>_xll.BDP("SPHIX US Equity","CUST_TRR_RETURN_ANNUALIZED","CUST_TRR_START_DT=20200626","CUST_TRR_END_DT=20201226")</f>
        <v>16.82338</v>
      </c>
      <c r="D84">
        <f>_xll.BDP("SPHIX US Equity","LAST_CLOSE_TRR_1MO")</f>
        <v>0.82694219999999996</v>
      </c>
      <c r="E84">
        <f>_xll.BDP("SPHIX US Equity","LAST_CLOSE_TRR_3MO")</f>
        <v>5.0539160000000001</v>
      </c>
      <c r="F84">
        <f>_xll.BDP("SPHIX US Equity","LAST_CLOSE_TRR_YTD")</f>
        <v>1.6206640000000001</v>
      </c>
      <c r="G84">
        <f>_xll.BDP("SPHIX US Equity","LAST_CLOSE_TRR_1YR")</f>
        <v>1.571742</v>
      </c>
      <c r="H84">
        <f>_xll.BDP("SPHIX US Equity","LAST_CLOSE_TRR_3YR")</f>
        <v>4.0974329999999997</v>
      </c>
      <c r="I84">
        <f>_xll.BDP("SPHIX US Equity","LAST_CLOSE_TRR_5YR")</f>
        <v>7.2905939999999996</v>
      </c>
      <c r="J84" t="str">
        <f>_xll.BDP("SPHIX US Equity","PX_CLOSE_DT")</f>
        <v>12/24/2020</v>
      </c>
    </row>
    <row r="85" spans="1:10" x14ac:dyDescent="0.25">
      <c r="A85" t="s">
        <v>176</v>
      </c>
      <c r="B85" t="s">
        <v>177</v>
      </c>
      <c r="C85">
        <f>_xll.BDP("TGHYX US Equity","CUST_TRR_RETURN_ANNUALIZED","CUST_TRR_START_DT=20200626","CUST_TRR_END_DT=20201226")</f>
        <v>16.489139999999999</v>
      </c>
      <c r="D85">
        <f>_xll.BDP("TGHYX US Equity","LAST_CLOSE_TRR_1MO")</f>
        <v>0.87804669999999996</v>
      </c>
      <c r="E85">
        <f>_xll.BDP("TGHYX US Equity","LAST_CLOSE_TRR_3MO")</f>
        <v>4.6949120000000004</v>
      </c>
      <c r="F85">
        <f>_xll.BDP("TGHYX US Equity","LAST_CLOSE_TRR_YTD")</f>
        <v>9.4758580000000006</v>
      </c>
      <c r="G85">
        <f>_xll.BDP("TGHYX US Equity","LAST_CLOSE_TRR_1YR")</f>
        <v>9.6767310000000002</v>
      </c>
      <c r="H85">
        <f>_xll.BDP("TGHYX US Equity","LAST_CLOSE_TRR_3YR")</f>
        <v>7.3938730000000001</v>
      </c>
      <c r="I85">
        <f>_xll.BDP("TGHYX US Equity","LAST_CLOSE_TRR_5YR")</f>
        <v>7.3401050000000003</v>
      </c>
      <c r="J85" t="str">
        <f>_xll.BDP("TGHYX US Equity","PX_CLOSE_DT")</f>
        <v>12/24/2020</v>
      </c>
    </row>
    <row r="86" spans="1:10" x14ac:dyDescent="0.25">
      <c r="A86" t="s">
        <v>178</v>
      </c>
      <c r="B86" t="s">
        <v>179</v>
      </c>
      <c r="C86">
        <f>_xll.BDP("PRHYX US Equity","CUST_TRR_RETURN_ANNUALIZED","CUST_TRR_START_DT=20200626","CUST_TRR_END_DT=20201226")</f>
        <v>18.643840000000001</v>
      </c>
      <c r="D86">
        <f>_xll.BDP("PRHYX US Equity","LAST_CLOSE_TRR_1MO")</f>
        <v>1.0929629999999999</v>
      </c>
      <c r="E86">
        <f>_xll.BDP("PRHYX US Equity","LAST_CLOSE_TRR_3MO")</f>
        <v>5.7303280000000001</v>
      </c>
      <c r="F86">
        <f>_xll.BDP("PRHYX US Equity","LAST_CLOSE_TRR_YTD")</f>
        <v>4.2299639999999998</v>
      </c>
      <c r="G86">
        <f>_xll.BDP("PRHYX US Equity","LAST_CLOSE_TRR_1YR")</f>
        <v>4.3430090000000003</v>
      </c>
      <c r="H86">
        <f>_xll.BDP("PRHYX US Equity","LAST_CLOSE_TRR_3YR")</f>
        <v>5.0010250000000003</v>
      </c>
      <c r="I86">
        <f>_xll.BDP("PRHYX US Equity","LAST_CLOSE_TRR_5YR")</f>
        <v>7.3467719999999996</v>
      </c>
      <c r="J86" t="str">
        <f>_xll.BDP("PRHYX US Equity","PX_CLOSE_DT")</f>
        <v>12/24/2020</v>
      </c>
    </row>
    <row r="87" spans="1:10" x14ac:dyDescent="0.25">
      <c r="A87" t="s">
        <v>180</v>
      </c>
      <c r="B87" t="s">
        <v>181</v>
      </c>
      <c r="C87">
        <f>_xll.BDP("USHYX US Equity","CUST_TRR_RETURN_ANNUALIZED","CUST_TRR_START_DT=20200626","CUST_TRR_END_DT=20201226")</f>
        <v>23.58616</v>
      </c>
      <c r="D87">
        <f>_xll.BDP("USHYX US Equity","LAST_CLOSE_TRR_1MO")</f>
        <v>1.6749590000000001</v>
      </c>
      <c r="E87">
        <f>_xll.BDP("USHYX US Equity","LAST_CLOSE_TRR_3MO")</f>
        <v>7.179468</v>
      </c>
      <c r="F87">
        <f>_xll.BDP("USHYX US Equity","LAST_CLOSE_TRR_YTD")</f>
        <v>3.190617</v>
      </c>
      <c r="G87">
        <f>_xll.BDP("USHYX US Equity","LAST_CLOSE_TRR_1YR")</f>
        <v>3.3207439999999999</v>
      </c>
      <c r="H87">
        <f>_xll.BDP("USHYX US Equity","LAST_CLOSE_TRR_3YR")</f>
        <v>4.1177919999999997</v>
      </c>
      <c r="I87">
        <f>_xll.BDP("USHYX US Equity","LAST_CLOSE_TRR_5YR")</f>
        <v>7.3617850000000002</v>
      </c>
      <c r="J87" t="str">
        <f>_xll.BDP("USHYX US Equity","PX_CLOSE_DT")</f>
        <v>12/24/2020</v>
      </c>
    </row>
    <row r="88" spans="1:10" x14ac:dyDescent="0.25">
      <c r="A88" t="s">
        <v>182</v>
      </c>
      <c r="B88" t="s">
        <v>183</v>
      </c>
      <c r="C88">
        <f>_xll.BDP("SHYIX US Equity","CUST_TRR_RETURN_ANNUALIZED","CUST_TRR_START_DT=20200626","CUST_TRR_END_DT=20201226")</f>
        <v>22.00742</v>
      </c>
      <c r="D88">
        <f>_xll.BDP("SHYIX US Equity","LAST_CLOSE_TRR_1MO")</f>
        <v>0.94554470000000002</v>
      </c>
      <c r="E88">
        <f>_xll.BDP("SHYIX US Equity","LAST_CLOSE_TRR_3MO")</f>
        <v>6.2595099999999997</v>
      </c>
      <c r="F88">
        <f>_xll.BDP("SHYIX US Equity","LAST_CLOSE_TRR_YTD")</f>
        <v>4.6119620000000001</v>
      </c>
      <c r="G88">
        <f>_xll.BDP("SHYIX US Equity","LAST_CLOSE_TRR_1YR")</f>
        <v>4.7299879999999996</v>
      </c>
      <c r="H88">
        <f>_xll.BDP("SHYIX US Equity","LAST_CLOSE_TRR_3YR")</f>
        <v>4.4147999999999996</v>
      </c>
      <c r="I88">
        <f>_xll.BDP("SHYIX US Equity","LAST_CLOSE_TRR_5YR")</f>
        <v>7.3619770000000004</v>
      </c>
      <c r="J88" t="str">
        <f>_xll.BDP("SHYIX US Equity","PX_CLOSE_DT")</f>
        <v>12/24/2020</v>
      </c>
    </row>
    <row r="89" spans="1:10" x14ac:dyDescent="0.25">
      <c r="A89" t="s">
        <v>184</v>
      </c>
      <c r="B89" t="s">
        <v>185</v>
      </c>
      <c r="C89">
        <f>_xll.BDP("LMZIX US Equity","CUST_TRR_RETURN_ANNUALIZED","CUST_TRR_START_DT=20200626","CUST_TRR_END_DT=20201226")</f>
        <v>23.90127</v>
      </c>
      <c r="D89">
        <f>_xll.BDP("LMZIX US Equity","LAST_CLOSE_TRR_1MO")</f>
        <v>1.7176039999999999</v>
      </c>
      <c r="E89">
        <f>_xll.BDP("LMZIX US Equity","LAST_CLOSE_TRR_3MO")</f>
        <v>7.3401620000000003</v>
      </c>
      <c r="F89">
        <f>_xll.BDP("LMZIX US Equity","LAST_CLOSE_TRR_YTD")</f>
        <v>8.451454</v>
      </c>
      <c r="G89">
        <f>_xll.BDP("LMZIX US Equity","LAST_CLOSE_TRR_1YR")</f>
        <v>8.7033620000000003</v>
      </c>
      <c r="H89">
        <f>_xll.BDP("LMZIX US Equity","LAST_CLOSE_TRR_3YR")</f>
        <v>4.7315019999999999</v>
      </c>
      <c r="I89">
        <f>_xll.BDP("LMZIX US Equity","LAST_CLOSE_TRR_5YR")</f>
        <v>7.362349</v>
      </c>
      <c r="J89" t="str">
        <f>_xll.BDP("LMZIX US Equity","PX_CLOSE_DT")</f>
        <v>12/24/2020</v>
      </c>
    </row>
    <row r="90" spans="1:10" x14ac:dyDescent="0.25">
      <c r="A90" t="s">
        <v>186</v>
      </c>
      <c r="B90" t="s">
        <v>187</v>
      </c>
      <c r="C90">
        <f>_xll.BDP("PHYTX US Equity","CUST_TRR_RETURN_ANNUALIZED","CUST_TRR_START_DT=20200626","CUST_TRR_END_DT=20201226")</f>
        <v>20.97099</v>
      </c>
      <c r="D90">
        <f>_xll.BDP("PHYTX US Equity","LAST_CLOSE_TRR_1MO")</f>
        <v>1.3080769999999999</v>
      </c>
      <c r="E90">
        <f>_xll.BDP("PHYTX US Equity","LAST_CLOSE_TRR_3MO")</f>
        <v>6.3477589999999999</v>
      </c>
      <c r="F90">
        <f>_xll.BDP("PHYTX US Equity","LAST_CLOSE_TRR_YTD")</f>
        <v>5.7880919999999998</v>
      </c>
      <c r="G90">
        <f>_xll.BDP("PHYTX US Equity","LAST_CLOSE_TRR_1YR")</f>
        <v>5.6863770000000002</v>
      </c>
      <c r="H90">
        <f>_xll.BDP("PHYTX US Equity","LAST_CLOSE_TRR_3YR")</f>
        <v>4.7009460000000001</v>
      </c>
      <c r="I90">
        <f>_xll.BDP("PHYTX US Equity","LAST_CLOSE_TRR_5YR")</f>
        <v>7.3678369999999997</v>
      </c>
      <c r="J90" t="str">
        <f>_xll.BDP("PHYTX US Equity","PX_CLOSE_DT")</f>
        <v>12/24/2020</v>
      </c>
    </row>
    <row r="91" spans="1:10" x14ac:dyDescent="0.25">
      <c r="A91" t="s">
        <v>188</v>
      </c>
      <c r="B91" t="s">
        <v>189</v>
      </c>
      <c r="C91">
        <f>_xll.BDP("MSYIX US Equity","CUST_TRR_RETURN_ANNUALIZED","CUST_TRR_START_DT=20200626","CUST_TRR_END_DT=20201226")</f>
        <v>22.573609999999999</v>
      </c>
      <c r="D91">
        <f>_xll.BDP("MSYIX US Equity","LAST_CLOSE_TRR_1MO")</f>
        <v>1.413165</v>
      </c>
      <c r="E91">
        <f>_xll.BDP("MSYIX US Equity","LAST_CLOSE_TRR_3MO")</f>
        <v>6.2487219999999999</v>
      </c>
      <c r="F91">
        <f>_xll.BDP("MSYIX US Equity","LAST_CLOSE_TRR_YTD")</f>
        <v>2.8142510000000001</v>
      </c>
      <c r="G91">
        <f>_xll.BDP("MSYIX US Equity","LAST_CLOSE_TRR_1YR")</f>
        <v>2.9188429999999999</v>
      </c>
      <c r="H91">
        <f>_xll.BDP("MSYIX US Equity","LAST_CLOSE_TRR_3YR")</f>
        <v>4.6786849999999998</v>
      </c>
      <c r="I91">
        <f>_xll.BDP("MSYIX US Equity","LAST_CLOSE_TRR_5YR")</f>
        <v>7.3866459999999998</v>
      </c>
      <c r="J91" t="str">
        <f>_xll.BDP("MSYIX US Equity","PX_CLOSE_DT")</f>
        <v>12/24/2020</v>
      </c>
    </row>
    <row r="92" spans="1:10" x14ac:dyDescent="0.25">
      <c r="A92" t="s">
        <v>190</v>
      </c>
      <c r="B92" t="s">
        <v>191</v>
      </c>
      <c r="C92">
        <f>_xll.BDP("LHYAX US Equity","CUST_TRR_RETURN_ANNUALIZED","CUST_TRR_START_DT=20200626","CUST_TRR_END_DT=20201226")</f>
        <v>26.610230000000001</v>
      </c>
      <c r="D92">
        <f>_xll.BDP("LHYAX US Equity","LAST_CLOSE_TRR_1MO")</f>
        <v>1.8009809999999999</v>
      </c>
      <c r="E92">
        <f>_xll.BDP("LHYAX US Equity","LAST_CLOSE_TRR_3MO")</f>
        <v>7.8003619999999998</v>
      </c>
      <c r="F92">
        <f>_xll.BDP("LHYAX US Equity","LAST_CLOSE_TRR_YTD")</f>
        <v>4.1540119999999998</v>
      </c>
      <c r="G92">
        <f>_xll.BDP("LHYAX US Equity","LAST_CLOSE_TRR_1YR")</f>
        <v>4.2419010000000004</v>
      </c>
      <c r="H92">
        <f>_xll.BDP("LHYAX US Equity","LAST_CLOSE_TRR_3YR")</f>
        <v>4.4286899999999996</v>
      </c>
      <c r="I92">
        <f>_xll.BDP("LHYAX US Equity","LAST_CLOSE_TRR_5YR")</f>
        <v>7.3911980000000002</v>
      </c>
      <c r="J92" t="str">
        <f>_xll.BDP("LHYAX US Equity","PX_CLOSE_DT")</f>
        <v>12/24/2020</v>
      </c>
    </row>
    <row r="93" spans="1:10" x14ac:dyDescent="0.25">
      <c r="A93" t="s">
        <v>192</v>
      </c>
      <c r="B93" t="s">
        <v>193</v>
      </c>
      <c r="C93">
        <f>_xll.BDP("PYHRX US Equity","CUST_TRR_RETURN_ANNUALIZED","CUST_TRR_START_DT=20200626","CUST_TRR_END_DT=20201226")</f>
        <v>23.96641</v>
      </c>
      <c r="D93">
        <f>_xll.BDP("PYHRX US Equity","LAST_CLOSE_TRR_1MO")</f>
        <v>1.7538069999999999</v>
      </c>
      <c r="E93">
        <f>_xll.BDP("PYHRX US Equity","LAST_CLOSE_TRR_3MO")</f>
        <v>6.8274980000000003</v>
      </c>
      <c r="F93">
        <f>_xll.BDP("PYHRX US Equity","LAST_CLOSE_TRR_YTD")</f>
        <v>6.9233330000000004</v>
      </c>
      <c r="G93">
        <f>_xll.BDP("PYHRX US Equity","LAST_CLOSE_TRR_1YR")</f>
        <v>6.9137149999999998</v>
      </c>
      <c r="H93">
        <f>_xll.BDP("PYHRX US Equity","LAST_CLOSE_TRR_3YR")</f>
        <v>6.7213250000000002</v>
      </c>
      <c r="I93">
        <f>_xll.BDP("PYHRX US Equity","LAST_CLOSE_TRR_5YR")</f>
        <v>7.4222349999999997</v>
      </c>
      <c r="J93" t="str">
        <f>_xll.BDP("PYHRX US Equity","PX_CLOSE_DT")</f>
        <v>12/24/2020</v>
      </c>
    </row>
    <row r="94" spans="1:10" x14ac:dyDescent="0.25">
      <c r="A94" t="s">
        <v>194</v>
      </c>
      <c r="B94" t="s">
        <v>195</v>
      </c>
      <c r="C94">
        <f>_xll.BDP("FHYTX US Equity","CUST_TRR_RETURN_ANNUALIZED","CUST_TRR_START_DT=20200626","CUST_TRR_END_DT=20201226")</f>
        <v>25.710159999999998</v>
      </c>
      <c r="D94">
        <f>_xll.BDP("FHYTX US Equity","LAST_CLOSE_TRR_1MO")</f>
        <v>1.3762779999999999</v>
      </c>
      <c r="E94">
        <f>_xll.BDP("FHYTX US Equity","LAST_CLOSE_TRR_3MO")</f>
        <v>8.5160900000000002</v>
      </c>
      <c r="F94">
        <f>_xll.BDP("FHYTX US Equity","LAST_CLOSE_TRR_YTD")</f>
        <v>5.8706399999999999</v>
      </c>
      <c r="G94">
        <f>_xll.BDP("FHYTX US Equity","LAST_CLOSE_TRR_1YR")</f>
        <v>5.9470939999999999</v>
      </c>
      <c r="H94">
        <f>_xll.BDP("FHYTX US Equity","LAST_CLOSE_TRR_3YR")</f>
        <v>5.2231480000000001</v>
      </c>
      <c r="I94">
        <f>_xll.BDP("FHYTX US Equity","LAST_CLOSE_TRR_5YR")</f>
        <v>7.4237469999999997</v>
      </c>
      <c r="J94" t="str">
        <f>_xll.BDP("FHYTX US Equity","PX_CLOSE_DT")</f>
        <v>12/24/2020</v>
      </c>
    </row>
    <row r="95" spans="1:10" x14ac:dyDescent="0.25">
      <c r="A95" t="s">
        <v>196</v>
      </c>
      <c r="B95" t="s">
        <v>197</v>
      </c>
      <c r="C95">
        <f>_xll.BDP("SHOAX US Equity","CUST_TRR_RETURN_ANNUALIZED","CUST_TRR_START_DT=20200626","CUST_TRR_END_DT=20201226")</f>
        <v>27.314990000000002</v>
      </c>
      <c r="D95">
        <f>_xll.BDP("SHOAX US Equity","LAST_CLOSE_TRR_1MO")</f>
        <v>2.0678860000000001</v>
      </c>
      <c r="E95">
        <f>_xll.BDP("SHOAX US Equity","LAST_CLOSE_TRR_3MO")</f>
        <v>7.1208400000000003</v>
      </c>
      <c r="F95">
        <f>_xll.BDP("SHOAX US Equity","LAST_CLOSE_TRR_YTD")</f>
        <v>5.3183550000000004</v>
      </c>
      <c r="G95">
        <f>_xll.BDP("SHOAX US Equity","LAST_CLOSE_TRR_1YR")</f>
        <v>5.535615</v>
      </c>
      <c r="H95">
        <f>_xll.BDP("SHOAX US Equity","LAST_CLOSE_TRR_3YR")</f>
        <v>5.025118</v>
      </c>
      <c r="I95">
        <f>_xll.BDP("SHOAX US Equity","LAST_CLOSE_TRR_5YR")</f>
        <v>7.4257239999999998</v>
      </c>
      <c r="J95" t="str">
        <f>_xll.BDP("SHOAX US Equity","PX_CLOSE_DT")</f>
        <v>12/24/2020</v>
      </c>
    </row>
    <row r="96" spans="1:10" x14ac:dyDescent="0.25">
      <c r="A96" t="s">
        <v>198</v>
      </c>
      <c r="B96" t="s">
        <v>199</v>
      </c>
      <c r="C96">
        <f>_xll.BDP("FHIIX US Equity","CUST_TRR_RETURN_ANNUALIZED","CUST_TRR_START_DT=20200626","CUST_TRR_END_DT=20201226")</f>
        <v>19.35894</v>
      </c>
      <c r="D96">
        <f>_xll.BDP("FHIIX US Equity","LAST_CLOSE_TRR_1MO")</f>
        <v>1.3162160000000001</v>
      </c>
      <c r="E96">
        <f>_xll.BDP("FHIIX US Equity","LAST_CLOSE_TRR_3MO")</f>
        <v>6.1006980000000004</v>
      </c>
      <c r="F96">
        <f>_xll.BDP("FHIIX US Equity","LAST_CLOSE_TRR_YTD")</f>
        <v>5.332382</v>
      </c>
      <c r="G96">
        <f>_xll.BDP("FHIIX US Equity","LAST_CLOSE_TRR_1YR")</f>
        <v>5.4722650000000002</v>
      </c>
      <c r="H96">
        <f>_xll.BDP("FHIIX US Equity","LAST_CLOSE_TRR_3YR")</f>
        <v>5.4878309999999999</v>
      </c>
      <c r="I96">
        <f>_xll.BDP("FHIIX US Equity","LAST_CLOSE_TRR_5YR")</f>
        <v>7.4435409999999997</v>
      </c>
      <c r="J96" t="str">
        <f>_xll.BDP("FHIIX US Equity","PX_CLOSE_DT")</f>
        <v>12/24/2020</v>
      </c>
    </row>
    <row r="97" spans="1:10" x14ac:dyDescent="0.25">
      <c r="A97" t="s">
        <v>200</v>
      </c>
      <c r="B97" t="s">
        <v>201</v>
      </c>
      <c r="C97">
        <f>_xll.BDP("KHYAX US Equity","CUST_TRR_RETURN_ANNUALIZED","CUST_TRR_START_DT=20200626","CUST_TRR_END_DT=20201226")</f>
        <v>19.946169999999999</v>
      </c>
      <c r="D97">
        <f>_xll.BDP("KHYAX US Equity","LAST_CLOSE_TRR_1MO")</f>
        <v>0.99660269999999995</v>
      </c>
      <c r="E97">
        <f>_xll.BDP("KHYAX US Equity","LAST_CLOSE_TRR_3MO")</f>
        <v>5.9488009999999996</v>
      </c>
      <c r="F97">
        <f>_xll.BDP("KHYAX US Equity","LAST_CLOSE_TRR_YTD")</f>
        <v>5.5000929999999997</v>
      </c>
      <c r="G97">
        <f>_xll.BDP("KHYAX US Equity","LAST_CLOSE_TRR_1YR")</f>
        <v>5.5000929999999997</v>
      </c>
      <c r="H97">
        <f>_xll.BDP("KHYAX US Equity","LAST_CLOSE_TRR_3YR")</f>
        <v>5.7225919999999997</v>
      </c>
      <c r="I97">
        <f>_xll.BDP("KHYAX US Equity","LAST_CLOSE_TRR_5YR")</f>
        <v>7.4448270000000001</v>
      </c>
      <c r="J97" t="str">
        <f>_xll.BDP("KHYAX US Equity","PX_CLOSE_DT")</f>
        <v>12/24/2020</v>
      </c>
    </row>
    <row r="98" spans="1:10" x14ac:dyDescent="0.25">
      <c r="A98" t="s">
        <v>202</v>
      </c>
      <c r="B98" t="s">
        <v>203</v>
      </c>
      <c r="C98">
        <f>_xll.BDP("NCOAX US Equity","CUST_TRR_RETURN_ANNUALIZED","CUST_TRR_START_DT=20200626","CUST_TRR_END_DT=20201226")</f>
        <v>20.832660000000001</v>
      </c>
      <c r="D98">
        <f>_xll.BDP("NCOAX US Equity","LAST_CLOSE_TRR_1MO")</f>
        <v>1.4715609999999999</v>
      </c>
      <c r="E98">
        <f>_xll.BDP("NCOAX US Equity","LAST_CLOSE_TRR_3MO")</f>
        <v>6.397627</v>
      </c>
      <c r="F98">
        <f>_xll.BDP("NCOAX US Equity","LAST_CLOSE_TRR_YTD")</f>
        <v>1.152477</v>
      </c>
      <c r="G98">
        <f>_xll.BDP("NCOAX US Equity","LAST_CLOSE_TRR_1YR")</f>
        <v>1.489053</v>
      </c>
      <c r="H98">
        <f>_xll.BDP("NCOAX US Equity","LAST_CLOSE_TRR_3YR")</f>
        <v>4.269317</v>
      </c>
      <c r="I98">
        <f>_xll.BDP("NCOAX US Equity","LAST_CLOSE_TRR_5YR")</f>
        <v>7.4636069999999997</v>
      </c>
      <c r="J98" t="str">
        <f>_xll.BDP("NCOAX US Equity","PX_CLOSE_DT")</f>
        <v>12/24/2020</v>
      </c>
    </row>
    <row r="99" spans="1:10" x14ac:dyDescent="0.25">
      <c r="A99" t="s">
        <v>204</v>
      </c>
      <c r="B99" t="s">
        <v>205</v>
      </c>
      <c r="C99">
        <f>_xll.BDP("HAHAX US Equity","CUST_TRR_RETURN_ANNUALIZED","CUST_TRR_START_DT=20200626","CUST_TRR_END_DT=20201226")</f>
        <v>21.060949999999998</v>
      </c>
      <c r="D99">
        <f>_xll.BDP("HAHAX US Equity","LAST_CLOSE_TRR_1MO")</f>
        <v>1.1688449999999999</v>
      </c>
      <c r="E99">
        <f>_xll.BDP("HAHAX US Equity","LAST_CLOSE_TRR_3MO")</f>
        <v>6.6938639999999996</v>
      </c>
      <c r="F99">
        <f>_xll.BDP("HAHAX US Equity","LAST_CLOSE_TRR_YTD")</f>
        <v>6.263363</v>
      </c>
      <c r="G99">
        <f>_xll.BDP("HAHAX US Equity","LAST_CLOSE_TRR_1YR")</f>
        <v>6.3390750000000002</v>
      </c>
      <c r="H99">
        <f>_xll.BDP("HAHAX US Equity","LAST_CLOSE_TRR_3YR")</f>
        <v>5.7210599999999996</v>
      </c>
      <c r="I99">
        <f>_xll.BDP("HAHAX US Equity","LAST_CLOSE_TRR_5YR")</f>
        <v>7.4685300000000003</v>
      </c>
      <c r="J99" t="str">
        <f>_xll.BDP("HAHAX US Equity","PX_CLOSE_DT")</f>
        <v>12/24/2020</v>
      </c>
    </row>
    <row r="100" spans="1:10" x14ac:dyDescent="0.25">
      <c r="A100" t="s">
        <v>206</v>
      </c>
      <c r="B100" t="s">
        <v>207</v>
      </c>
      <c r="C100">
        <f>_xll.BDP("NEFHX US Equity","CUST_TRR_RETURN_ANNUALIZED","CUST_TRR_START_DT=20200626","CUST_TRR_END_DT=20201226")</f>
        <v>25.18317</v>
      </c>
      <c r="D100">
        <f>_xll.BDP("NEFHX US Equity","LAST_CLOSE_TRR_1MO")</f>
        <v>1.4235880000000001</v>
      </c>
      <c r="E100">
        <f>_xll.BDP("NEFHX US Equity","LAST_CLOSE_TRR_3MO")</f>
        <v>7.9620110000000004</v>
      </c>
      <c r="F100">
        <f>_xll.BDP("NEFHX US Equity","LAST_CLOSE_TRR_YTD")</f>
        <v>7.4114440000000004</v>
      </c>
      <c r="G100">
        <f>_xll.BDP("NEFHX US Equity","LAST_CLOSE_TRR_1YR")</f>
        <v>7.4114440000000004</v>
      </c>
      <c r="H100">
        <f>_xll.BDP("NEFHX US Equity","LAST_CLOSE_TRR_3YR")</f>
        <v>5.086144</v>
      </c>
      <c r="I100">
        <f>_xll.BDP("NEFHX US Equity","LAST_CLOSE_TRR_5YR")</f>
        <v>7.4872810000000003</v>
      </c>
      <c r="J100" t="str">
        <f>_xll.BDP("NEFHX US Equity","PX_CLOSE_DT")</f>
        <v>12/24/2020</v>
      </c>
    </row>
    <row r="101" spans="1:10" x14ac:dyDescent="0.25">
      <c r="A101" t="s">
        <v>208</v>
      </c>
      <c r="B101" t="s">
        <v>209</v>
      </c>
      <c r="C101">
        <f>_xll.BDP("PHYIX US Equity","CUST_TRR_RETURN_ANNUALIZED","CUST_TRR_START_DT=20200626","CUST_TRR_END_DT=20201226")</f>
        <v>20.649000000000001</v>
      </c>
      <c r="D101">
        <f>_xll.BDP("PHYIX US Equity","LAST_CLOSE_TRR_1MO")</f>
        <v>1.042735</v>
      </c>
      <c r="E101">
        <f>_xll.BDP("PHYIX US Equity","LAST_CLOSE_TRR_3MO")</f>
        <v>5.9436499999999999</v>
      </c>
      <c r="F101">
        <f>_xll.BDP("PHYIX US Equity","LAST_CLOSE_TRR_YTD")</f>
        <v>5.789879</v>
      </c>
      <c r="G101">
        <f>_xll.BDP("PHYIX US Equity","LAST_CLOSE_TRR_1YR")</f>
        <v>5.9697930000000001</v>
      </c>
      <c r="H101">
        <f>_xll.BDP("PHYIX US Equity","LAST_CLOSE_TRR_3YR")</f>
        <v>5.2041240000000002</v>
      </c>
      <c r="I101">
        <f>_xll.BDP("PHYIX US Equity","LAST_CLOSE_TRR_5YR")</f>
        <v>7.4922550000000001</v>
      </c>
      <c r="J101" t="str">
        <f>_xll.BDP("PHYIX US Equity","PX_CLOSE_DT")</f>
        <v>12/24/2020</v>
      </c>
    </row>
    <row r="102" spans="1:10" x14ac:dyDescent="0.25">
      <c r="A102" t="s">
        <v>210</v>
      </c>
      <c r="B102" t="s">
        <v>211</v>
      </c>
      <c r="C102">
        <f>_xll.BDP("SAHYX US Equity","CUST_TRR_RETURN_ANNUALIZED","CUST_TRR_START_DT=20200626","CUST_TRR_END_DT=20201226")</f>
        <v>19.264880000000002</v>
      </c>
      <c r="D102">
        <f>_xll.BDP("SAHYX US Equity","LAST_CLOSE_TRR_1MO")</f>
        <v>1.525101</v>
      </c>
      <c r="E102">
        <f>_xll.BDP("SAHYX US Equity","LAST_CLOSE_TRR_3MO")</f>
        <v>6.7516109999999996</v>
      </c>
      <c r="F102">
        <f>_xll.BDP("SAHYX US Equity","LAST_CLOSE_TRR_YTD")</f>
        <v>6.2524300000000004</v>
      </c>
      <c r="G102">
        <f>_xll.BDP("SAHYX US Equity","LAST_CLOSE_TRR_1YR")</f>
        <v>6.539002</v>
      </c>
      <c r="H102">
        <f>_xll.BDP("SAHYX US Equity","LAST_CLOSE_TRR_3YR")</f>
        <v>4.9248440000000002</v>
      </c>
      <c r="I102">
        <f>_xll.BDP("SAHYX US Equity","LAST_CLOSE_TRR_5YR")</f>
        <v>7.522411</v>
      </c>
      <c r="J102" t="str">
        <f>_xll.BDP("SAHYX US Equity","PX_CLOSE_DT")</f>
        <v>12/24/2020</v>
      </c>
    </row>
    <row r="103" spans="1:10" x14ac:dyDescent="0.25">
      <c r="A103" t="s">
        <v>212</v>
      </c>
      <c r="B103" t="s">
        <v>213</v>
      </c>
      <c r="C103">
        <f>_xll.BDP("NWXIX US Equity","CUST_TRR_RETURN_ANNUALIZED","CUST_TRR_START_DT=20200626","CUST_TRR_END_DT=20201226")</f>
        <v>23.547059999999998</v>
      </c>
      <c r="D103">
        <f>_xll.BDP("NWXIX US Equity","LAST_CLOSE_TRR_1MO")</f>
        <v>1.8528340000000001</v>
      </c>
      <c r="E103">
        <f>_xll.BDP("NWXIX US Equity","LAST_CLOSE_TRR_3MO")</f>
        <v>7.378552</v>
      </c>
      <c r="F103">
        <f>_xll.BDP("NWXIX US Equity","LAST_CLOSE_TRR_YTD")</f>
        <v>0.7944329</v>
      </c>
      <c r="G103">
        <f>_xll.BDP("NWXIX US Equity","LAST_CLOSE_TRR_1YR")</f>
        <v>0.89634840000000005</v>
      </c>
      <c r="H103">
        <f>_xll.BDP("NWXIX US Equity","LAST_CLOSE_TRR_3YR")</f>
        <v>4.2856690000000004</v>
      </c>
      <c r="I103">
        <f>_xll.BDP("NWXIX US Equity","LAST_CLOSE_TRR_5YR")</f>
        <v>7.5224070000000003</v>
      </c>
      <c r="J103" t="str">
        <f>_xll.BDP("NWXIX US Equity","PX_CLOSE_DT")</f>
        <v>12/24/2020</v>
      </c>
    </row>
    <row r="104" spans="1:10" x14ac:dyDescent="0.25">
      <c r="A104" t="s">
        <v>214</v>
      </c>
      <c r="B104" t="s">
        <v>215</v>
      </c>
      <c r="C104">
        <f>_xll.BDP("PAXHX US Equity","CUST_TRR_RETURN_ANNUALIZED","CUST_TRR_START_DT=20200626","CUST_TRR_END_DT=20201226")</f>
        <v>17.988320000000002</v>
      </c>
      <c r="D104">
        <f>_xll.BDP("PAXHX US Equity","LAST_CLOSE_TRR_1MO")</f>
        <v>0.85192829999999997</v>
      </c>
      <c r="E104">
        <f>_xll.BDP("PAXHX US Equity","LAST_CLOSE_TRR_3MO")</f>
        <v>4.9572620000000001</v>
      </c>
      <c r="F104">
        <f>_xll.BDP("PAXHX US Equity","LAST_CLOSE_TRR_YTD")</f>
        <v>7.1293170000000003</v>
      </c>
      <c r="G104">
        <f>_xll.BDP("PAXHX US Equity","LAST_CLOSE_TRR_1YR")</f>
        <v>7.2211610000000004</v>
      </c>
      <c r="H104">
        <f>_xll.BDP("PAXHX US Equity","LAST_CLOSE_TRR_3YR")</f>
        <v>5.8883999999999999</v>
      </c>
      <c r="I104">
        <f>_xll.BDP("PAXHX US Equity","LAST_CLOSE_TRR_5YR")</f>
        <v>7.5254260000000004</v>
      </c>
      <c r="J104" t="str">
        <f>_xll.BDP("PAXHX US Equity","PX_CLOSE_DT")</f>
        <v>12/24/2020</v>
      </c>
    </row>
    <row r="105" spans="1:10" x14ac:dyDescent="0.25">
      <c r="A105" t="s">
        <v>216</v>
      </c>
      <c r="B105" t="s">
        <v>217</v>
      </c>
      <c r="C105">
        <f>_xll.BDP("DPHYX US Equity","CUST_TRR_RETURN_ANNUALIZED","CUST_TRR_START_DT=20200626","CUST_TRR_END_DT=20201226")</f>
        <v>20.75224</v>
      </c>
      <c r="D105">
        <f>_xll.BDP("DPHYX US Equity","LAST_CLOSE_TRR_1MO")</f>
        <v>0.96908320000000003</v>
      </c>
      <c r="E105">
        <f>_xll.BDP("DPHYX US Equity","LAST_CLOSE_TRR_3MO")</f>
        <v>6.038087</v>
      </c>
      <c r="F105">
        <f>_xll.BDP("DPHYX US Equity","LAST_CLOSE_TRR_YTD")</f>
        <v>6.9084409999999998</v>
      </c>
      <c r="G105">
        <f>_xll.BDP("DPHYX US Equity","LAST_CLOSE_TRR_1YR")</f>
        <v>7.0548909999999996</v>
      </c>
      <c r="H105">
        <f>_xll.BDP("DPHYX US Equity","LAST_CLOSE_TRR_3YR")</f>
        <v>5.6443390000000004</v>
      </c>
      <c r="I105">
        <f>_xll.BDP("DPHYX US Equity","LAST_CLOSE_TRR_5YR")</f>
        <v>7.5290090000000003</v>
      </c>
      <c r="J105" t="str">
        <f>_xll.BDP("DPHYX US Equity","PX_CLOSE_DT")</f>
        <v>12/24/2020</v>
      </c>
    </row>
    <row r="106" spans="1:10" x14ac:dyDescent="0.25">
      <c r="A106" t="s">
        <v>218</v>
      </c>
      <c r="B106" t="s">
        <v>219</v>
      </c>
      <c r="C106">
        <f>_xll.BDP("TNHAX US Equity","CUST_TRR_RETURN_ANNUALIZED","CUST_TRR_START_DT=20200626","CUST_TRR_END_DT=20201226")</f>
        <v>17.66123</v>
      </c>
      <c r="D106">
        <f>_xll.BDP("TNHAX US Equity","LAST_CLOSE_TRR_1MO")</f>
        <v>1.09836</v>
      </c>
      <c r="E106">
        <f>_xll.BDP("TNHAX US Equity","LAST_CLOSE_TRR_3MO")</f>
        <v>5.1090920000000004</v>
      </c>
      <c r="F106">
        <f>_xll.BDP("TNHAX US Equity","LAST_CLOSE_TRR_YTD")</f>
        <v>6.4635660000000001</v>
      </c>
      <c r="G106">
        <f>_xll.BDP("TNHAX US Equity","LAST_CLOSE_TRR_1YR")</f>
        <v>6.4635660000000001</v>
      </c>
      <c r="H106">
        <f>_xll.BDP("TNHAX US Equity","LAST_CLOSE_TRR_3YR")</f>
        <v>5.4010129999999998</v>
      </c>
      <c r="I106">
        <f>_xll.BDP("TNHAX US Equity","LAST_CLOSE_TRR_5YR")</f>
        <v>7.5294730000000003</v>
      </c>
      <c r="J106" t="str">
        <f>_xll.BDP("TNHAX US Equity","PX_CLOSE_DT")</f>
        <v>12/24/2020</v>
      </c>
    </row>
    <row r="107" spans="1:10" x14ac:dyDescent="0.25">
      <c r="A107" t="s">
        <v>220</v>
      </c>
      <c r="B107" t="s">
        <v>221</v>
      </c>
      <c r="C107">
        <f>_xll.BDP("WHIAX US Equity","CUST_TRR_RETURN_ANNUALIZED","CUST_TRR_START_DT=20200626","CUST_TRR_END_DT=20201226")</f>
        <v>28.825780000000002</v>
      </c>
      <c r="D107">
        <f>_xll.BDP("WHIAX US Equity","LAST_CLOSE_TRR_1MO")</f>
        <v>2.6141079999999999</v>
      </c>
      <c r="E107">
        <f>_xll.BDP("WHIAX US Equity","LAST_CLOSE_TRR_3MO")</f>
        <v>7.6730980000000004</v>
      </c>
      <c r="F107">
        <f>_xll.BDP("WHIAX US Equity","LAST_CLOSE_TRR_YTD")</f>
        <v>4.7696699999999996</v>
      </c>
      <c r="G107">
        <f>_xll.BDP("WHIAX US Equity","LAST_CLOSE_TRR_1YR")</f>
        <v>4.8182640000000001</v>
      </c>
      <c r="H107">
        <f>_xll.BDP("WHIAX US Equity","LAST_CLOSE_TRR_3YR")</f>
        <v>4.429576</v>
      </c>
      <c r="I107">
        <f>_xll.BDP("WHIAX US Equity","LAST_CLOSE_TRR_5YR")</f>
        <v>7.5369929999999998</v>
      </c>
      <c r="J107" t="str">
        <f>_xll.BDP("WHIAX US Equity","PX_CLOSE_DT")</f>
        <v>12/24/2020</v>
      </c>
    </row>
    <row r="108" spans="1:10" x14ac:dyDescent="0.25">
      <c r="A108" t="s">
        <v>222</v>
      </c>
      <c r="B108" t="s">
        <v>223</v>
      </c>
      <c r="C108">
        <f>_xll.BDP("NMHYX US Equity","CUST_TRR_RETURN_ANNUALIZED","CUST_TRR_START_DT=20200626","CUST_TRR_END_DT=20201226")</f>
        <v>25.5855</v>
      </c>
      <c r="D108">
        <f>_xll.BDP("NMHYX US Equity","LAST_CLOSE_TRR_1MO")</f>
        <v>1.763838</v>
      </c>
      <c r="E108">
        <f>_xll.BDP("NMHYX US Equity","LAST_CLOSE_TRR_3MO")</f>
        <v>7.3419150000000002</v>
      </c>
      <c r="F108">
        <f>_xll.BDP("NMHYX US Equity","LAST_CLOSE_TRR_YTD")</f>
        <v>5.4709409999999998</v>
      </c>
      <c r="G108">
        <f>_xll.BDP("NMHYX US Equity","LAST_CLOSE_TRR_1YR")</f>
        <v>5.5825509999999996</v>
      </c>
      <c r="H108">
        <f>_xll.BDP("NMHYX US Equity","LAST_CLOSE_TRR_3YR")</f>
        <v>4.5523689999999997</v>
      </c>
      <c r="I108">
        <f>_xll.BDP("NMHYX US Equity","LAST_CLOSE_TRR_5YR")</f>
        <v>7.564953</v>
      </c>
      <c r="J108" t="str">
        <f>_xll.BDP("NMHYX US Equity","PX_CLOSE_DT")</f>
        <v>12/24/2020</v>
      </c>
    </row>
    <row r="109" spans="1:10" x14ac:dyDescent="0.25">
      <c r="A109" t="s">
        <v>224</v>
      </c>
      <c r="B109" t="s">
        <v>225</v>
      </c>
      <c r="C109">
        <f>_xll.BDP("PLSRX US Equity","CUST_TRR_RETURN_ANNUALIZED","CUST_TRR_START_DT=20200626","CUST_TRR_END_DT=20201226")</f>
        <v>20.088419999999999</v>
      </c>
      <c r="D109">
        <f>_xll.BDP("PLSRX US Equity","LAST_CLOSE_TRR_1MO")</f>
        <v>1.382749</v>
      </c>
      <c r="E109">
        <f>_xll.BDP("PLSRX US Equity","LAST_CLOSE_TRR_3MO")</f>
        <v>6.045839</v>
      </c>
      <c r="F109">
        <f>_xll.BDP("PLSRX US Equity","LAST_CLOSE_TRR_YTD")</f>
        <v>9.3772950000000002</v>
      </c>
      <c r="G109">
        <f>_xll.BDP("PLSRX US Equity","LAST_CLOSE_TRR_1YR")</f>
        <v>9.3584530000000008</v>
      </c>
      <c r="H109">
        <f>_xll.BDP("PLSRX US Equity","LAST_CLOSE_TRR_3YR")</f>
        <v>6.5737259999999997</v>
      </c>
      <c r="I109">
        <f>_xll.BDP("PLSRX US Equity","LAST_CLOSE_TRR_5YR")</f>
        <v>7.5764500000000004</v>
      </c>
      <c r="J109" t="str">
        <f>_xll.BDP("PLSRX US Equity","PX_CLOSE_DT")</f>
        <v>12/24/2020</v>
      </c>
    </row>
    <row r="110" spans="1:10" x14ac:dyDescent="0.25">
      <c r="A110" t="s">
        <v>226</v>
      </c>
      <c r="B110" t="s">
        <v>227</v>
      </c>
      <c r="C110">
        <f>_xll.BDP("PHYSX US Equity","CUST_TRR_RETURN_ANNUALIZED","CUST_TRR_START_DT=20200626","CUST_TRR_END_DT=20201226")</f>
        <v>27.639700000000001</v>
      </c>
      <c r="D110">
        <f>_xll.BDP("PHYSX US Equity","LAST_CLOSE_TRR_1MO")</f>
        <v>2.1187109999999998</v>
      </c>
      <c r="E110">
        <f>_xll.BDP("PHYSX US Equity","LAST_CLOSE_TRR_3MO")</f>
        <v>7.6363919999999998</v>
      </c>
      <c r="F110">
        <f>_xll.BDP("PHYSX US Equity","LAST_CLOSE_TRR_YTD")</f>
        <v>7.6755560000000003</v>
      </c>
      <c r="G110">
        <f>_xll.BDP("PHYSX US Equity","LAST_CLOSE_TRR_1YR")</f>
        <v>7.9017020000000002</v>
      </c>
      <c r="H110">
        <f>_xll.BDP("PHYSX US Equity","LAST_CLOSE_TRR_3YR")</f>
        <v>5.1484560000000004</v>
      </c>
      <c r="I110">
        <f>_xll.BDP("PHYSX US Equity","LAST_CLOSE_TRR_5YR")</f>
        <v>7.5807950000000002</v>
      </c>
      <c r="J110" t="str">
        <f>_xll.BDP("PHYSX US Equity","PX_CLOSE_DT")</f>
        <v>12/24/2020</v>
      </c>
    </row>
    <row r="111" spans="1:10" x14ac:dyDescent="0.25">
      <c r="A111" t="s">
        <v>228</v>
      </c>
      <c r="B111" t="s">
        <v>229</v>
      </c>
      <c r="C111">
        <f>_xll.BDP("ANHAX US Equity","CUST_TRR_RETURN_ANNUALIZED","CUST_TRR_START_DT=20200626","CUST_TRR_END_DT=20201226")</f>
        <v>20.282820000000001</v>
      </c>
      <c r="D111">
        <f>_xll.BDP("ANHAX US Equity","LAST_CLOSE_TRR_1MO")</f>
        <v>1.783547</v>
      </c>
      <c r="E111">
        <f>_xll.BDP("ANHAX US Equity","LAST_CLOSE_TRR_3MO")</f>
        <v>6.3308559999999998</v>
      </c>
      <c r="F111">
        <f>_xll.BDP("ANHAX US Equity","LAST_CLOSE_TRR_YTD")</f>
        <v>4.2666259999999996</v>
      </c>
      <c r="G111">
        <f>_xll.BDP("ANHAX US Equity","LAST_CLOSE_TRR_1YR")</f>
        <v>4.5391719999999998</v>
      </c>
      <c r="H111">
        <f>_xll.BDP("ANHAX US Equity","LAST_CLOSE_TRR_3YR")</f>
        <v>4.9545589999999997</v>
      </c>
      <c r="I111">
        <f>_xll.BDP("ANHAX US Equity","LAST_CLOSE_TRR_5YR")</f>
        <v>7.6106619999999996</v>
      </c>
      <c r="J111" t="str">
        <f>_xll.BDP("ANHAX US Equity","PX_CLOSE_DT")</f>
        <v>12/24/2020</v>
      </c>
    </row>
    <row r="112" spans="1:10" x14ac:dyDescent="0.25">
      <c r="A112" t="s">
        <v>230</v>
      </c>
      <c r="B112" t="s">
        <v>231</v>
      </c>
      <c r="C112">
        <f>_xll.BDP("SHYAX US Equity","CUST_TRR_RETURN_ANNUALIZED","CUST_TRR_START_DT=20200626","CUST_TRR_END_DT=20201226")</f>
        <v>28.489460000000001</v>
      </c>
      <c r="D112">
        <f>_xll.BDP("SHYAX US Equity","LAST_CLOSE_TRR_1MO")</f>
        <v>2.15882</v>
      </c>
      <c r="E112">
        <f>_xll.BDP("SHYAX US Equity","LAST_CLOSE_TRR_3MO")</f>
        <v>8.3573550000000001</v>
      </c>
      <c r="F112">
        <f>_xll.BDP("SHYAX US Equity","LAST_CLOSE_TRR_YTD")</f>
        <v>4.0334830000000004</v>
      </c>
      <c r="G112">
        <f>_xll.BDP("SHYAX US Equity","LAST_CLOSE_TRR_1YR")</f>
        <v>4.6735730000000002</v>
      </c>
      <c r="H112">
        <f>_xll.BDP("SHYAX US Equity","LAST_CLOSE_TRR_3YR")</f>
        <v>4.6647369999999997</v>
      </c>
      <c r="I112">
        <f>_xll.BDP("SHYAX US Equity","LAST_CLOSE_TRR_5YR")</f>
        <v>7.6206480000000001</v>
      </c>
      <c r="J112" t="str">
        <f>_xll.BDP("SHYAX US Equity","PX_CLOSE_DT")</f>
        <v>12/24/2020</v>
      </c>
    </row>
    <row r="113" spans="1:10" x14ac:dyDescent="0.25">
      <c r="A113" t="s">
        <v>232</v>
      </c>
      <c r="B113" t="s">
        <v>233</v>
      </c>
      <c r="C113">
        <f>_xll.BDP("HSNAX US Equity","CUST_TRR_RETURN_ANNUALIZED","CUST_TRR_START_DT=20200626","CUST_TRR_END_DT=20201226")</f>
        <v>16.965720000000001</v>
      </c>
      <c r="D113">
        <f>_xll.BDP("HSNAX US Equity","LAST_CLOSE_TRR_1MO")</f>
        <v>1.518108</v>
      </c>
      <c r="E113">
        <f>_xll.BDP("HSNAX US Equity","LAST_CLOSE_TRR_3MO")</f>
        <v>5.2092660000000004</v>
      </c>
      <c r="F113">
        <f>_xll.BDP("HSNAX US Equity","LAST_CLOSE_TRR_YTD")</f>
        <v>11.97579</v>
      </c>
      <c r="G113">
        <f>_xll.BDP("HSNAX US Equity","LAST_CLOSE_TRR_1YR")</f>
        <v>12.14818</v>
      </c>
      <c r="H113">
        <f>_xll.BDP("HSNAX US Equity","LAST_CLOSE_TRR_3YR")</f>
        <v>7.1969269999999996</v>
      </c>
      <c r="I113">
        <f>_xll.BDP("HSNAX US Equity","LAST_CLOSE_TRR_5YR")</f>
        <v>7.7096039999999997</v>
      </c>
      <c r="J113" t="str">
        <f>_xll.BDP("HSNAX US Equity","PX_CLOSE_DT")</f>
        <v>12/24/2020</v>
      </c>
    </row>
    <row r="114" spans="1:10" x14ac:dyDescent="0.25">
      <c r="A114" t="s">
        <v>234</v>
      </c>
      <c r="B114" t="s">
        <v>235</v>
      </c>
      <c r="C114">
        <f>_xll.BDP("MGHYX US Equity","CUST_TRR_RETURN_ANNUALIZED","CUST_TRR_START_DT=20200626","CUST_TRR_END_DT=20201226")</f>
        <v>19.768619999999999</v>
      </c>
      <c r="D114">
        <f>_xll.BDP("MGHYX US Equity","LAST_CLOSE_TRR_1MO")</f>
        <v>0.85105109999999995</v>
      </c>
      <c r="E114">
        <f>_xll.BDP("MGHYX US Equity","LAST_CLOSE_TRR_3MO")</f>
        <v>5.9371479999999996</v>
      </c>
      <c r="F114">
        <f>_xll.BDP("MGHYX US Equity","LAST_CLOSE_TRR_YTD")</f>
        <v>5.1058810000000001</v>
      </c>
      <c r="G114">
        <f>_xll.BDP("MGHYX US Equity","LAST_CLOSE_TRR_1YR")</f>
        <v>4.9966739999999996</v>
      </c>
      <c r="H114">
        <f>_xll.BDP("MGHYX US Equity","LAST_CLOSE_TRR_3YR")</f>
        <v>5.9149330000000004</v>
      </c>
      <c r="I114">
        <f>_xll.BDP("MGHYX US Equity","LAST_CLOSE_TRR_5YR")</f>
        <v>7.7235690000000004</v>
      </c>
      <c r="J114" t="str">
        <f>_xll.BDP("MGHYX US Equity","PX_CLOSE_DT")</f>
        <v>12/24/2020</v>
      </c>
    </row>
    <row r="115" spans="1:10" x14ac:dyDescent="0.25">
      <c r="A115" t="s">
        <v>236</v>
      </c>
      <c r="B115" t="s">
        <v>237</v>
      </c>
      <c r="C115">
        <f>_xll.BDP("SAHIX US Equity","CUST_TRR_RETURN_ANNUALIZED","CUST_TRR_START_DT=20200626","CUST_TRR_END_DT=20201226")</f>
        <v>23.465250000000001</v>
      </c>
      <c r="D115">
        <f>_xll.BDP("SAHIX US Equity","LAST_CLOSE_TRR_1MO")</f>
        <v>1.389351</v>
      </c>
      <c r="E115">
        <f>_xll.BDP("SAHIX US Equity","LAST_CLOSE_TRR_3MO")</f>
        <v>7.5087140000000003</v>
      </c>
      <c r="F115">
        <f>_xll.BDP("SAHIX US Equity","LAST_CLOSE_TRR_YTD")</f>
        <v>6.5428810000000004</v>
      </c>
      <c r="G115">
        <f>_xll.BDP("SAHIX US Equity","LAST_CLOSE_TRR_1YR")</f>
        <v>6.8230789999999999</v>
      </c>
      <c r="H115">
        <f>_xll.BDP("SAHIX US Equity","LAST_CLOSE_TRR_3YR")</f>
        <v>4.872293</v>
      </c>
      <c r="I115">
        <f>_xll.BDP("SAHIX US Equity","LAST_CLOSE_TRR_5YR")</f>
        <v>7.7245780000000002</v>
      </c>
      <c r="J115" t="str">
        <f>_xll.BDP("SAHIX US Equity","PX_CLOSE_DT")</f>
        <v>12/24/2020</v>
      </c>
    </row>
    <row r="116" spans="1:10" x14ac:dyDescent="0.25">
      <c r="A116" t="s">
        <v>238</v>
      </c>
      <c r="B116" t="s">
        <v>239</v>
      </c>
      <c r="C116">
        <f>_xll.BDP("JIHLX US Equity","CUST_TRR_RETURN_ANNUALIZED","CUST_TRR_START_DT=20200626","CUST_TRR_END_DT=20201226")</f>
        <v>20.236969999999999</v>
      </c>
      <c r="D116">
        <f>_xll.BDP("JIHLX US Equity","LAST_CLOSE_TRR_1MO")</f>
        <v>1.8581479999999999</v>
      </c>
      <c r="E116">
        <f>_xll.BDP("JIHLX US Equity","LAST_CLOSE_TRR_3MO")</f>
        <v>6.7040110000000004</v>
      </c>
      <c r="F116">
        <f>_xll.BDP("JIHLX US Equity","LAST_CLOSE_TRR_YTD")</f>
        <v>6.3194160000000004</v>
      </c>
      <c r="G116">
        <f>_xll.BDP("JIHLX US Equity","LAST_CLOSE_TRR_1YR")</f>
        <v>6.5097810000000003</v>
      </c>
      <c r="H116">
        <f>_xll.BDP("JIHLX US Equity","LAST_CLOSE_TRR_3YR")</f>
        <v>5.5283360000000004</v>
      </c>
      <c r="I116">
        <f>_xll.BDP("JIHLX US Equity","LAST_CLOSE_TRR_5YR")</f>
        <v>7.7283590000000002</v>
      </c>
      <c r="J116" t="str">
        <f>_xll.BDP("JIHLX US Equity","PX_CLOSE_DT")</f>
        <v>12/24/2020</v>
      </c>
    </row>
    <row r="117" spans="1:10" x14ac:dyDescent="0.25">
      <c r="A117" t="s">
        <v>240</v>
      </c>
      <c r="B117" t="s">
        <v>241</v>
      </c>
      <c r="C117">
        <f>_xll.BDP("IHFAX US Equity","CUST_TRR_RETURN_ANNUALIZED","CUST_TRR_START_DT=20200626","CUST_TRR_END_DT=20201226")</f>
        <v>20.393899999999999</v>
      </c>
      <c r="D117">
        <f>_xll.BDP("IHFAX US Equity","LAST_CLOSE_TRR_1MO")</f>
        <v>1.367772</v>
      </c>
      <c r="E117">
        <f>_xll.BDP("IHFAX US Equity","LAST_CLOSE_TRR_3MO")</f>
        <v>6.0323779999999996</v>
      </c>
      <c r="F117">
        <f>_xll.BDP("IHFAX US Equity","LAST_CLOSE_TRR_YTD")</f>
        <v>5.359076</v>
      </c>
      <c r="G117">
        <f>_xll.BDP("IHFAX US Equity","LAST_CLOSE_TRR_1YR")</f>
        <v>5.7823079999999996</v>
      </c>
      <c r="H117">
        <f>_xll.BDP("IHFAX US Equity","LAST_CLOSE_TRR_3YR")</f>
        <v>5.6418939999999997</v>
      </c>
      <c r="I117">
        <f>_xll.BDP("IHFAX US Equity","LAST_CLOSE_TRR_5YR")</f>
        <v>7.7347849999999996</v>
      </c>
      <c r="J117" t="str">
        <f>_xll.BDP("IHFAX US Equity","PX_CLOSE_DT")</f>
        <v>12/24/2020</v>
      </c>
    </row>
    <row r="118" spans="1:10" x14ac:dyDescent="0.25">
      <c r="A118" t="s">
        <v>242</v>
      </c>
      <c r="B118" t="s">
        <v>243</v>
      </c>
      <c r="C118">
        <f>_xll.BDP("TRHYX US Equity","CUST_TRR_RETURN_ANNUALIZED","CUST_TRR_START_DT=20200626","CUST_TRR_END_DT=20201226")</f>
        <v>19.17023</v>
      </c>
      <c r="D118">
        <f>_xll.BDP("TRHYX US Equity","LAST_CLOSE_TRR_1MO")</f>
        <v>1.1861489999999999</v>
      </c>
      <c r="E118">
        <f>_xll.BDP("TRHYX US Equity","LAST_CLOSE_TRR_3MO")</f>
        <v>5.7676350000000003</v>
      </c>
      <c r="F118">
        <f>_xll.BDP("TRHYX US Equity","LAST_CLOSE_TRR_YTD")</f>
        <v>4.214499</v>
      </c>
      <c r="G118">
        <f>_xll.BDP("TRHYX US Equity","LAST_CLOSE_TRR_1YR")</f>
        <v>4.3313819999999996</v>
      </c>
      <c r="H118">
        <f>_xll.BDP("TRHYX US Equity","LAST_CLOSE_TRR_3YR")</f>
        <v>5.1388379999999998</v>
      </c>
      <c r="I118">
        <f>_xll.BDP("TRHYX US Equity","LAST_CLOSE_TRR_5YR")</f>
        <v>7.7480190000000002</v>
      </c>
      <c r="J118" t="str">
        <f>_xll.BDP("TRHYX US Equity","PX_CLOSE_DT")</f>
        <v>12/24/2020</v>
      </c>
    </row>
    <row r="119" spans="1:10" x14ac:dyDescent="0.25">
      <c r="A119" t="s">
        <v>244</v>
      </c>
      <c r="B119" t="s">
        <v>245</v>
      </c>
      <c r="C119">
        <f>_xll.BDP("PLHIX US Equity","CUST_TRR_RETURN_ANNUALIZED","CUST_TRR_START_DT=20200626","CUST_TRR_END_DT=20201226")</f>
        <v>23.7713</v>
      </c>
      <c r="D119">
        <f>_xll.BDP("PLHIX US Equity","LAST_CLOSE_TRR_1MO")</f>
        <v>1.3195749999999999</v>
      </c>
      <c r="E119">
        <f>_xll.BDP("PLHIX US Equity","LAST_CLOSE_TRR_3MO")</f>
        <v>6.9647290000000002</v>
      </c>
      <c r="F119">
        <f>_xll.BDP("PLHIX US Equity","LAST_CLOSE_TRR_YTD")</f>
        <v>5.314019</v>
      </c>
      <c r="G119">
        <f>_xll.BDP("PLHIX US Equity","LAST_CLOSE_TRR_1YR")</f>
        <v>5.306559</v>
      </c>
      <c r="H119">
        <f>_xll.BDP("PLHIX US Equity","LAST_CLOSE_TRR_3YR")</f>
        <v>5.1870269999999996</v>
      </c>
      <c r="I119">
        <f>_xll.BDP("PLHIX US Equity","LAST_CLOSE_TRR_5YR")</f>
        <v>7.8054350000000001</v>
      </c>
      <c r="J119" t="str">
        <f>_xll.BDP("PLHIX US Equity","PX_CLOSE_DT")</f>
        <v>12/24/2020</v>
      </c>
    </row>
    <row r="120" spans="1:10" x14ac:dyDescent="0.25">
      <c r="A120" t="s">
        <v>246</v>
      </c>
      <c r="B120" t="s">
        <v>247</v>
      </c>
      <c r="C120">
        <f>_xll.BDP("AHITX US Equity","CUST_TRR_RETURN_ANNUALIZED","CUST_TRR_START_DT=20200626","CUST_TRR_END_DT=20201226")</f>
        <v>25.34046</v>
      </c>
      <c r="D120">
        <f>_xll.BDP("AHITX US Equity","LAST_CLOSE_TRR_1MO")</f>
        <v>2.0023569999999999</v>
      </c>
      <c r="E120">
        <f>_xll.BDP("AHITX US Equity","LAST_CLOSE_TRR_3MO")</f>
        <v>7.2620050000000003</v>
      </c>
      <c r="F120">
        <f>_xll.BDP("AHITX US Equity","LAST_CLOSE_TRR_YTD")</f>
        <v>6.2629859999999997</v>
      </c>
      <c r="G120">
        <f>_xll.BDP("AHITX US Equity","LAST_CLOSE_TRR_1YR")</f>
        <v>6.399076</v>
      </c>
      <c r="H120">
        <f>_xll.BDP("AHITX US Equity","LAST_CLOSE_TRR_3YR")</f>
        <v>5.3263689999999997</v>
      </c>
      <c r="I120">
        <f>_xll.BDP("AHITX US Equity","LAST_CLOSE_TRR_5YR")</f>
        <v>7.8215599999999998</v>
      </c>
      <c r="J120" t="str">
        <f>_xll.BDP("AHITX US Equity","PX_CLOSE_DT")</f>
        <v>12/24/2020</v>
      </c>
    </row>
    <row r="121" spans="1:10" x14ac:dyDescent="0.25">
      <c r="A121" t="s">
        <v>248</v>
      </c>
      <c r="B121" t="s">
        <v>249</v>
      </c>
      <c r="C121">
        <f>_xll.BDP("FIHBX US Equity","CUST_TRR_RETURN_ANNUALIZED","CUST_TRR_START_DT=20200626","CUST_TRR_END_DT=20201226")</f>
        <v>18.94049</v>
      </c>
      <c r="D121">
        <f>_xll.BDP("FIHBX US Equity","LAST_CLOSE_TRR_1MO")</f>
        <v>1.2175819999999999</v>
      </c>
      <c r="E121">
        <f>_xll.BDP("FIHBX US Equity","LAST_CLOSE_TRR_3MO")</f>
        <v>5.9491329999999998</v>
      </c>
      <c r="F121">
        <f>_xll.BDP("FIHBX US Equity","LAST_CLOSE_TRR_YTD")</f>
        <v>5.4362649999999997</v>
      </c>
      <c r="G121">
        <f>_xll.BDP("FIHBX US Equity","LAST_CLOSE_TRR_1YR")</f>
        <v>5.5327209999999996</v>
      </c>
      <c r="H121">
        <f>_xll.BDP("FIHBX US Equity","LAST_CLOSE_TRR_3YR")</f>
        <v>5.6528729999999996</v>
      </c>
      <c r="I121">
        <f>_xll.BDP("FIHBX US Equity","LAST_CLOSE_TRR_5YR")</f>
        <v>7.8283310000000004</v>
      </c>
      <c r="J121" t="str">
        <f>_xll.BDP("FIHBX US Equity","PX_CLOSE_DT")</f>
        <v>12/24/2020</v>
      </c>
    </row>
    <row r="122" spans="1:10" x14ac:dyDescent="0.25">
      <c r="A122" t="s">
        <v>250</v>
      </c>
      <c r="B122" t="s">
        <v>251</v>
      </c>
      <c r="C122">
        <f>_xll.BDP("BHYIX US Equity","CUST_TRR_RETURN_ANNUALIZED","CUST_TRR_START_DT=20200626","CUST_TRR_END_DT=20201226")</f>
        <v>22.50281</v>
      </c>
      <c r="D122">
        <f>_xll.BDP("BHYIX US Equity","LAST_CLOSE_TRR_1MO")</f>
        <v>1.245506</v>
      </c>
      <c r="E122">
        <f>_xll.BDP("BHYIX US Equity","LAST_CLOSE_TRR_3MO")</f>
        <v>6.5349300000000001</v>
      </c>
      <c r="F122">
        <f>_xll.BDP("BHYIX US Equity","LAST_CLOSE_TRR_YTD")</f>
        <v>5.1930769999999997</v>
      </c>
      <c r="G122">
        <f>_xll.BDP("BHYIX US Equity","LAST_CLOSE_TRR_1YR")</f>
        <v>5.2979849999999997</v>
      </c>
      <c r="H122">
        <f>_xll.BDP("BHYIX US Equity","LAST_CLOSE_TRR_3YR")</f>
        <v>5.8131250000000003</v>
      </c>
      <c r="I122">
        <f>_xll.BDP("BHYIX US Equity","LAST_CLOSE_TRR_5YR")</f>
        <v>7.8323070000000001</v>
      </c>
      <c r="J122" t="str">
        <f>_xll.BDP("BHYIX US Equity","PX_CLOSE_DT")</f>
        <v>12/24/2020</v>
      </c>
    </row>
    <row r="123" spans="1:10" x14ac:dyDescent="0.25">
      <c r="A123" t="s">
        <v>252</v>
      </c>
      <c r="B123" t="s">
        <v>253</v>
      </c>
      <c r="C123">
        <f>_xll.BDP("PAOPX US Equity","CUST_TRR_RETURN_ANNUALIZED","CUST_TRR_START_DT=20200626","CUST_TRR_END_DT=20201226")</f>
        <v>18.746420000000001</v>
      </c>
      <c r="D123">
        <f>_xll.BDP("PAOPX US Equity","LAST_CLOSE_TRR_1MO")</f>
        <v>1.1678440000000001</v>
      </c>
      <c r="E123">
        <f>_xll.BDP("PAOPX US Equity","LAST_CLOSE_TRR_3MO")</f>
        <v>5.847245</v>
      </c>
      <c r="F123">
        <f>_xll.BDP("PAOPX US Equity","LAST_CLOSE_TRR_YTD")</f>
        <v>4.7727639999999996</v>
      </c>
      <c r="G123">
        <f>_xll.BDP("PAOPX US Equity","LAST_CLOSE_TRR_1YR")</f>
        <v>4.9105809999999996</v>
      </c>
      <c r="H123">
        <f>_xll.BDP("PAOPX US Equity","LAST_CLOSE_TRR_3YR")</f>
        <v>5.4444330000000001</v>
      </c>
      <c r="I123">
        <f>_xll.BDP("PAOPX US Equity","LAST_CLOSE_TRR_5YR")</f>
        <v>7.8695649999999997</v>
      </c>
      <c r="J123" t="str">
        <f>_xll.BDP("PAOPX US Equity","PX_CLOSE_DT")</f>
        <v>12/24/2020</v>
      </c>
    </row>
    <row r="124" spans="1:10" x14ac:dyDescent="0.25">
      <c r="A124" t="s">
        <v>254</v>
      </c>
      <c r="B124" t="s">
        <v>255</v>
      </c>
      <c r="C124">
        <f>_xll.BDP("FJSIX US Equity","CUST_TRR_RETURN_ANNUALIZED","CUST_TRR_START_DT=20200626","CUST_TRR_END_DT=20201226")</f>
        <v>23.081939999999999</v>
      </c>
      <c r="D124">
        <f>_xll.BDP("FJSIX US Equity","LAST_CLOSE_TRR_1MO")</f>
        <v>1.9360569999999999</v>
      </c>
      <c r="E124">
        <f>_xll.BDP("FJSIX US Equity","LAST_CLOSE_TRR_3MO")</f>
        <v>6.8899499999999998</v>
      </c>
      <c r="F124">
        <f>_xll.BDP("FJSIX US Equity","LAST_CLOSE_TRR_YTD")</f>
        <v>0.62660009999999999</v>
      </c>
      <c r="G124">
        <f>_xll.BDP("FJSIX US Equity","LAST_CLOSE_TRR_1YR")</f>
        <v>0.84542790000000001</v>
      </c>
      <c r="H124">
        <f>_xll.BDP("FJSIX US Equity","LAST_CLOSE_TRR_3YR")</f>
        <v>3.8792900000000001</v>
      </c>
      <c r="I124">
        <f>_xll.BDP("FJSIX US Equity","LAST_CLOSE_TRR_5YR")</f>
        <v>7.9022600000000001</v>
      </c>
      <c r="J124" t="str">
        <f>_xll.BDP("FJSIX US Equity","PX_CLOSE_DT")</f>
        <v>12/24/2020</v>
      </c>
    </row>
    <row r="125" spans="1:10" x14ac:dyDescent="0.25">
      <c r="A125" t="s">
        <v>256</v>
      </c>
      <c r="B125" t="s">
        <v>257</v>
      </c>
      <c r="C125">
        <f>_xll.BDP("RGHYX US Equity","CUST_TRR_RETURN_ANNUALIZED","CUST_TRR_START_DT=20200626","CUST_TRR_END_DT=20201226")</f>
        <v>22.6889</v>
      </c>
      <c r="D125">
        <f>_xll.BDP("RGHYX US Equity","LAST_CLOSE_TRR_1MO")</f>
        <v>1.100336</v>
      </c>
      <c r="E125">
        <f>_xll.BDP("RGHYX US Equity","LAST_CLOSE_TRR_3MO")</f>
        <v>6.5439699999999998</v>
      </c>
      <c r="F125">
        <f>_xll.BDP("RGHYX US Equity","LAST_CLOSE_TRR_YTD")</f>
        <v>9.1358510000000006</v>
      </c>
      <c r="G125">
        <f>_xll.BDP("RGHYX US Equity","LAST_CLOSE_TRR_1YR")</f>
        <v>9.2396910000000005</v>
      </c>
      <c r="H125">
        <f>_xll.BDP("RGHYX US Equity","LAST_CLOSE_TRR_3YR")</f>
        <v>7.875718</v>
      </c>
      <c r="I125">
        <f>_xll.BDP("RGHYX US Equity","LAST_CLOSE_TRR_5YR")</f>
        <v>7.9470000000000001</v>
      </c>
      <c r="J125" t="str">
        <f>_xll.BDP("RGHYX US Equity","PX_CLOSE_DT")</f>
        <v>12/24/2020</v>
      </c>
    </row>
    <row r="126" spans="1:10" x14ac:dyDescent="0.25">
      <c r="A126" t="s">
        <v>258</v>
      </c>
      <c r="B126" t="s">
        <v>259</v>
      </c>
      <c r="C126">
        <f>_xll.BDP("PHDYX US Equity","CUST_TRR_RETURN_ANNUALIZED","CUST_TRR_START_DT=20200626","CUST_TRR_END_DT=20201226")</f>
        <v>26.115390000000001</v>
      </c>
      <c r="D126">
        <f>_xll.BDP("PHDYX US Equity","LAST_CLOSE_TRR_1MO")</f>
        <v>2.3916369999999998</v>
      </c>
      <c r="E126">
        <f>_xll.BDP("PHDYX US Equity","LAST_CLOSE_TRR_3MO")</f>
        <v>8.1497530000000005</v>
      </c>
      <c r="F126">
        <f>_xll.BDP("PHDYX US Equity","LAST_CLOSE_TRR_YTD")</f>
        <v>6.8639229999999998</v>
      </c>
      <c r="G126">
        <f>_xll.BDP("PHDYX US Equity","LAST_CLOSE_TRR_1YR")</f>
        <v>6.9730790000000002</v>
      </c>
      <c r="H126">
        <f>_xll.BDP("PHDYX US Equity","LAST_CLOSE_TRR_3YR")</f>
        <v>5.3315070000000002</v>
      </c>
      <c r="I126">
        <f>_xll.BDP("PHDYX US Equity","LAST_CLOSE_TRR_5YR")</f>
        <v>7.9806670000000004</v>
      </c>
      <c r="J126" t="str">
        <f>_xll.BDP("PHDYX US Equity","PX_CLOSE_DT")</f>
        <v>12/24/2020</v>
      </c>
    </row>
    <row r="127" spans="1:10" x14ac:dyDescent="0.25">
      <c r="A127" t="s">
        <v>260</v>
      </c>
      <c r="B127" t="s">
        <v>261</v>
      </c>
      <c r="C127">
        <f>_xll.BDP("MNHYX US Equity","CUST_TRR_RETURN_ANNUALIZED","CUST_TRR_START_DT=20200626","CUST_TRR_END_DT=20201226")</f>
        <v>25.545190000000002</v>
      </c>
      <c r="D127">
        <f>_xll.BDP("MNHYX US Equity","LAST_CLOSE_TRR_1MO")</f>
        <v>2.2797540000000001</v>
      </c>
      <c r="E127">
        <f>_xll.BDP("MNHYX US Equity","LAST_CLOSE_TRR_3MO")</f>
        <v>6.7038019999999996</v>
      </c>
      <c r="F127">
        <f>_xll.BDP("MNHYX US Equity","LAST_CLOSE_TRR_YTD")</f>
        <v>5.8575290000000004</v>
      </c>
      <c r="G127">
        <f>_xll.BDP("MNHYX US Equity","LAST_CLOSE_TRR_1YR")</f>
        <v>6.067564</v>
      </c>
      <c r="H127">
        <f>_xll.BDP("MNHYX US Equity","LAST_CLOSE_TRR_3YR")</f>
        <v>6.010732</v>
      </c>
      <c r="I127">
        <f>_xll.BDP("MNHYX US Equity","LAST_CLOSE_TRR_5YR")</f>
        <v>7.9982660000000001</v>
      </c>
      <c r="J127" t="str">
        <f>_xll.BDP("MNHYX US Equity","PX_CLOSE_DT")</f>
        <v>12/24/2020</v>
      </c>
    </row>
    <row r="128" spans="1:10" x14ac:dyDescent="0.25">
      <c r="A128" t="s">
        <v>262</v>
      </c>
      <c r="B128" t="s">
        <v>263</v>
      </c>
      <c r="C128">
        <f>_xll.BDP("WAHYX US Equity","CUST_TRR_RETURN_ANNUALIZED","CUST_TRR_START_DT=20200626","CUST_TRR_END_DT=20201226")</f>
        <v>23.456880000000002</v>
      </c>
      <c r="D128">
        <f>_xll.BDP("WAHYX US Equity","LAST_CLOSE_TRR_1MO")</f>
        <v>1.338937</v>
      </c>
      <c r="E128">
        <f>_xll.BDP("WAHYX US Equity","LAST_CLOSE_TRR_3MO")</f>
        <v>7.0393210000000002</v>
      </c>
      <c r="F128">
        <f>_xll.BDP("WAHYX US Equity","LAST_CLOSE_TRR_YTD")</f>
        <v>5.9674779999999998</v>
      </c>
      <c r="G128">
        <f>_xll.BDP("WAHYX US Equity","LAST_CLOSE_TRR_1YR")</f>
        <v>6.0842419999999997</v>
      </c>
      <c r="H128">
        <f>_xll.BDP("WAHYX US Equity","LAST_CLOSE_TRR_3YR")</f>
        <v>5.9007589999999999</v>
      </c>
      <c r="I128">
        <f>_xll.BDP("WAHYX US Equity","LAST_CLOSE_TRR_5YR")</f>
        <v>8.0049379999999992</v>
      </c>
      <c r="J128" t="str">
        <f>_xll.BDP("WAHYX US Equity","PX_CLOSE_DT")</f>
        <v>12/24/2020</v>
      </c>
    </row>
    <row r="129" spans="1:10" x14ac:dyDescent="0.25">
      <c r="A129" t="s">
        <v>264</v>
      </c>
      <c r="B129" t="s">
        <v>265</v>
      </c>
      <c r="C129">
        <f>_xll.BDP("SAMHX US Equity","CUST_TRR_RETURN_ANNUALIZED","CUST_TRR_START_DT=20200626","CUST_TRR_END_DT=20201226")</f>
        <v>21.37293</v>
      </c>
      <c r="D129">
        <f>_xll.BDP("SAMHX US Equity","LAST_CLOSE_TRR_1MO")</f>
        <v>1.1047849999999999</v>
      </c>
      <c r="E129">
        <f>_xll.BDP("SAMHX US Equity","LAST_CLOSE_TRR_3MO")</f>
        <v>6.5732749999999998</v>
      </c>
      <c r="F129">
        <f>_xll.BDP("SAMHX US Equity","LAST_CLOSE_TRR_YTD")</f>
        <v>9.2166429999999995</v>
      </c>
      <c r="G129">
        <f>_xll.BDP("SAMHX US Equity","LAST_CLOSE_TRR_1YR")</f>
        <v>9.3197720000000004</v>
      </c>
      <c r="H129">
        <f>_xll.BDP("SAMHX US Equity","LAST_CLOSE_TRR_3YR")</f>
        <v>6.6681800000000004</v>
      </c>
      <c r="I129">
        <f>_xll.BDP("SAMHX US Equity","LAST_CLOSE_TRR_5YR")</f>
        <v>8.0240349999999996</v>
      </c>
      <c r="J129" t="str">
        <f>_xll.BDP("SAMHX US Equity","PX_CLOSE_DT")</f>
        <v>12/24/2020</v>
      </c>
    </row>
    <row r="130" spans="1:10" x14ac:dyDescent="0.25">
      <c r="A130" t="s">
        <v>266</v>
      </c>
      <c r="B130" t="s">
        <v>267</v>
      </c>
      <c r="C130">
        <f>_xll.BDP("PHSIX US Equity","CUST_TRR_RETURN_ANNUALIZED","CUST_TRR_START_DT=20200626","CUST_TRR_END_DT=20201226")</f>
        <v>22.789190000000001</v>
      </c>
      <c r="D130">
        <f>_xll.BDP("PHSIX US Equity","LAST_CLOSE_TRR_1MO")</f>
        <v>1.5359350000000001</v>
      </c>
      <c r="E130">
        <f>_xll.BDP("PHSIX US Equity","LAST_CLOSE_TRR_3MO")</f>
        <v>7.2312969999999996</v>
      </c>
      <c r="F130">
        <f>_xll.BDP("PHSIX US Equity","LAST_CLOSE_TRR_YTD")</f>
        <v>5.6530699999999996</v>
      </c>
      <c r="G130">
        <f>_xll.BDP("PHSIX US Equity","LAST_CLOSE_TRR_1YR")</f>
        <v>5.7835580000000002</v>
      </c>
      <c r="H130">
        <f>_xll.BDP("PHSIX US Equity","LAST_CLOSE_TRR_3YR")</f>
        <v>5.7617139999999996</v>
      </c>
      <c r="I130">
        <f>_xll.BDP("PHSIX US Equity","LAST_CLOSE_TRR_5YR")</f>
        <v>8.0506089999999997</v>
      </c>
      <c r="J130" t="str">
        <f>_xll.BDP("PHSIX US Equity","PX_CLOSE_DT")</f>
        <v>12/24/2020</v>
      </c>
    </row>
    <row r="131" spans="1:10" x14ac:dyDescent="0.25">
      <c r="A131" t="s">
        <v>268</v>
      </c>
      <c r="B131" t="s">
        <v>269</v>
      </c>
      <c r="C131">
        <f>_xll.BDP("FSHNX US Equity","CUST_TRR_RETURN_ANNUALIZED","CUST_TRR_START_DT=20200626","CUST_TRR_END_DT=20201226")</f>
        <v>19.52317</v>
      </c>
      <c r="D131">
        <f>_xll.BDP("FSHNX US Equity","LAST_CLOSE_TRR_1MO")</f>
        <v>0.89035180000000003</v>
      </c>
      <c r="E131">
        <f>_xll.BDP("FSHNX US Equity","LAST_CLOSE_TRR_3MO")</f>
        <v>5.3280820000000002</v>
      </c>
      <c r="F131">
        <f>_xll.BDP("FSHNX US Equity","LAST_CLOSE_TRR_YTD")</f>
        <v>3.666569</v>
      </c>
      <c r="G131">
        <f>_xll.BDP("FSHNX US Equity","LAST_CLOSE_TRR_1YR")</f>
        <v>3.7771870000000001</v>
      </c>
      <c r="H131">
        <f>_xll.BDP("FSHNX US Equity","LAST_CLOSE_TRR_3YR")</f>
        <v>5.1589039999999997</v>
      </c>
      <c r="I131">
        <f>_xll.BDP("FSHNX US Equity","LAST_CLOSE_TRR_5YR")</f>
        <v>8.0974369999999993</v>
      </c>
      <c r="J131" t="str">
        <f>_xll.BDP("FSHNX US Equity","PX_CLOSE_DT")</f>
        <v>12/24/2020</v>
      </c>
    </row>
    <row r="132" spans="1:10" x14ac:dyDescent="0.25">
      <c r="A132" t="s">
        <v>270</v>
      </c>
      <c r="B132" t="s">
        <v>271</v>
      </c>
      <c r="C132">
        <f>_xll.BDP("JIHDX US Equity","CUST_TRR_RETURN_ANNUALIZED","CUST_TRR_START_DT=20200626","CUST_TRR_END_DT=20201226")</f>
        <v>23.514530000000001</v>
      </c>
      <c r="D132">
        <f>_xll.BDP("JIHDX US Equity","LAST_CLOSE_TRR_1MO")</f>
        <v>1.362112</v>
      </c>
      <c r="E132">
        <f>_xll.BDP("JIHDX US Equity","LAST_CLOSE_TRR_3MO")</f>
        <v>7.0820210000000001</v>
      </c>
      <c r="F132">
        <f>_xll.BDP("JIHDX US Equity","LAST_CLOSE_TRR_YTD")</f>
        <v>5.2075149999999999</v>
      </c>
      <c r="G132">
        <f>_xll.BDP("JIHDX US Equity","LAST_CLOSE_TRR_1YR")</f>
        <v>5.4672869999999998</v>
      </c>
      <c r="H132">
        <f>_xll.BDP("JIHDX US Equity","LAST_CLOSE_TRR_3YR")</f>
        <v>5.6750879999999997</v>
      </c>
      <c r="I132">
        <f>_xll.BDP("JIHDX US Equity","LAST_CLOSE_TRR_5YR")</f>
        <v>8.1698400000000007</v>
      </c>
      <c r="J132" t="str">
        <f>_xll.BDP("JIHDX US Equity","PX_CLOSE_DT")</f>
        <v>12/24/2020</v>
      </c>
    </row>
    <row r="133" spans="1:10" x14ac:dyDescent="0.25">
      <c r="A133" t="s">
        <v>272</v>
      </c>
      <c r="B133" t="s">
        <v>273</v>
      </c>
      <c r="C133">
        <f>_xll.BDP("PBHAX US Equity","CUST_TRR_RETURN_ANNUALIZED","CUST_TRR_START_DT=20200626","CUST_TRR_END_DT=20201226")</f>
        <v>21.125599999999999</v>
      </c>
      <c r="D133">
        <f>_xll.BDP("PBHAX US Equity","LAST_CLOSE_TRR_1MO")</f>
        <v>1.663278</v>
      </c>
      <c r="E133">
        <f>_xll.BDP("PBHAX US Equity","LAST_CLOSE_TRR_3MO")</f>
        <v>6.1259769999999998</v>
      </c>
      <c r="F133">
        <f>_xll.BDP("PBHAX US Equity","LAST_CLOSE_TRR_YTD")</f>
        <v>4.7875779999999999</v>
      </c>
      <c r="G133">
        <f>_xll.BDP("PBHAX US Equity","LAST_CLOSE_TRR_1YR")</f>
        <v>4.8876660000000003</v>
      </c>
      <c r="H133">
        <f>_xll.BDP("PBHAX US Equity","LAST_CLOSE_TRR_3YR")</f>
        <v>6.1833980000000004</v>
      </c>
      <c r="I133">
        <f>_xll.BDP("PBHAX US Equity","LAST_CLOSE_TRR_5YR")</f>
        <v>8.189959</v>
      </c>
      <c r="J133" t="str">
        <f>_xll.BDP("PBHAX US Equity","PX_CLOSE_DT")</f>
        <v>12/24/2020</v>
      </c>
    </row>
    <row r="134" spans="1:10" x14ac:dyDescent="0.25">
      <c r="A134" t="s">
        <v>274</v>
      </c>
      <c r="B134" t="s">
        <v>275</v>
      </c>
      <c r="C134">
        <f>_xll.BDP("RPIHX US Equity","CUST_TRR_RETURN_ANNUALIZED","CUST_TRR_START_DT=20200626","CUST_TRR_END_DT=20201226")</f>
        <v>22.24934</v>
      </c>
      <c r="D134">
        <f>_xll.BDP("RPIHX US Equity","LAST_CLOSE_TRR_1MO")</f>
        <v>1.6731849999999999</v>
      </c>
      <c r="E134">
        <f>_xll.BDP("RPIHX US Equity","LAST_CLOSE_TRR_3MO")</f>
        <v>6.5276699999999996</v>
      </c>
      <c r="F134">
        <f>_xll.BDP("RPIHX US Equity","LAST_CLOSE_TRR_YTD")</f>
        <v>5.4550429999999999</v>
      </c>
      <c r="G134">
        <f>_xll.BDP("RPIHX US Equity","LAST_CLOSE_TRR_1YR")</f>
        <v>5.567062</v>
      </c>
      <c r="H134">
        <f>_xll.BDP("RPIHX US Equity","LAST_CLOSE_TRR_3YR")</f>
        <v>5.8581950000000003</v>
      </c>
      <c r="I134">
        <f>_xll.BDP("RPIHX US Equity","LAST_CLOSE_TRR_5YR")</f>
        <v>8.2583590000000004</v>
      </c>
      <c r="J134" t="str">
        <f>_xll.BDP("RPIHX US Equity","PX_CLOSE_DT")</f>
        <v>12/24/2020</v>
      </c>
    </row>
    <row r="135" spans="1:10" x14ac:dyDescent="0.25">
      <c r="A135" t="s">
        <v>276</v>
      </c>
      <c r="B135" t="s">
        <v>277</v>
      </c>
      <c r="C135">
        <f>_xll.BDP("SGYAX US Equity","CUST_TRR_RETURN_ANNUALIZED","CUST_TRR_START_DT=20200626","CUST_TRR_END_DT=20201226")</f>
        <v>28.493880000000001</v>
      </c>
      <c r="D135">
        <f>_xll.BDP("SGYAX US Equity","LAST_CLOSE_TRR_1MO")</f>
        <v>2.0807250000000002</v>
      </c>
      <c r="E135">
        <f>_xll.BDP("SGYAX US Equity","LAST_CLOSE_TRR_3MO")</f>
        <v>7.9900969999999996</v>
      </c>
      <c r="F135">
        <f>_xll.BDP("SGYAX US Equity","LAST_CLOSE_TRR_YTD")</f>
        <v>4.6918600000000001</v>
      </c>
      <c r="G135">
        <f>_xll.BDP("SGYAX US Equity","LAST_CLOSE_TRR_1YR")</f>
        <v>5.3721769999999998</v>
      </c>
      <c r="H135">
        <f>_xll.BDP("SGYAX US Equity","LAST_CLOSE_TRR_3YR")</f>
        <v>5.54514</v>
      </c>
      <c r="I135">
        <f>_xll.BDP("SGYAX US Equity","LAST_CLOSE_TRR_5YR")</f>
        <v>8.2838659999999997</v>
      </c>
      <c r="J135" t="str">
        <f>_xll.BDP("SGYAX US Equity","PX_CLOSE_DT")</f>
        <v>12/24/2020</v>
      </c>
    </row>
    <row r="136" spans="1:10" x14ac:dyDescent="0.25">
      <c r="A136" t="s">
        <v>278</v>
      </c>
      <c r="B136" t="s">
        <v>279</v>
      </c>
      <c r="C136">
        <f>_xll.BDP("HCHYX US Equity","CUST_TRR_RETURN_ANNUALIZED","CUST_TRR_START_DT=20200626","CUST_TRR_END_DT=20201226")</f>
        <v>17.94708</v>
      </c>
      <c r="D136">
        <f>_xll.BDP("HCHYX US Equity","LAST_CLOSE_TRR_1MO")</f>
        <v>0.9198423</v>
      </c>
      <c r="E136">
        <f>_xll.BDP("HCHYX US Equity","LAST_CLOSE_TRR_3MO")</f>
        <v>5.3497940000000002</v>
      </c>
      <c r="F136">
        <f>_xll.BDP("HCHYX US Equity","LAST_CLOSE_TRR_YTD")</f>
        <v>11.13401</v>
      </c>
      <c r="G136">
        <f>_xll.BDP("HCHYX US Equity","LAST_CLOSE_TRR_1YR")</f>
        <v>11.29461</v>
      </c>
      <c r="H136">
        <f>_xll.BDP("HCHYX US Equity","LAST_CLOSE_TRR_3YR")</f>
        <v>7.4944860000000002</v>
      </c>
      <c r="I136">
        <f>_xll.BDP("HCHYX US Equity","LAST_CLOSE_TRR_5YR")</f>
        <v>8.3116459999999996</v>
      </c>
      <c r="J136" t="str">
        <f>_xll.BDP("HCHYX US Equity","PX_CLOSE_DT")</f>
        <v>12/24/2020</v>
      </c>
    </row>
    <row r="137" spans="1:10" x14ac:dyDescent="0.25">
      <c r="A137" t="s">
        <v>280</v>
      </c>
      <c r="B137" t="s">
        <v>281</v>
      </c>
      <c r="C137">
        <f>_xll.BDP("TUHAX US Equity","CUST_TRR_RETURN_ANNUALIZED","CUST_TRR_START_DT=20200626","CUST_TRR_END_DT=20201226")</f>
        <v>20.47559</v>
      </c>
      <c r="D137">
        <f>_xll.BDP("TUHAX US Equity","LAST_CLOSE_TRR_1MO")</f>
        <v>1.045382</v>
      </c>
      <c r="E137">
        <f>_xll.BDP("TUHAX US Equity","LAST_CLOSE_TRR_3MO")</f>
        <v>6.355912</v>
      </c>
      <c r="F137">
        <f>_xll.BDP("TUHAX US Equity","LAST_CLOSE_TRR_YTD")</f>
        <v>6.2970680000000003</v>
      </c>
      <c r="G137">
        <f>_xll.BDP("TUHAX US Equity","LAST_CLOSE_TRR_1YR")</f>
        <v>6.5026869999999999</v>
      </c>
      <c r="H137">
        <f>_xll.BDP("TUHAX US Equity","LAST_CLOSE_TRR_3YR")</f>
        <v>5.8771909999999998</v>
      </c>
      <c r="I137">
        <f>_xll.BDP("TUHAX US Equity","LAST_CLOSE_TRR_5YR")</f>
        <v>8.3646130000000003</v>
      </c>
      <c r="J137" t="str">
        <f>_xll.BDP("TUHAX US Equity","PX_CLOSE_DT")</f>
        <v>12/24/2020</v>
      </c>
    </row>
    <row r="138" spans="1:10" x14ac:dyDescent="0.25">
      <c r="A138" t="s">
        <v>282</v>
      </c>
      <c r="B138" t="s">
        <v>283</v>
      </c>
      <c r="C138">
        <f>_xll.BDP("HIYYX US Equity","CUST_TRR_RETURN_ANNUALIZED","CUST_TRR_START_DT=20200626","CUST_TRR_END_DT=20201226")</f>
        <v>26.032689999999999</v>
      </c>
      <c r="D138">
        <f>_xll.BDP("HIYYX US Equity","LAST_CLOSE_TRR_1MO")</f>
        <v>2.2774329999999998</v>
      </c>
      <c r="E138">
        <f>_xll.BDP("HIYYX US Equity","LAST_CLOSE_TRR_3MO")</f>
        <v>7.9115029999999997</v>
      </c>
      <c r="F138">
        <f>_xll.BDP("HIYYX US Equity","LAST_CLOSE_TRR_YTD")</f>
        <v>8.2797990000000006</v>
      </c>
      <c r="G138">
        <f>_xll.BDP("HIYYX US Equity","LAST_CLOSE_TRR_1YR")</f>
        <v>8.4710129999999992</v>
      </c>
      <c r="H138">
        <f>_xll.BDP("HIYYX US Equity","LAST_CLOSE_TRR_3YR")</f>
        <v>6.8569060000000004</v>
      </c>
      <c r="I138">
        <f>_xll.BDP("HIYYX US Equity","LAST_CLOSE_TRR_5YR")</f>
        <v>8.4055809999999997</v>
      </c>
      <c r="J138" t="str">
        <f>_xll.BDP("HIYYX US Equity","PX_CLOSE_DT")</f>
        <v>12/24/2020</v>
      </c>
    </row>
    <row r="139" spans="1:10" x14ac:dyDescent="0.25">
      <c r="A139" t="s">
        <v>284</v>
      </c>
      <c r="B139" t="s">
        <v>285</v>
      </c>
      <c r="C139">
        <f>_xll.BDP("FAHYX US Equity","CUST_TRR_RETURN_ANNUALIZED","CUST_TRR_START_DT=20200626","CUST_TRR_END_DT=20201226")</f>
        <v>35.051650000000002</v>
      </c>
      <c r="D139">
        <f>_xll.BDP("FAHYX US Equity","LAST_CLOSE_TRR_1MO")</f>
        <v>2.3136999999999999</v>
      </c>
      <c r="E139">
        <f>_xll.BDP("FAHYX US Equity","LAST_CLOSE_TRR_3MO")</f>
        <v>9.9865670000000009</v>
      </c>
      <c r="F139">
        <f>_xll.BDP("FAHYX US Equity","LAST_CLOSE_TRR_YTD")</f>
        <v>7.6613309999999997</v>
      </c>
      <c r="G139">
        <f>_xll.BDP("FAHYX US Equity","LAST_CLOSE_TRR_1YR")</f>
        <v>7.449198</v>
      </c>
      <c r="H139">
        <f>_xll.BDP("FAHYX US Equity","LAST_CLOSE_TRR_3YR")</f>
        <v>5.7556250000000002</v>
      </c>
      <c r="I139">
        <f>_xll.BDP("FAHYX US Equity","LAST_CLOSE_TRR_5YR")</f>
        <v>8.4616159999999994</v>
      </c>
      <c r="J139" t="str">
        <f>_xll.BDP("FAHYX US Equity","PX_CLOSE_DT")</f>
        <v>12/24/2020</v>
      </c>
    </row>
    <row r="140" spans="1:10" x14ac:dyDescent="0.25">
      <c r="A140" t="s">
        <v>286</v>
      </c>
      <c r="B140" t="s">
        <v>287</v>
      </c>
      <c r="C140">
        <f>_xll.BDP("MXHYX US Equity","CUST_TRR_RETURN_ANNUALIZED","CUST_TRR_START_DT=20200626","CUST_TRR_END_DT=20201226")</f>
        <v>26.369710000000001</v>
      </c>
      <c r="D140">
        <f>_xll.BDP("MXHYX US Equity","LAST_CLOSE_TRR_1MO")</f>
        <v>2.1660650000000001</v>
      </c>
      <c r="E140">
        <f>_xll.BDP("MXHYX US Equity","LAST_CLOSE_TRR_3MO")</f>
        <v>7.741117</v>
      </c>
      <c r="F140">
        <f>_xll.BDP("MXHYX US Equity","LAST_CLOSE_TRR_YTD")</f>
        <v>10.66845</v>
      </c>
      <c r="G140">
        <f>_xll.BDP("MXHYX US Equity","LAST_CLOSE_TRR_1YR")</f>
        <v>10.465669999999999</v>
      </c>
      <c r="H140">
        <f>_xll.BDP("MXHYX US Equity","LAST_CLOSE_TRR_3YR")</f>
        <v>6.8464660000000004</v>
      </c>
      <c r="I140">
        <f>_xll.BDP("MXHYX US Equity","LAST_CLOSE_TRR_5YR")</f>
        <v>8.489058</v>
      </c>
      <c r="J140" t="str">
        <f>_xll.BDP("MXHYX US Equity","PX_CLOSE_DT")</f>
        <v>12/24/2020</v>
      </c>
    </row>
    <row r="141" spans="1:10" x14ac:dyDescent="0.25">
      <c r="A141" t="s">
        <v>288</v>
      </c>
      <c r="B141" t="s">
        <v>289</v>
      </c>
      <c r="C141">
        <f>_xll.BDP("FHAIX US Equity","CUST_TRR_RETURN_ANNUALIZED","CUST_TRR_START_DT=20200626","CUST_TRR_END_DT=20201226")</f>
        <v>20.374829999999999</v>
      </c>
      <c r="D141">
        <f>_xll.BDP("FHAIX US Equity","LAST_CLOSE_TRR_1MO")</f>
        <v>1.504567</v>
      </c>
      <c r="E141">
        <f>_xll.BDP("FHAIX US Equity","LAST_CLOSE_TRR_3MO")</f>
        <v>6.4254179999999996</v>
      </c>
      <c r="F141">
        <f>_xll.BDP("FHAIX US Equity","LAST_CLOSE_TRR_YTD")</f>
        <v>6.2734519999999998</v>
      </c>
      <c r="G141">
        <f>_xll.BDP("FHAIX US Equity","LAST_CLOSE_TRR_1YR")</f>
        <v>6.1711559999999999</v>
      </c>
      <c r="H141">
        <f>_xll.BDP("FHAIX US Equity","LAST_CLOSE_TRR_3YR")</f>
        <v>5.596006</v>
      </c>
      <c r="I141">
        <f>_xll.BDP("FHAIX US Equity","LAST_CLOSE_TRR_5YR")</f>
        <v>8.5282999999999998</v>
      </c>
      <c r="J141" t="str">
        <f>_xll.BDP("FHAIX US Equity","PX_CLOSE_DT")</f>
        <v>12/24/2020</v>
      </c>
    </row>
    <row r="142" spans="1:10" x14ac:dyDescent="0.25">
      <c r="A142" t="s">
        <v>290</v>
      </c>
      <c r="B142" t="s">
        <v>291</v>
      </c>
      <c r="C142">
        <f>_xll.BDP("FAGIX US Equity","CUST_TRR_RETURN_ANNUALIZED","CUST_TRR_START_DT=20200626","CUST_TRR_END_DT=20201226")</f>
        <v>34.945749999999997</v>
      </c>
      <c r="D142">
        <f>_xll.BDP("FAGIX US Equity","LAST_CLOSE_TRR_1MO")</f>
        <v>2.417446</v>
      </c>
      <c r="E142">
        <f>_xll.BDP("FAGIX US Equity","LAST_CLOSE_TRR_3MO")</f>
        <v>10.163410000000001</v>
      </c>
      <c r="F142">
        <f>_xll.BDP("FAGIX US Equity","LAST_CLOSE_TRR_YTD")</f>
        <v>9.2350949999999994</v>
      </c>
      <c r="G142">
        <f>_xll.BDP("FAGIX US Equity","LAST_CLOSE_TRR_1YR")</f>
        <v>9.1815610000000003</v>
      </c>
      <c r="H142">
        <f>_xll.BDP("FAGIX US Equity","LAST_CLOSE_TRR_3YR")</f>
        <v>6.8599329999999998</v>
      </c>
      <c r="I142">
        <f>_xll.BDP("FAGIX US Equity","LAST_CLOSE_TRR_5YR")</f>
        <v>8.5693450000000002</v>
      </c>
      <c r="J142" t="str">
        <f>_xll.BDP("FAGIX US Equity","PX_CLOSE_DT")</f>
        <v>12/24/2020</v>
      </c>
    </row>
    <row r="143" spans="1:10" x14ac:dyDescent="0.25">
      <c r="A143" t="s">
        <v>292</v>
      </c>
      <c r="B143" t="s">
        <v>293</v>
      </c>
      <c r="C143">
        <f>_xll.BDP("LSIOX US Equity","CUST_TRR_RETURN_ANNUALIZED","CUST_TRR_START_DT=20200626","CUST_TRR_END_DT=20201226")</f>
        <v>25.102789999999999</v>
      </c>
      <c r="D143">
        <f>_xll.BDP("LSIOX US Equity","LAST_CLOSE_TRR_1MO")</f>
        <v>1.726559</v>
      </c>
      <c r="E143">
        <f>_xll.BDP("LSIOX US Equity","LAST_CLOSE_TRR_3MO")</f>
        <v>7.8896459999999999</v>
      </c>
      <c r="F143">
        <f>_xll.BDP("LSIOX US Equity","LAST_CLOSE_TRR_YTD")</f>
        <v>8.5408229999999996</v>
      </c>
      <c r="G143">
        <f>_xll.BDP("LSIOX US Equity","LAST_CLOSE_TRR_1YR")</f>
        <v>8.6437050000000006</v>
      </c>
      <c r="H143">
        <f>_xll.BDP("LSIOX US Equity","LAST_CLOSE_TRR_3YR")</f>
        <v>6.347207</v>
      </c>
      <c r="I143">
        <f>_xll.BDP("LSIOX US Equity","LAST_CLOSE_TRR_5YR")</f>
        <v>8.6244239999999994</v>
      </c>
      <c r="J143" t="str">
        <f>_xll.BDP("LSIOX US Equity","PX_CLOSE_DT")</f>
        <v>12/24/2020</v>
      </c>
    </row>
    <row r="144" spans="1:10" x14ac:dyDescent="0.25">
      <c r="A144" t="s">
        <v>294</v>
      </c>
      <c r="B144" t="s">
        <v>295</v>
      </c>
      <c r="C144">
        <f>_xll.BDP("APDFX US Equity","CUST_TRR_RETURN_ANNUALIZED","CUST_TRR_START_DT=20200626","CUST_TRR_END_DT=20201226")</f>
        <v>27.557739999999999</v>
      </c>
      <c r="D144">
        <f>_xll.BDP("APDFX US Equity","LAST_CLOSE_TRR_1MO")</f>
        <v>2.565995</v>
      </c>
      <c r="E144">
        <f>_xll.BDP("APDFX US Equity","LAST_CLOSE_TRR_3MO")</f>
        <v>7.7587929999999998</v>
      </c>
      <c r="F144">
        <f>_xll.BDP("APDFX US Equity","LAST_CLOSE_TRR_YTD")</f>
        <v>9.7020890000000009</v>
      </c>
      <c r="G144">
        <f>_xll.BDP("APDFX US Equity","LAST_CLOSE_TRR_1YR")</f>
        <v>9.7045349999999999</v>
      </c>
      <c r="H144">
        <f>_xll.BDP("APDFX US Equity","LAST_CLOSE_TRR_3YR")</f>
        <v>7.445074</v>
      </c>
      <c r="I144">
        <f>_xll.BDP("APDFX US Equity","LAST_CLOSE_TRR_5YR")</f>
        <v>9.2457550000000008</v>
      </c>
      <c r="J144" t="str">
        <f>_xll.BDP("APDFX US Equity","PX_CLOSE_DT")</f>
        <v>12/24/2020</v>
      </c>
    </row>
    <row r="145" spans="1:10" x14ac:dyDescent="0.25">
      <c r="A145" t="s">
        <v>296</v>
      </c>
      <c r="B145" t="s">
        <v>297</v>
      </c>
      <c r="C145">
        <f>_xll.BDP("GUHYX US Equity","CUST_TRR_RETURN_ANNUALIZED","CUST_TRR_START_DT=20200626","CUST_TRR_END_DT=20201226")</f>
        <v>28.065110000000001</v>
      </c>
      <c r="D145">
        <f>_xll.BDP("GUHYX US Equity","LAST_CLOSE_TRR_1MO")</f>
        <v>1.514467</v>
      </c>
      <c r="E145">
        <f>_xll.BDP("GUHYX US Equity","LAST_CLOSE_TRR_3MO")</f>
        <v>7.2798600000000002</v>
      </c>
      <c r="F145">
        <f>_xll.BDP("GUHYX US Equity","LAST_CLOSE_TRR_YTD")</f>
        <v>6.5865989999999996</v>
      </c>
      <c r="G145">
        <f>_xll.BDP("GUHYX US Equity","LAST_CLOSE_TRR_1YR")</f>
        <v>6.9345400000000001</v>
      </c>
      <c r="H145">
        <f>_xll.BDP("GUHYX US Equity","LAST_CLOSE_TRR_3YR")</f>
        <v>7.0631459999999997</v>
      </c>
      <c r="I145">
        <f>_xll.BDP("GUHYX US Equity","LAST_CLOSE_TRR_5YR")</f>
        <v>9.3389760000000006</v>
      </c>
      <c r="J145" t="str">
        <f>_xll.BDP("GUHYX US Equity","PX_CLOSE_DT")</f>
        <v>12/24/2020</v>
      </c>
    </row>
    <row r="146" spans="1:10" x14ac:dyDescent="0.25">
      <c r="A146" t="s">
        <v>298</v>
      </c>
      <c r="B146" t="s">
        <v>299</v>
      </c>
      <c r="C146">
        <f>_xll.BDP("HIIFX US Equity","CUST_TRR_RETURN_ANNUALIZED","CUST_TRR_START_DT=20200626","CUST_TRR_END_DT=20201226")</f>
        <v>32.187399999999997</v>
      </c>
      <c r="D146">
        <f>_xll.BDP("HIIFX US Equity","LAST_CLOSE_TRR_1MO")</f>
        <v>1.78538</v>
      </c>
      <c r="E146">
        <f>_xll.BDP("HIIFX US Equity","LAST_CLOSE_TRR_3MO")</f>
        <v>7.0724140000000002</v>
      </c>
      <c r="F146">
        <f>_xll.BDP("HIIFX US Equity","LAST_CLOSE_TRR_YTD")</f>
        <v>9.4563489999999994</v>
      </c>
      <c r="G146">
        <f>_xll.BDP("HIIFX US Equity","LAST_CLOSE_TRR_1YR")</f>
        <v>9.3763290000000001</v>
      </c>
      <c r="H146">
        <f>_xll.BDP("HIIFX US Equity","LAST_CLOSE_TRR_3YR")</f>
        <v>5.3883520000000003</v>
      </c>
      <c r="I146">
        <f>_xll.BDP("HIIFX US Equity","LAST_CLOSE_TRR_5YR")</f>
        <v>12.47611</v>
      </c>
      <c r="J146" t="str">
        <f>_xll.BDP("HIIFX US Equity","PX_CLOSE_DT")</f>
        <v>12/24/2020</v>
      </c>
    </row>
    <row r="147" spans="1:10" x14ac:dyDescent="0.25">
      <c r="A147" t="s">
        <v>300</v>
      </c>
      <c r="B147" t="s">
        <v>301</v>
      </c>
      <c r="C147" t="str">
        <f>_xll.BDP("GHIAX US Equity","CUST_TRR_RETURN_ANNUALIZED","CUST_TRR_START_DT=20200626","CUST_TRR_END_DT=20201226")</f>
        <v>#N/A N/A</v>
      </c>
      <c r="D147" t="str">
        <f>_xll.BDP("GHIAX US Equity","LAST_CLOSE_TRR_1MO")</f>
        <v>#N/A N/A</v>
      </c>
      <c r="E147" t="str">
        <f>_xll.BDP("GHIAX US Equity","LAST_CLOSE_TRR_3MO")</f>
        <v>#N/A N/A</v>
      </c>
      <c r="F147" t="str">
        <f>_xll.BDP("GHIAX US Equity","LAST_CLOSE_TRR_YTD")</f>
        <v>#N/A N/A</v>
      </c>
      <c r="G147" t="str">
        <f>_xll.BDP("GHIAX US Equity","LAST_CLOSE_TRR_1YR")</f>
        <v>#N/A N/A</v>
      </c>
      <c r="H147" t="str">
        <f>_xll.BDP("GHIAX US Equity","LAST_CLOSE_TRR_3YR")</f>
        <v>#N/A N/A</v>
      </c>
      <c r="I147" t="str">
        <f>_xll.BDP("GHIAX US Equity","LAST_CLOSE_TRR_5YR")</f>
        <v>#N/A N/A</v>
      </c>
      <c r="J147" t="str">
        <f>_xll.BDP("GHIAX US Equity","PX_CLOSE_DT")</f>
        <v>#N/A N/A</v>
      </c>
    </row>
    <row r="148" spans="1:10" x14ac:dyDescent="0.25">
      <c r="A148" t="s">
        <v>302</v>
      </c>
      <c r="B148" t="s">
        <v>303</v>
      </c>
      <c r="C148">
        <f>_xll.BDP("RCRAX US Equity","CUST_TRR_RETURN_ANNUALIZED","CUST_TRR_START_DT=20200626","CUST_TRR_END_DT=20201226")</f>
        <v>-2.116501</v>
      </c>
      <c r="D148">
        <f>_xll.BDP("RCRAX US Equity","LAST_CLOSE_TRR_1MO")</f>
        <v>1.3020149999999999</v>
      </c>
      <c r="E148">
        <f>_xll.BDP("RCRAX US Equity","LAST_CLOSE_TRR_3MO")</f>
        <v>-4.7624279999999999</v>
      </c>
      <c r="F148">
        <f>_xll.BDP("RCRAX US Equity","LAST_CLOSE_TRR_YTD")</f>
        <v>-7.6194290000000002</v>
      </c>
      <c r="G148">
        <f>_xll.BDP("RCRAX US Equity","LAST_CLOSE_TRR_1YR")</f>
        <v>-7.8904290000000001</v>
      </c>
      <c r="H148">
        <f>_xll.BDP("RCRAX US Equity","LAST_CLOSE_TRR_3YR")</f>
        <v>1.0032509999999999</v>
      </c>
      <c r="I148" t="str">
        <f>_xll.BDP("RCRAX US Equity","LAST_CLOSE_TRR_5YR")</f>
        <v>#N/A N/A</v>
      </c>
      <c r="J148" t="str">
        <f>_xll.BDP("RCRAX US Equity","PX_CLOSE_DT")</f>
        <v>12/24/2020</v>
      </c>
    </row>
    <row r="149" spans="1:10" x14ac:dyDescent="0.25">
      <c r="A149" t="s">
        <v>304</v>
      </c>
      <c r="B149" t="s">
        <v>305</v>
      </c>
      <c r="C149">
        <f>_xll.BDP("MZHSX US Equity","CUST_TRR_RETURN_ANNUALIZED","CUST_TRR_START_DT=20200626","CUST_TRR_END_DT=20201226")</f>
        <v>19.18188</v>
      </c>
      <c r="D149">
        <f>_xll.BDP("MZHSX US Equity","LAST_CLOSE_TRR_1MO")</f>
        <v>1.3230390000000001</v>
      </c>
      <c r="E149">
        <f>_xll.BDP("MZHSX US Equity","LAST_CLOSE_TRR_3MO")</f>
        <v>5.700456</v>
      </c>
      <c r="F149">
        <f>_xll.BDP("MZHSX US Equity","LAST_CLOSE_TRR_YTD")</f>
        <v>6.3355300000000003</v>
      </c>
      <c r="G149">
        <f>_xll.BDP("MZHSX US Equity","LAST_CLOSE_TRR_1YR")</f>
        <v>6.4860069999999999</v>
      </c>
      <c r="H149">
        <f>_xll.BDP("MZHSX US Equity","LAST_CLOSE_TRR_3YR")</f>
        <v>5.6549820000000004</v>
      </c>
      <c r="I149" t="str">
        <f>_xll.BDP("MZHSX US Equity","LAST_CLOSE_TRR_5YR")</f>
        <v>#N/A N/A</v>
      </c>
      <c r="J149" t="str">
        <f>_xll.BDP("MZHSX US Equity","PX_CLOSE_DT")</f>
        <v>12/24/2020</v>
      </c>
    </row>
    <row r="150" spans="1:10" x14ac:dyDescent="0.25">
      <c r="A150" t="s">
        <v>306</v>
      </c>
      <c r="B150" t="s">
        <v>307</v>
      </c>
      <c r="C150" t="str">
        <f>_xll.BDP("HVHYX US Equity","CUST_TRR_RETURN_ANNUALIZED","CUST_TRR_START_DT=20200626","CUST_TRR_END_DT=20201226")</f>
        <v>#N/A N/A</v>
      </c>
      <c r="D150" t="str">
        <f>_xll.BDP("HVHYX US Equity","LAST_CLOSE_TRR_1MO")</f>
        <v>#N/A N/A</v>
      </c>
      <c r="E150" t="str">
        <f>_xll.BDP("HVHYX US Equity","LAST_CLOSE_TRR_3MO")</f>
        <v>#N/A N/A</v>
      </c>
      <c r="F150" t="str">
        <f>_xll.BDP("HVHYX US Equity","LAST_CLOSE_TRR_YTD")</f>
        <v>#N/A N/A</v>
      </c>
      <c r="G150" t="str">
        <f>_xll.BDP("HVHYX US Equity","LAST_CLOSE_TRR_1YR")</f>
        <v>#N/A N/A</v>
      </c>
      <c r="H150" t="str">
        <f>_xll.BDP("HVHYX US Equity","LAST_CLOSE_TRR_3YR")</f>
        <v>#N/A N/A</v>
      </c>
      <c r="I150" t="str">
        <f>_xll.BDP("HVHYX US Equity","LAST_CLOSE_TRR_5YR")</f>
        <v>#N/A N/A</v>
      </c>
      <c r="J150" t="str">
        <f>_xll.BDP("HVHYX US Equity","PX_CLOSE_DT")</f>
        <v>#N/A N/A</v>
      </c>
    </row>
    <row r="151" spans="1:10" x14ac:dyDescent="0.25">
      <c r="A151" t="s">
        <v>308</v>
      </c>
      <c r="B151" t="s">
        <v>309</v>
      </c>
      <c r="C151">
        <f>_xll.BDP("DHHAX US Equity","CUST_TRR_RETURN_ANNUALIZED","CUST_TRR_START_DT=20200626","CUST_TRR_END_DT=20201226")</f>
        <v>24.962289999999999</v>
      </c>
      <c r="D151">
        <f>_xll.BDP("DHHAX US Equity","LAST_CLOSE_TRR_1MO")</f>
        <v>1.539663</v>
      </c>
      <c r="E151">
        <f>_xll.BDP("DHHAX US Equity","LAST_CLOSE_TRR_3MO")</f>
        <v>6.6874589999999996</v>
      </c>
      <c r="F151">
        <f>_xll.BDP("DHHAX US Equity","LAST_CLOSE_TRR_YTD")</f>
        <v>12.78153</v>
      </c>
      <c r="G151">
        <f>_xll.BDP("DHHAX US Equity","LAST_CLOSE_TRR_1YR")</f>
        <v>12.86267</v>
      </c>
      <c r="H151">
        <f>_xll.BDP("DHHAX US Equity","LAST_CLOSE_TRR_3YR")</f>
        <v>9.4108339999999995</v>
      </c>
      <c r="I151" t="str">
        <f>_xll.BDP("DHHAX US Equity","LAST_CLOSE_TRR_5YR")</f>
        <v>#N/A N/A</v>
      </c>
      <c r="J151" t="str">
        <f>_xll.BDP("DHHAX US Equity","PX_CLOSE_DT")</f>
        <v>12/24/2020</v>
      </c>
    </row>
    <row r="152" spans="1:10" x14ac:dyDescent="0.25">
      <c r="A152" t="s">
        <v>310</v>
      </c>
      <c r="B152" t="s">
        <v>311</v>
      </c>
      <c r="C152">
        <f>_xll.BDP("DXHYX US Equity","CUST_TRR_RETURN_ANNUALIZED","CUST_TRR_START_DT=20200626","CUST_TRR_END_DT=20201226")</f>
        <v>23.45421</v>
      </c>
      <c r="D152">
        <f>_xll.BDP("DXHYX US Equity","LAST_CLOSE_TRR_1MO")</f>
        <v>1.9416819999999999</v>
      </c>
      <c r="E152">
        <f>_xll.BDP("DXHYX US Equity","LAST_CLOSE_TRR_3MO")</f>
        <v>7.5255010000000002</v>
      </c>
      <c r="F152">
        <f>_xll.BDP("DXHYX US Equity","LAST_CLOSE_TRR_YTD")</f>
        <v>1.9601139999999999</v>
      </c>
      <c r="G152">
        <f>_xll.BDP("DXHYX US Equity","LAST_CLOSE_TRR_1YR")</f>
        <v>2.0658020000000001</v>
      </c>
      <c r="H152">
        <f>_xll.BDP("DXHYX US Equity","LAST_CLOSE_TRR_3YR")</f>
        <v>3.5077240000000001</v>
      </c>
      <c r="I152" t="str">
        <f>_xll.BDP("DXHYX US Equity","LAST_CLOSE_TRR_5YR")</f>
        <v>#N/A N/A</v>
      </c>
      <c r="J152" t="str">
        <f>_xll.BDP("DXHYX US Equity","PX_CLOSE_DT")</f>
        <v>12/24/2020</v>
      </c>
    </row>
    <row r="153" spans="1:10" x14ac:dyDescent="0.25">
      <c r="A153" t="s">
        <v>312</v>
      </c>
      <c r="B153" t="s">
        <v>313</v>
      </c>
      <c r="C153" t="str">
        <f>_xll.BDP("EVAASFL US Equity","CUST_TRR_RETURN_ANNUALIZED","CUST_TRR_START_DT=20200626","CUST_TRR_END_DT=20201226")</f>
        <v>#N/A N/A</v>
      </c>
      <c r="D153" t="str">
        <f>_xll.BDP("EVAASFL US Equity","LAST_CLOSE_TRR_1MO")</f>
        <v>#N/A N/A</v>
      </c>
      <c r="E153" t="str">
        <f>_xll.BDP("EVAASFL US Equity","LAST_CLOSE_TRR_3MO")</f>
        <v>#N/A N/A</v>
      </c>
      <c r="F153" t="str">
        <f>_xll.BDP("EVAASFL US Equity","LAST_CLOSE_TRR_YTD")</f>
        <v>#N/A N/A</v>
      </c>
      <c r="G153" t="str">
        <f>_xll.BDP("EVAASFL US Equity","LAST_CLOSE_TRR_1YR")</f>
        <v>#N/A N/A</v>
      </c>
      <c r="H153" t="str">
        <f>_xll.BDP("EVAASFL US Equity","LAST_CLOSE_TRR_3YR")</f>
        <v>#N/A N/A</v>
      </c>
      <c r="I153" t="str">
        <f>_xll.BDP("EVAASFL US Equity","LAST_CLOSE_TRR_5YR")</f>
        <v>#N/A N/A</v>
      </c>
      <c r="J153" t="str">
        <f>_xll.BDP("EVAASFL US Equity","PX_CLOSE_DT")</f>
        <v>#N/A N/A</v>
      </c>
    </row>
    <row r="154" spans="1:10" x14ac:dyDescent="0.25">
      <c r="A154" t="s">
        <v>314</v>
      </c>
      <c r="B154" t="s">
        <v>315</v>
      </c>
      <c r="C154">
        <f>_xll.BDP("IAIRX US Equity","CUST_TRR_RETURN_ANNUALIZED","CUST_TRR_START_DT=20200626","CUST_TRR_END_DT=20201226")</f>
        <v>19.813130000000001</v>
      </c>
      <c r="D154">
        <f>_xll.BDP("IAIRX US Equity","LAST_CLOSE_TRR_1MO")</f>
        <v>0.85341140000000004</v>
      </c>
      <c r="E154">
        <f>_xll.BDP("IAIRX US Equity","LAST_CLOSE_TRR_3MO")</f>
        <v>6.0774030000000003</v>
      </c>
      <c r="F154">
        <f>_xll.BDP("IAIRX US Equity","LAST_CLOSE_TRR_YTD")</f>
        <v>-0.1725563</v>
      </c>
      <c r="G154">
        <f>_xll.BDP("IAIRX US Equity","LAST_CLOSE_TRR_1YR")</f>
        <v>-0.27686919999999998</v>
      </c>
      <c r="H154">
        <f>_xll.BDP("IAIRX US Equity","LAST_CLOSE_TRR_3YR")</f>
        <v>2.6133060000000001</v>
      </c>
      <c r="I154" t="str">
        <f>_xll.BDP("IAIRX US Equity","LAST_CLOSE_TRR_5YR")</f>
        <v>#N/A N/A</v>
      </c>
      <c r="J154" t="str">
        <f>_xll.BDP("IAIRX US Equity","PX_CLOSE_DT")</f>
        <v>12/24/2020</v>
      </c>
    </row>
    <row r="155" spans="1:10" x14ac:dyDescent="0.25">
      <c r="A155" t="s">
        <v>316</v>
      </c>
      <c r="B155" t="s">
        <v>317</v>
      </c>
      <c r="C155">
        <f>_xll.BDP("PSHNX US Equity","CUST_TRR_RETURN_ANNUALIZED","CUST_TRR_START_DT=20200626","CUST_TRR_END_DT=20201226")</f>
        <v>11.57982</v>
      </c>
      <c r="D155">
        <f>_xll.BDP("PSHNX US Equity","LAST_CLOSE_TRR_1MO")</f>
        <v>0.69293970000000005</v>
      </c>
      <c r="E155">
        <f>_xll.BDP("PSHNX US Equity","LAST_CLOSE_TRR_3MO")</f>
        <v>3.327448</v>
      </c>
      <c r="F155">
        <f>_xll.BDP("PSHNX US Equity","LAST_CLOSE_TRR_YTD")</f>
        <v>0.56783050000000002</v>
      </c>
      <c r="G155">
        <f>_xll.BDP("PSHNX US Equity","LAST_CLOSE_TRR_1YR")</f>
        <v>0.66859979999999997</v>
      </c>
      <c r="H155">
        <f>_xll.BDP("PSHNX US Equity","LAST_CLOSE_TRR_3YR")</f>
        <v>2.8356110000000001</v>
      </c>
      <c r="I155" t="str">
        <f>_xll.BDP("PSHNX US Equity","LAST_CLOSE_TRR_5YR")</f>
        <v>#N/A N/A</v>
      </c>
      <c r="J155" t="str">
        <f>_xll.BDP("PSHNX US Equity","PX_CLOSE_DT")</f>
        <v>12/24/2020</v>
      </c>
    </row>
    <row r="156" spans="1:10" x14ac:dyDescent="0.25">
      <c r="A156" t="s">
        <v>318</v>
      </c>
      <c r="B156" t="s">
        <v>319</v>
      </c>
      <c r="C156">
        <f>_xll.BDP("AHGNX US Equity","CUST_TRR_RETURN_ANNUALIZED","CUST_TRR_START_DT=20200626","CUST_TRR_END_DT=20201226")</f>
        <v>27.022749999999998</v>
      </c>
      <c r="D156">
        <f>_xll.BDP("AHGNX US Equity","LAST_CLOSE_TRR_1MO")</f>
        <v>1.989676</v>
      </c>
      <c r="E156">
        <f>_xll.BDP("AHGNX US Equity","LAST_CLOSE_TRR_3MO")</f>
        <v>7.999752</v>
      </c>
      <c r="F156">
        <f>_xll.BDP("AHGNX US Equity","LAST_CLOSE_TRR_YTD")</f>
        <v>7.0996059999999996</v>
      </c>
      <c r="G156">
        <f>_xll.BDP("AHGNX US Equity","LAST_CLOSE_TRR_1YR")</f>
        <v>7.2252559999999999</v>
      </c>
      <c r="H156">
        <f>_xll.BDP("AHGNX US Equity","LAST_CLOSE_TRR_3YR")</f>
        <v>5.9369630000000004</v>
      </c>
      <c r="I156" t="str">
        <f>_xll.BDP("AHGNX US Equity","LAST_CLOSE_TRR_5YR")</f>
        <v>#N/A N/A</v>
      </c>
      <c r="J156" t="str">
        <f>_xll.BDP("AHGNX US Equity","PX_CLOSE_DT")</f>
        <v>12/24/2020</v>
      </c>
    </row>
    <row r="157" spans="1:10" x14ac:dyDescent="0.25">
      <c r="A157" t="s">
        <v>320</v>
      </c>
      <c r="B157" t="s">
        <v>321</v>
      </c>
      <c r="C157">
        <f>_xll.BDP("IPNAX US Equity","CUST_TRR_RETURN_ANNUALIZED","CUST_TRR_START_DT=20200626","CUST_TRR_END_DT=20201226")</f>
        <v>20.996410000000001</v>
      </c>
      <c r="D157">
        <f>_xll.BDP("IPNAX US Equity","LAST_CLOSE_TRR_1MO")</f>
        <v>1.3748720000000001</v>
      </c>
      <c r="E157">
        <f>_xll.BDP("IPNAX US Equity","LAST_CLOSE_TRR_3MO")</f>
        <v>6.2707100000000002</v>
      </c>
      <c r="F157">
        <f>_xll.BDP("IPNAX US Equity","LAST_CLOSE_TRR_YTD")</f>
        <v>6.7281779999999998</v>
      </c>
      <c r="G157">
        <f>_xll.BDP("IPNAX US Equity","LAST_CLOSE_TRR_1YR")</f>
        <v>6.8355499999999996</v>
      </c>
      <c r="H157">
        <f>_xll.BDP("IPNAX US Equity","LAST_CLOSE_TRR_3YR")</f>
        <v>5.6093390000000003</v>
      </c>
      <c r="I157" t="str">
        <f>_xll.BDP("IPNAX US Equity","LAST_CLOSE_TRR_5YR")</f>
        <v>#N/A N/A</v>
      </c>
      <c r="J157" t="str">
        <f>_xll.BDP("IPNAX US Equity","PX_CLOSE_DT")</f>
        <v>12/24/2020</v>
      </c>
    </row>
    <row r="158" spans="1:10" x14ac:dyDescent="0.25">
      <c r="A158" t="s">
        <v>322</v>
      </c>
      <c r="B158" t="s">
        <v>323</v>
      </c>
      <c r="C158">
        <f>_xll.BDP("PKHIX US Equity","CUST_TRR_RETURN_ANNUALIZED","CUST_TRR_START_DT=20200626","CUST_TRR_END_DT=20201226")</f>
        <v>23.332660000000001</v>
      </c>
      <c r="D158">
        <f>_xll.BDP("PKHIX US Equity","LAST_CLOSE_TRR_1MO")</f>
        <v>1.558778</v>
      </c>
      <c r="E158">
        <f>_xll.BDP("PKHIX US Equity","LAST_CLOSE_TRR_3MO")</f>
        <v>6.8681219999999996</v>
      </c>
      <c r="F158">
        <f>_xll.BDP("PKHIX US Equity","LAST_CLOSE_TRR_YTD")</f>
        <v>4.4307429999999997</v>
      </c>
      <c r="G158">
        <f>_xll.BDP("PKHIX US Equity","LAST_CLOSE_TRR_1YR")</f>
        <v>4.9001330000000003</v>
      </c>
      <c r="H158" t="str">
        <f>_xll.BDP("PKHIX US Equity","LAST_CLOSE_TRR_3YR")</f>
        <v>#N/A N/A</v>
      </c>
      <c r="I158" t="str">
        <f>_xll.BDP("PKHIX US Equity","LAST_CLOSE_TRR_5YR")</f>
        <v>#N/A N/A</v>
      </c>
      <c r="J158" t="str">
        <f>_xll.BDP("PKHIX US Equity","PX_CLOSE_DT")</f>
        <v>12/24/2020</v>
      </c>
    </row>
    <row r="159" spans="1:10" x14ac:dyDescent="0.25">
      <c r="A159" t="s">
        <v>324</v>
      </c>
      <c r="B159" t="s">
        <v>325</v>
      </c>
      <c r="C159" t="str">
        <f>_xll.BDP("QHYIX US Equity","CUST_TRR_RETURN_ANNUALIZED","CUST_TRR_START_DT=20200626","CUST_TRR_END_DT=20201226")</f>
        <v>#N/A N/A</v>
      </c>
      <c r="D159" t="str">
        <f>_xll.BDP("QHYIX US Equity","LAST_CLOSE_TRR_1MO")</f>
        <v>#N/A N/A</v>
      </c>
      <c r="E159" t="str">
        <f>_xll.BDP("QHYIX US Equity","LAST_CLOSE_TRR_3MO")</f>
        <v>#N/A N/A</v>
      </c>
      <c r="F159" t="str">
        <f>_xll.BDP("QHYIX US Equity","LAST_CLOSE_TRR_YTD")</f>
        <v>#N/A N/A</v>
      </c>
      <c r="G159" t="str">
        <f>_xll.BDP("QHYIX US Equity","LAST_CLOSE_TRR_1YR")</f>
        <v>#N/A N/A</v>
      </c>
      <c r="H159" t="str">
        <f>_xll.BDP("QHYIX US Equity","LAST_CLOSE_TRR_3YR")</f>
        <v>#N/A N/A</v>
      </c>
      <c r="I159" t="str">
        <f>_xll.BDP("QHYIX US Equity","LAST_CLOSE_TRR_5YR")</f>
        <v>#N/A N/A</v>
      </c>
      <c r="J159" t="str">
        <f>_xll.BDP("QHYIX US Equity","PX_CLOSE_DT")</f>
        <v>#N/A N/A</v>
      </c>
    </row>
    <row r="160" spans="1:10" x14ac:dyDescent="0.25">
      <c r="A160" t="s">
        <v>326</v>
      </c>
      <c r="B160" t="s">
        <v>327</v>
      </c>
      <c r="C160">
        <f>_xll.BDP("PIAMX US Equity","CUST_TRR_RETURN_ANNUALIZED","CUST_TRR_START_DT=20200626","CUST_TRR_END_DT=20201226")</f>
        <v>27.823609999999999</v>
      </c>
      <c r="D160">
        <f>_xll.BDP("PIAMX US Equity","LAST_CLOSE_TRR_1MO")</f>
        <v>2.1122990000000001</v>
      </c>
      <c r="E160">
        <f>_xll.BDP("PIAMX US Equity","LAST_CLOSE_TRR_3MO")</f>
        <v>7.5963669999999999</v>
      </c>
      <c r="F160">
        <f>_xll.BDP("PIAMX US Equity","LAST_CLOSE_TRR_YTD")</f>
        <v>8.6898940000000007</v>
      </c>
      <c r="G160">
        <f>_xll.BDP("PIAMX US Equity","LAST_CLOSE_TRR_1YR")</f>
        <v>8.8734850000000005</v>
      </c>
      <c r="H160" t="str">
        <f>_xll.BDP("PIAMX US Equity","LAST_CLOSE_TRR_3YR")</f>
        <v>#N/A N/A</v>
      </c>
      <c r="I160" t="str">
        <f>_xll.BDP("PIAMX US Equity","LAST_CLOSE_TRR_5YR")</f>
        <v>#N/A N/A</v>
      </c>
      <c r="J160" t="str">
        <f>_xll.BDP("PIAMX US Equity","PX_CLOSE_DT")</f>
        <v>12/24/2020</v>
      </c>
    </row>
    <row r="161" spans="1:10" x14ac:dyDescent="0.25">
      <c r="A161" t="s">
        <v>328</v>
      </c>
      <c r="B161" t="s">
        <v>329</v>
      </c>
      <c r="C161">
        <f>_xll.BDP("AHIAX US Equity","CUST_TRR_RETURN_ANNUALIZED","CUST_TRR_START_DT=20200626","CUST_TRR_END_DT=20201226")</f>
        <v>24.566179999999999</v>
      </c>
      <c r="D161">
        <f>_xll.BDP("AHIAX US Equity","LAST_CLOSE_TRR_1MO")</f>
        <v>1.820956</v>
      </c>
      <c r="E161">
        <f>_xll.BDP("AHIAX US Equity","LAST_CLOSE_TRR_3MO")</f>
        <v>7.3347020000000001</v>
      </c>
      <c r="F161">
        <f>_xll.BDP("AHIAX US Equity","LAST_CLOSE_TRR_YTD")</f>
        <v>6.9848990000000004</v>
      </c>
      <c r="G161">
        <f>_xll.BDP("AHIAX US Equity","LAST_CLOSE_TRR_1YR")</f>
        <v>7.085178</v>
      </c>
      <c r="H161">
        <f>_xll.BDP("AHIAX US Equity","LAST_CLOSE_TRR_3YR")</f>
        <v>5.4098860000000002</v>
      </c>
      <c r="I161" t="str">
        <f>_xll.BDP("AHIAX US Equity","LAST_CLOSE_TRR_5YR")</f>
        <v>#N/A N/A</v>
      </c>
      <c r="J161" t="str">
        <f>_xll.BDP("AHIAX US Equity","PX_CLOSE_DT")</f>
        <v>12/24/2020</v>
      </c>
    </row>
    <row r="162" spans="1:10" x14ac:dyDescent="0.25">
      <c r="A162" t="s">
        <v>330</v>
      </c>
      <c r="B162" t="s">
        <v>331</v>
      </c>
      <c r="C162">
        <f>_xll.BDP("CBLDX US Equity","CUST_TRR_RETURN_ANNUALIZED","CUST_TRR_START_DT=20200626","CUST_TRR_END_DT=20201226")</f>
        <v>9.5642829999999996</v>
      </c>
      <c r="D162">
        <f>_xll.BDP("CBLDX US Equity","LAST_CLOSE_TRR_1MO")</f>
        <v>1.38801</v>
      </c>
      <c r="E162">
        <f>_xll.BDP("CBLDX US Equity","LAST_CLOSE_TRR_3MO")</f>
        <v>2.5392939999999999</v>
      </c>
      <c r="F162">
        <f>_xll.BDP("CBLDX US Equity","LAST_CLOSE_TRR_YTD")</f>
        <v>3.5765509999999998</v>
      </c>
      <c r="G162">
        <f>_xll.BDP("CBLDX US Equity","LAST_CLOSE_TRR_1YR")</f>
        <v>3.656568</v>
      </c>
      <c r="H162" t="str">
        <f>_xll.BDP("CBLDX US Equity","LAST_CLOSE_TRR_3YR")</f>
        <v>#N/A N/A</v>
      </c>
      <c r="I162" t="str">
        <f>_xll.BDP("CBLDX US Equity","LAST_CLOSE_TRR_5YR")</f>
        <v>#N/A N/A</v>
      </c>
      <c r="J162" t="str">
        <f>_xll.BDP("CBLDX US Equity","PX_CLOSE_DT")</f>
        <v>12/24/2020</v>
      </c>
    </row>
    <row r="163" spans="1:10" x14ac:dyDescent="0.25">
      <c r="A163" t="s">
        <v>332</v>
      </c>
      <c r="B163" t="s">
        <v>333</v>
      </c>
      <c r="C163">
        <f>_xll.BDP("GHVIX US Equity","CUST_TRR_RETURN_ANNUALIZED","CUST_TRR_START_DT=20200626","CUST_TRR_END_DT=20201226")</f>
        <v>22.332889999999999</v>
      </c>
      <c r="D163">
        <f>_xll.BDP("GHVIX US Equity","LAST_CLOSE_TRR_1MO")</f>
        <v>1.4381159999999999</v>
      </c>
      <c r="E163">
        <f>_xll.BDP("GHVIX US Equity","LAST_CLOSE_TRR_3MO")</f>
        <v>7.2714530000000002</v>
      </c>
      <c r="F163">
        <f>_xll.BDP("GHVIX US Equity","LAST_CLOSE_TRR_YTD")</f>
        <v>5.0620320000000003</v>
      </c>
      <c r="G163">
        <f>_xll.BDP("GHVIX US Equity","LAST_CLOSE_TRR_1YR")</f>
        <v>5.1658989999999996</v>
      </c>
      <c r="H163" t="str">
        <f>_xll.BDP("GHVIX US Equity","LAST_CLOSE_TRR_3YR")</f>
        <v>#N/A N/A</v>
      </c>
      <c r="I163" t="str">
        <f>_xll.BDP("GHVIX US Equity","LAST_CLOSE_TRR_5YR")</f>
        <v>#N/A N/A</v>
      </c>
      <c r="J163" t="str">
        <f>_xll.BDP("GHVIX US Equity","PX_CLOSE_DT")</f>
        <v>12/24/2020</v>
      </c>
    </row>
    <row r="164" spans="1:10" x14ac:dyDescent="0.25">
      <c r="A164" t="s">
        <v>334</v>
      </c>
      <c r="B164" t="s">
        <v>335</v>
      </c>
      <c r="C164">
        <f>_xll.BDP("MFHIX US Equity","CUST_TRR_RETURN_ANNUALIZED","CUST_TRR_START_DT=20200626","CUST_TRR_END_DT=20201226")</f>
        <v>32.58867</v>
      </c>
      <c r="D164">
        <f>_xll.BDP("MFHIX US Equity","LAST_CLOSE_TRR_1MO")</f>
        <v>2.825088</v>
      </c>
      <c r="E164">
        <f>_xll.BDP("MFHIX US Equity","LAST_CLOSE_TRR_3MO")</f>
        <v>9.5401790000000002</v>
      </c>
      <c r="F164">
        <f>_xll.BDP("MFHIX US Equity","LAST_CLOSE_TRR_YTD")</f>
        <v>6.7538460000000002</v>
      </c>
      <c r="G164">
        <f>_xll.BDP("MFHIX US Equity","LAST_CLOSE_TRR_1YR")</f>
        <v>6.872344</v>
      </c>
      <c r="H164" t="str">
        <f>_xll.BDP("MFHIX US Equity","LAST_CLOSE_TRR_3YR")</f>
        <v>#N/A N/A</v>
      </c>
      <c r="I164" t="str">
        <f>_xll.BDP("MFHIX US Equity","LAST_CLOSE_TRR_5YR")</f>
        <v>#N/A N/A</v>
      </c>
      <c r="J164" t="str">
        <f>_xll.BDP("MFHIX US Equity","PX_CLOSE_DT")</f>
        <v>12/24/2020</v>
      </c>
    </row>
    <row r="165" spans="1:10" x14ac:dyDescent="0.25">
      <c r="A165" t="s">
        <v>336</v>
      </c>
      <c r="B165" t="s">
        <v>337</v>
      </c>
      <c r="C165" t="str">
        <f>_xll.BDP("HREIX US Equity","CUST_TRR_RETURN_ANNUALIZED","CUST_TRR_START_DT=20200626","CUST_TRR_END_DT=20201226")</f>
        <v>#N/A N/A</v>
      </c>
      <c r="D165" t="str">
        <f>_xll.BDP("HREIX US Equity","LAST_CLOSE_TRR_1MO")</f>
        <v>#N/A N/A</v>
      </c>
      <c r="E165" t="str">
        <f>_xll.BDP("HREIX US Equity","LAST_CLOSE_TRR_3MO")</f>
        <v>#N/A N/A</v>
      </c>
      <c r="F165" t="str">
        <f>_xll.BDP("HREIX US Equity","LAST_CLOSE_TRR_YTD")</f>
        <v>#N/A N/A</v>
      </c>
      <c r="G165" t="str">
        <f>_xll.BDP("HREIX US Equity","LAST_CLOSE_TRR_1YR")</f>
        <v>#N/A N/A</v>
      </c>
      <c r="H165" t="str">
        <f>_xll.BDP("HREIX US Equity","LAST_CLOSE_TRR_3YR")</f>
        <v>#N/A N/A</v>
      </c>
      <c r="I165" t="str">
        <f>_xll.BDP("HREIX US Equity","LAST_CLOSE_TRR_5YR")</f>
        <v>#N/A N/A</v>
      </c>
      <c r="J165" t="str">
        <f>_xll.BDP("HREIX US Equity","PX_CLOSE_DT")</f>
        <v>#N/A N/A</v>
      </c>
    </row>
    <row r="166" spans="1:10" x14ac:dyDescent="0.25">
      <c r="A166" t="s">
        <v>338</v>
      </c>
      <c r="B166" t="s">
        <v>339</v>
      </c>
      <c r="C166" t="str">
        <f>_xll.BDP("CRDOX US Equity","CUST_TRR_RETURN_ANNUALIZED","CUST_TRR_START_DT=20200626","CUST_TRR_END_DT=20201226")</f>
        <v>#N/A N/A</v>
      </c>
      <c r="D166">
        <f>_xll.BDP("CRDOX US Equity","LAST_CLOSE_TRR_1MO")</f>
        <v>1.0270300000000001</v>
      </c>
      <c r="E166">
        <f>_xll.BDP("CRDOX US Equity","LAST_CLOSE_TRR_3MO")</f>
        <v>4.4116920000000004</v>
      </c>
      <c r="F166" t="str">
        <f>_xll.BDP("CRDOX US Equity","LAST_CLOSE_TRR_YTD")</f>
        <v>#N/A N/A</v>
      </c>
      <c r="G166" t="str">
        <f>_xll.BDP("CRDOX US Equity","LAST_CLOSE_TRR_1YR")</f>
        <v>#N/A N/A</v>
      </c>
      <c r="H166" t="str">
        <f>_xll.BDP("CRDOX US Equity","LAST_CLOSE_TRR_3YR")</f>
        <v>#N/A N/A</v>
      </c>
      <c r="I166" t="str">
        <f>_xll.BDP("CRDOX US Equity","LAST_CLOSE_TRR_5YR")</f>
        <v>#N/A N/A</v>
      </c>
      <c r="J166" t="str">
        <f>_xll.BDP("CRDOX US Equity","PX_CLOSE_DT")</f>
        <v>12/24/2020</v>
      </c>
    </row>
    <row r="167" spans="1:10" x14ac:dyDescent="0.25">
      <c r="A167" t="s">
        <v>340</v>
      </c>
      <c r="B167" t="s">
        <v>341</v>
      </c>
      <c r="C167" t="str">
        <f>_xll.BDP("TACBX US Equity","CUST_TRR_RETURN_ANNUALIZED","CUST_TRR_START_DT=20200626","CUST_TRR_END_DT=20201226")</f>
        <v>#N/A N/A</v>
      </c>
      <c r="D167" t="str">
        <f>_xll.BDP("TACBX US Equity","LAST_CLOSE_TRR_1MO")</f>
        <v>#N/A N/A</v>
      </c>
      <c r="E167" t="str">
        <f>_xll.BDP("TACBX US Equity","LAST_CLOSE_TRR_3MO")</f>
        <v>#N/A N/A</v>
      </c>
      <c r="F167" t="str">
        <f>_xll.BDP("TACBX US Equity","LAST_CLOSE_TRR_YTD")</f>
        <v>#N/A N/A</v>
      </c>
      <c r="G167" t="str">
        <f>_xll.BDP("TACBX US Equity","LAST_CLOSE_TRR_1YR")</f>
        <v>#N/A N/A</v>
      </c>
      <c r="H167" t="str">
        <f>_xll.BDP("TACBX US Equity","LAST_CLOSE_TRR_3YR")</f>
        <v>#N/A N/A</v>
      </c>
      <c r="I167" t="str">
        <f>_xll.BDP("TACBX US Equity","LAST_CLOSE_TRR_5YR")</f>
        <v>#N/A N/A</v>
      </c>
      <c r="J167" t="str">
        <f>_xll.BDP("TACBX US Equity","PX_CLOSE_DT")</f>
        <v>#N/A N/A</v>
      </c>
    </row>
    <row r="168" spans="1:10" x14ac:dyDescent="0.25">
      <c r="A168" t="s">
        <v>342</v>
      </c>
      <c r="B168" t="s">
        <v>343</v>
      </c>
      <c r="C168" t="str">
        <f>_xll.BDP("ACRFX US Equity","CUST_TRR_RETURN_ANNUALIZED","CUST_TRR_START_DT=20200626","CUST_TRR_END_DT=20201226")</f>
        <v>#N/A N/A</v>
      </c>
      <c r="D168" t="str">
        <f>_xll.BDP("ACRFX US Equity","LAST_CLOSE_TRR_1MO")</f>
        <v>#N/A N/A</v>
      </c>
      <c r="E168" t="str">
        <f>_xll.BDP("ACRFX US Equity","LAST_CLOSE_TRR_3MO")</f>
        <v>#N/A N/A</v>
      </c>
      <c r="F168" t="str">
        <f>_xll.BDP("ACRFX US Equity","LAST_CLOSE_TRR_YTD")</f>
        <v>#N/A N/A</v>
      </c>
      <c r="G168" t="str">
        <f>_xll.BDP("ACRFX US Equity","LAST_CLOSE_TRR_1YR")</f>
        <v>#N/A N/A</v>
      </c>
      <c r="H168" t="str">
        <f>_xll.BDP("ACRFX US Equity","LAST_CLOSE_TRR_3YR")</f>
        <v>#N/A N/A</v>
      </c>
      <c r="I168" t="str">
        <f>_xll.BDP("ACRFX US Equity","LAST_CLOSE_TRR_5YR")</f>
        <v>#N/A N/A</v>
      </c>
      <c r="J168" t="str">
        <f>_xll.BDP("ACRFX US Equity","PX_CLOSE_DT")</f>
        <v>#N/A N/A</v>
      </c>
    </row>
    <row r="169" spans="1:10" x14ac:dyDescent="0.25">
      <c r="A169" t="s">
        <v>344</v>
      </c>
      <c r="B169" t="s">
        <v>345</v>
      </c>
      <c r="C169">
        <f>_xll.BDP("JMADX US Equity","CUST_TRR_RETURN_ANNUALIZED","CUST_TRR_START_DT=20200626","CUST_TRR_END_DT=20201226")</f>
        <v>14.30673</v>
      </c>
      <c r="D169">
        <f>_xll.BDP("JMADX US Equity","LAST_CLOSE_TRR_1MO")</f>
        <v>0.81716040000000001</v>
      </c>
      <c r="E169">
        <f>_xll.BDP("JMADX US Equity","LAST_CLOSE_TRR_3MO")</f>
        <v>4.6659600000000001</v>
      </c>
      <c r="F169">
        <f>_xll.BDP("JMADX US Equity","LAST_CLOSE_TRR_YTD")</f>
        <v>-1.5952139999999999</v>
      </c>
      <c r="G169">
        <f>_xll.BDP("JMADX US Equity","LAST_CLOSE_TRR_1YR")</f>
        <v>-1.5952139999999999</v>
      </c>
      <c r="H169" t="str">
        <f>_xll.BDP("JMADX US Equity","LAST_CLOSE_TRR_3YR")</f>
        <v>#N/A N/A</v>
      </c>
      <c r="I169" t="str">
        <f>_xll.BDP("JMADX US Equity","LAST_CLOSE_TRR_5YR")</f>
        <v>#N/A N/A</v>
      </c>
      <c r="J169" t="str">
        <f>_xll.BDP("JMADX US Equity","PX_CLOSE_DT")</f>
        <v>12/24/2020</v>
      </c>
    </row>
    <row r="170" spans="1:10" x14ac:dyDescent="0.25">
      <c r="A170" t="s">
        <v>346</v>
      </c>
      <c r="B170" t="s">
        <v>347</v>
      </c>
      <c r="C170">
        <f>_xll.BDP("KAMAX US Equity","CUST_TRR_RETURN_ANNUALIZED","CUST_TRR_START_DT=20200626","CUST_TRR_END_DT=20201226")</f>
        <v>17.17999</v>
      </c>
      <c r="D170">
        <f>_xll.BDP("KAMAX US Equity","LAST_CLOSE_TRR_1MO")</f>
        <v>1.1752849999999999</v>
      </c>
      <c r="E170">
        <f>_xll.BDP("KAMAX US Equity","LAST_CLOSE_TRR_3MO")</f>
        <v>4.3262179999999999</v>
      </c>
      <c r="F170">
        <f>_xll.BDP("KAMAX US Equity","LAST_CLOSE_TRR_YTD")</f>
        <v>7.4654769999999999</v>
      </c>
      <c r="G170">
        <f>_xll.BDP("KAMAX US Equity","LAST_CLOSE_TRR_1YR")</f>
        <v>7.5709379999999999</v>
      </c>
      <c r="H170" t="str">
        <f>_xll.BDP("KAMAX US Equity","LAST_CLOSE_TRR_3YR")</f>
        <v>#N/A N/A</v>
      </c>
      <c r="I170" t="str">
        <f>_xll.BDP("KAMAX US Equity","LAST_CLOSE_TRR_5YR")</f>
        <v>#N/A N/A</v>
      </c>
      <c r="J170" t="str">
        <f>_xll.BDP("KAMAX US Equity","PX_CLOSE_DT")</f>
        <v>12/24/2020</v>
      </c>
    </row>
    <row r="171" spans="1:10" x14ac:dyDescent="0.25">
      <c r="A171" t="s">
        <v>348</v>
      </c>
      <c r="B171" t="s">
        <v>349</v>
      </c>
      <c r="C171">
        <f>_xll.BDP("STBKX US Equity","CUST_TRR_RETURN_ANNUALIZED","CUST_TRR_START_DT=20200626","CUST_TRR_END_DT=20201226")</f>
        <v>10.4533</v>
      </c>
      <c r="D171">
        <f>_xll.BDP("STBKX US Equity","LAST_CLOSE_TRR_1MO")</f>
        <v>1.1901330000000001</v>
      </c>
      <c r="E171">
        <f>_xll.BDP("STBKX US Equity","LAST_CLOSE_TRR_3MO")</f>
        <v>2.7859729999999998</v>
      </c>
      <c r="F171">
        <f>_xll.BDP("STBKX US Equity","LAST_CLOSE_TRR_YTD")</f>
        <v>15.15638</v>
      </c>
      <c r="G171">
        <f>_xll.BDP("STBKX US Equity","LAST_CLOSE_TRR_1YR")</f>
        <v>15.251469999999999</v>
      </c>
      <c r="H171" t="str">
        <f>_xll.BDP("STBKX US Equity","LAST_CLOSE_TRR_3YR")</f>
        <v>#N/A N/A</v>
      </c>
      <c r="I171" t="str">
        <f>_xll.BDP("STBKX US Equity","LAST_CLOSE_TRR_5YR")</f>
        <v>#N/A N/A</v>
      </c>
      <c r="J171" t="str">
        <f>_xll.BDP("STBKX US Equity","PX_CLOSE_DT")</f>
        <v>12/24/2020</v>
      </c>
    </row>
    <row r="172" spans="1:10" x14ac:dyDescent="0.25">
      <c r="A172" t="s">
        <v>350</v>
      </c>
      <c r="B172" t="s">
        <v>351</v>
      </c>
      <c r="C172">
        <f>_xll.BDP("FHHIX US Equity","CUST_TRR_RETURN_ANNUALIZED","CUST_TRR_START_DT=20200626","CUST_TRR_END_DT=20201226")</f>
        <v>23.162949999999999</v>
      </c>
      <c r="D172">
        <f>_xll.BDP("FHHIX US Equity","LAST_CLOSE_TRR_1MO")</f>
        <v>1.265638</v>
      </c>
      <c r="E172">
        <f>_xll.BDP("FHHIX US Equity","LAST_CLOSE_TRR_3MO")</f>
        <v>6.0870119999999996</v>
      </c>
      <c r="F172">
        <f>_xll.BDP("FHHIX US Equity","LAST_CLOSE_TRR_YTD")</f>
        <v>6.8335780000000002</v>
      </c>
      <c r="G172">
        <f>_xll.BDP("FHHIX US Equity","LAST_CLOSE_TRR_1YR")</f>
        <v>6.8491059999999999</v>
      </c>
      <c r="H172" t="str">
        <f>_xll.BDP("FHHIX US Equity","LAST_CLOSE_TRR_3YR")</f>
        <v>#N/A N/A</v>
      </c>
      <c r="I172" t="str">
        <f>_xll.BDP("FHHIX US Equity","LAST_CLOSE_TRR_5YR")</f>
        <v>#N/A N/A</v>
      </c>
      <c r="J172" t="str">
        <f>_xll.BDP("FHHIX US Equity","PX_CLOSE_DT")</f>
        <v>12/24/2020</v>
      </c>
    </row>
    <row r="173" spans="1:10" x14ac:dyDescent="0.25">
      <c r="A173" t="s">
        <v>352</v>
      </c>
      <c r="B173" t="s">
        <v>353</v>
      </c>
      <c r="C173" t="str">
        <f>_xll.BDP("BHDIX US Equity","CUST_TRR_RETURN_ANNUALIZED","CUST_TRR_START_DT=20200626","CUST_TRR_END_DT=20201226")</f>
        <v>#N/A N/A</v>
      </c>
      <c r="D173" t="str">
        <f>_xll.BDP("BHDIX US Equity","LAST_CLOSE_TRR_1MO")</f>
        <v>#N/A N/A</v>
      </c>
      <c r="E173" t="str">
        <f>_xll.BDP("BHDIX US Equity","LAST_CLOSE_TRR_3MO")</f>
        <v>#N/A N/A</v>
      </c>
      <c r="F173" t="str">
        <f>_xll.BDP("BHDIX US Equity","LAST_CLOSE_TRR_YTD")</f>
        <v>#N/A N/A</v>
      </c>
      <c r="G173" t="str">
        <f>_xll.BDP("BHDIX US Equity","LAST_CLOSE_TRR_1YR")</f>
        <v>#N/A N/A</v>
      </c>
      <c r="H173" t="str">
        <f>_xll.BDP("BHDIX US Equity","LAST_CLOSE_TRR_3YR")</f>
        <v>#N/A N/A</v>
      </c>
      <c r="I173" t="str">
        <f>_xll.BDP("BHDIX US Equity","LAST_CLOSE_TRR_5YR")</f>
        <v>#N/A N/A</v>
      </c>
      <c r="J173" t="str">
        <f>_xll.BDP("BHDIX US Equity","PX_CLOSE_DT")</f>
        <v>#N/A N/A</v>
      </c>
    </row>
    <row r="174" spans="1:10" x14ac:dyDescent="0.25">
      <c r="A174" t="s">
        <v>354</v>
      </c>
      <c r="B174" t="s">
        <v>355</v>
      </c>
      <c r="C174" t="str">
        <f>_xll.BDP("BHHGX US Equity","CUST_TRR_RETURN_ANNUALIZED","CUST_TRR_START_DT=20200626","CUST_TRR_END_DT=20201226")</f>
        <v>#N/A N/A</v>
      </c>
      <c r="D174" t="str">
        <f>_xll.BDP("BHHGX US Equity","LAST_CLOSE_TRR_1MO")</f>
        <v>#N/A N/A</v>
      </c>
      <c r="E174" t="str">
        <f>_xll.BDP("BHHGX US Equity","LAST_CLOSE_TRR_3MO")</f>
        <v>#N/A N/A</v>
      </c>
      <c r="F174" t="str">
        <f>_xll.BDP("BHHGX US Equity","LAST_CLOSE_TRR_YTD")</f>
        <v>#N/A N/A</v>
      </c>
      <c r="G174" t="str">
        <f>_xll.BDP("BHHGX US Equity","LAST_CLOSE_TRR_1YR")</f>
        <v>#N/A N/A</v>
      </c>
      <c r="H174" t="str">
        <f>_xll.BDP("BHHGX US Equity","LAST_CLOSE_TRR_3YR")</f>
        <v>#N/A N/A</v>
      </c>
      <c r="I174" t="str">
        <f>_xll.BDP("BHHGX US Equity","LAST_CLOSE_TRR_5YR")</f>
        <v>#N/A N/A</v>
      </c>
      <c r="J174" t="str">
        <f>_xll.BDP("BHHGX US Equity","PX_CLOSE_DT")</f>
        <v>#N/A N/A</v>
      </c>
    </row>
    <row r="175" spans="1:10" x14ac:dyDescent="0.25">
      <c r="A175" t="s">
        <v>356</v>
      </c>
      <c r="B175" t="s">
        <v>357</v>
      </c>
      <c r="C175">
        <f>_xll.BDP("LSYAX US Equity","CUST_TRR_RETURN_ANNUALIZED","CUST_TRR_START_DT=20200626","CUST_TRR_END_DT=20201226")</f>
        <v>19.116389999999999</v>
      </c>
      <c r="D175">
        <f>_xll.BDP("LSYAX US Equity","LAST_CLOSE_TRR_1MO")</f>
        <v>1.2852330000000001</v>
      </c>
      <c r="E175">
        <f>_xll.BDP("LSYAX US Equity","LAST_CLOSE_TRR_3MO")</f>
        <v>5.619764</v>
      </c>
      <c r="F175" t="str">
        <f>_xll.BDP("LSYAX US Equity","LAST_CLOSE_TRR_YTD")</f>
        <v>#N/A N/A</v>
      </c>
      <c r="G175" t="str">
        <f>_xll.BDP("LSYAX US Equity","LAST_CLOSE_TRR_1YR")</f>
        <v>#N/A N/A</v>
      </c>
      <c r="H175" t="str">
        <f>_xll.BDP("LSYAX US Equity","LAST_CLOSE_TRR_3YR")</f>
        <v>#N/A N/A</v>
      </c>
      <c r="I175" t="str">
        <f>_xll.BDP("LSYAX US Equity","LAST_CLOSE_TRR_5YR")</f>
        <v>#N/A N/A</v>
      </c>
      <c r="J175" t="str">
        <f>_xll.BDP("LSYAX US Equity","PX_CLOSE_DT")</f>
        <v>12/24/2020</v>
      </c>
    </row>
    <row r="176" spans="1:10" x14ac:dyDescent="0.25">
      <c r="A176" t="s">
        <v>358</v>
      </c>
      <c r="B176" t="s">
        <v>359</v>
      </c>
      <c r="C176" t="str">
        <f>_xll.BDP("TCOBX US Equity","CUST_TRR_RETURN_ANNUALIZED","CUST_TRR_START_DT=20200626","CUST_TRR_END_DT=20201226")</f>
        <v>#N/A N/A</v>
      </c>
      <c r="D176" t="str">
        <f>_xll.BDP("TCOBX US Equity","LAST_CLOSE_TRR_1MO")</f>
        <v>#N/A N/A</v>
      </c>
      <c r="E176" t="str">
        <f>_xll.BDP("TCOBX US Equity","LAST_CLOSE_TRR_3MO")</f>
        <v>#N/A N/A</v>
      </c>
      <c r="F176" t="str">
        <f>_xll.BDP("TCOBX US Equity","LAST_CLOSE_TRR_YTD")</f>
        <v>#N/A N/A</v>
      </c>
      <c r="G176" t="str">
        <f>_xll.BDP("TCOBX US Equity","LAST_CLOSE_TRR_1YR")</f>
        <v>#N/A N/A</v>
      </c>
      <c r="H176" t="str">
        <f>_xll.BDP("TCOBX US Equity","LAST_CLOSE_TRR_3YR")</f>
        <v>#N/A N/A</v>
      </c>
      <c r="I176" t="str">
        <f>_xll.BDP("TCOBX US Equity","LAST_CLOSE_TRR_5YR")</f>
        <v>#N/A N/A</v>
      </c>
      <c r="J176" t="str">
        <f>_xll.BDP("TCOBX US Equity","PX_CLOSE_DT")</f>
        <v>#N/A N/A</v>
      </c>
    </row>
    <row r="177" spans="1:10" x14ac:dyDescent="0.25">
      <c r="A177" t="s">
        <v>360</v>
      </c>
      <c r="B177" t="s">
        <v>361</v>
      </c>
      <c r="C177" t="str">
        <f>_xll.BDP("VHYLX US Equity","CUST_TRR_RETURN_ANNUALIZED","CUST_TRR_START_DT=20200626","CUST_TRR_END_DT=20201226")</f>
        <v>#N/A N/A</v>
      </c>
      <c r="D177" t="str">
        <f>_xll.BDP("VHYLX US Equity","LAST_CLOSE_TRR_1MO")</f>
        <v>#N/A N/A</v>
      </c>
      <c r="E177" t="str">
        <f>_xll.BDP("VHYLX US Equity","LAST_CLOSE_TRR_3MO")</f>
        <v>#N/A N/A</v>
      </c>
      <c r="F177" t="str">
        <f>_xll.BDP("VHYLX US Equity","LAST_CLOSE_TRR_YTD")</f>
        <v>#N/A N/A</v>
      </c>
      <c r="G177" t="str">
        <f>_xll.BDP("VHYLX US Equity","LAST_CLOSE_TRR_1YR")</f>
        <v>#N/A N/A</v>
      </c>
      <c r="H177" t="str">
        <f>_xll.BDP("VHYLX US Equity","LAST_CLOSE_TRR_3YR")</f>
        <v>#N/A N/A</v>
      </c>
      <c r="I177" t="str">
        <f>_xll.BDP("VHYLX US Equity","LAST_CLOSE_TRR_5YR")</f>
        <v>#N/A N/A</v>
      </c>
      <c r="J177" t="str">
        <f>_xll.BDP("VHYLX US Equity","PX_CLOSE_DT")</f>
        <v>#N/A 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PJ Susse</cp:lastModifiedBy>
  <dcterms:created xsi:type="dcterms:W3CDTF">2013-04-03T15:49:21Z</dcterms:created>
  <dcterms:modified xsi:type="dcterms:W3CDTF">2020-12-28T04:45:03Z</dcterms:modified>
</cp:coreProperties>
</file>