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235" firstSheet="13" activeTab="20"/>
  </bookViews>
  <sheets>
    <sheet name="Modelo de Combustion" sheetId="14" r:id="rId1"/>
    <sheet name="Composicion" sheetId="1" r:id="rId2"/>
    <sheet name="TempAblandamiento" sheetId="2" r:id="rId3"/>
    <sheet name="Poderes calorificos" sheetId="3" r:id="rId4"/>
    <sheet name="Calculo Aire" sheetId="4" r:id="rId5"/>
    <sheet name="TempAdiabatica" sheetId="5" r:id="rId6"/>
    <sheet name="landa" sheetId="8" r:id="rId7"/>
    <sheet name="Calculos de gases" sheetId="9" r:id="rId8"/>
    <sheet name="Tiempo de residencia" sheetId="10" r:id="rId9"/>
    <sheet name="Calculos adicionales" sheetId="11" r:id="rId10"/>
    <sheet name="Errores" sheetId="25" r:id="rId11"/>
    <sheet name="Modelo Tornilo Sin fin" sheetId="16" r:id="rId12"/>
    <sheet name="Ecuaciones tornillo" sheetId="17" r:id="rId13"/>
    <sheet name="Modelo Intercambiador" sheetId="18" r:id="rId14"/>
    <sheet name="Coef. ho" sheetId="19" r:id="rId15"/>
    <sheet name="Th2" sheetId="20" r:id="rId16"/>
    <sheet name="F" sheetId="21" r:id="rId17"/>
    <sheet name="Coef. hi" sheetId="23" r:id="rId18"/>
    <sheet name="U&amp;Q" sheetId="22" r:id="rId19"/>
    <sheet name="Aire prim, seg" sheetId="24" r:id="rId20"/>
    <sheet name="NUT" sheetId="26" r:id="rId21"/>
  </sheets>
  <definedNames>
    <definedName name="Cpg">TempAdiabatica!$C$7</definedName>
    <definedName name="F_fix">F!$B$5</definedName>
    <definedName name="hi">'Coef. hi'!$B$24</definedName>
    <definedName name="ho">'Coef. ho'!$B$34</definedName>
    <definedName name="landa">'Calculo Aire'!$B$8</definedName>
    <definedName name="m_air">'Calculo Aire'!$F$19</definedName>
    <definedName name="M_co2">'Calculos de gases'!$B$12</definedName>
    <definedName name="m_FG">'Calculo Aire'!$F$32</definedName>
    <definedName name="M_h2">'Calculos de gases'!$B$15</definedName>
    <definedName name="M_N2">'Calculo Aire'!$B$7</definedName>
    <definedName name="m_n2air">'Calculo Aire'!$F$14</definedName>
    <definedName name="M_o2">'Calculo Aire'!$B$6</definedName>
    <definedName name="m_o2air">'Calculo Aire'!$F$4</definedName>
    <definedName name="m_pair">'Calculos adicionales'!$B$17</definedName>
    <definedName name="m_pf">'Tiempo de residencia'!$B$15</definedName>
    <definedName name="m_pFG">'Calculos adicionales'!$B$4</definedName>
    <definedName name="M_so2">'Calculos de gases'!$B$14</definedName>
    <definedName name="M_w">'Calculos de gases'!$B$13</definedName>
    <definedName name="Mc">'Calculo Aire'!$B$3</definedName>
    <definedName name="Mh">'Calculo Aire'!$B$4</definedName>
    <definedName name="Ms">'Calculo Aire'!$B$5</definedName>
    <definedName name="rho_air">'Calculos adicionales'!$B$25</definedName>
    <definedName name="RHO_FG">'Tiempo de residencia'!$B$12</definedName>
    <definedName name="T_C1">'Th2'!$B$2</definedName>
    <definedName name="T_c2">'Th2'!$B$16</definedName>
    <definedName name="T_f1">'Th2'!$B$3</definedName>
    <definedName name="T_f2">'Th2'!$B$4</definedName>
    <definedName name="Ta">TempAdiabatica!$D$4</definedName>
    <definedName name="Tablan">TempAblandamiento!$F$7</definedName>
    <definedName name="Tadiabatica">'Tiempo de residencia'!$F$20</definedName>
    <definedName name="tr">'Tiempo de residencia'!$B$20</definedName>
    <definedName name="U">'U&amp;Q'!$B$12</definedName>
    <definedName name="V_FG">'Calculos adicionales'!$B$9</definedName>
    <definedName name="X_co2">'Calculos de gases'!$B$20</definedName>
    <definedName name="X_h2o">'Calculos de gases'!$B$21</definedName>
    <definedName name="X_n2">'Calculos de gases'!$B$23</definedName>
    <definedName name="X_o2">'Calculos de gases'!$B$24</definedName>
    <definedName name="X_so2">'Calculos de gases'!$B$22</definedName>
    <definedName name="Xash">'Calculo Aire'!$B$16</definedName>
    <definedName name="Xc">'Calculo Aire'!$B$11</definedName>
    <definedName name="Xh">'Calculo Aire'!$B$12</definedName>
    <definedName name="Xn">'Calculo Aire'!$B$13</definedName>
    <definedName name="Xo">'Calculo Aire'!$B$15</definedName>
    <definedName name="Xs">'Calculo Aire'!$B$14</definedName>
    <definedName name="Xw">'Calculo Aire'!$B$17</definedName>
    <definedName name="Y_co2">'Calculos de gases'!$B$30</definedName>
    <definedName name="Y_h20">'Calculos de gases'!$B$31</definedName>
    <definedName name="Y_n2">'Calculo Aire'!$B$22</definedName>
    <definedName name="Y_n2g">'Calculos de gases'!$B$33</definedName>
    <definedName name="Y_o2">'Calculo Aire'!$B$21</definedName>
    <definedName name="Y_o2g">'Calculos de gases'!$B$34</definedName>
    <definedName name="Y_so2">'Calculos de gases'!$B$32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6" l="1"/>
  <c r="G17" i="26"/>
  <c r="G14" i="26"/>
  <c r="G10" i="26"/>
  <c r="G7" i="26"/>
  <c r="B12" i="22"/>
  <c r="B12" i="20"/>
  <c r="B11" i="20"/>
  <c r="B10" i="20"/>
  <c r="C12" i="26"/>
  <c r="C13" i="26"/>
  <c r="C10" i="26"/>
  <c r="C11" i="26" s="1"/>
  <c r="G2" i="26" s="1"/>
  <c r="C7" i="26"/>
  <c r="C4" i="26"/>
  <c r="C3" i="26"/>
  <c r="C2" i="26"/>
  <c r="G3" i="26" l="1"/>
  <c r="G5" i="26" s="1"/>
  <c r="C16" i="26"/>
  <c r="C17" i="26" s="1"/>
  <c r="B26" i="22"/>
  <c r="B16" i="20"/>
  <c r="B22" i="10" l="1"/>
  <c r="B20" i="10"/>
  <c r="B14" i="17"/>
  <c r="B38" i="3"/>
  <c r="B5" i="8"/>
  <c r="D4" i="25" l="1"/>
  <c r="D6" i="25" s="1"/>
  <c r="E20" i="3"/>
  <c r="B37" i="3"/>
  <c r="B3" i="22" l="1"/>
  <c r="B2" i="22"/>
  <c r="B13" i="24"/>
  <c r="B3" i="24"/>
  <c r="B8" i="23"/>
  <c r="B12" i="23"/>
  <c r="B2" i="23"/>
  <c r="B5" i="22"/>
  <c r="B5" i="21"/>
  <c r="B7" i="20"/>
  <c r="D12" i="20"/>
  <c r="B4" i="20"/>
  <c r="B3" i="20"/>
  <c r="G14" i="19"/>
  <c r="B4" i="19"/>
  <c r="B22" i="11"/>
  <c r="B5" i="19"/>
  <c r="B16" i="19"/>
  <c r="B14" i="19"/>
  <c r="B8" i="19" l="1"/>
  <c r="B27" i="19" s="1"/>
  <c r="B15" i="17"/>
  <c r="B16" i="10" l="1"/>
  <c r="B28" i="19"/>
  <c r="B34" i="19" s="1"/>
  <c r="B9" i="10"/>
  <c r="B4" i="10"/>
  <c r="B25" i="11"/>
  <c r="B24" i="11"/>
  <c r="B15" i="9" l="1"/>
  <c r="D4" i="5"/>
  <c r="B22" i="4"/>
  <c r="C7" i="4"/>
  <c r="C6" i="4"/>
  <c r="C5" i="4"/>
  <c r="C4" i="4"/>
  <c r="C3" i="4"/>
  <c r="B17" i="4"/>
  <c r="B3" i="9" s="1"/>
  <c r="B16" i="4"/>
  <c r="B12" i="4"/>
  <c r="B4" i="9" s="1"/>
  <c r="B13" i="4"/>
  <c r="B14" i="4"/>
  <c r="B5" i="9" s="1"/>
  <c r="B15" i="4"/>
  <c r="B11" i="4"/>
  <c r="B19" i="3"/>
  <c r="B20" i="3"/>
  <c r="B15" i="3"/>
  <c r="B16" i="3"/>
  <c r="B17" i="3"/>
  <c r="B18" i="3"/>
  <c r="B14" i="3"/>
  <c r="F12" i="1"/>
  <c r="C8" i="2" s="1"/>
  <c r="G5" i="1"/>
  <c r="G6" i="1"/>
  <c r="G7" i="1"/>
  <c r="G8" i="1"/>
  <c r="G9" i="1"/>
  <c r="G10" i="1"/>
  <c r="G11" i="1"/>
  <c r="G4" i="1"/>
  <c r="D5" i="1"/>
  <c r="D6" i="1"/>
  <c r="D7" i="1"/>
  <c r="D8" i="1"/>
  <c r="D4" i="1"/>
  <c r="E18" i="3" l="1"/>
  <c r="E19" i="3" s="1"/>
  <c r="B36" i="3" s="1"/>
  <c r="E16" i="3"/>
  <c r="E17" i="3" s="1"/>
  <c r="B35" i="3" s="1"/>
  <c r="G12" i="1"/>
  <c r="C7" i="2"/>
  <c r="C9" i="2"/>
  <c r="C6" i="2"/>
  <c r="E15" i="3"/>
  <c r="B34" i="3" s="1"/>
  <c r="E14" i="3"/>
  <c r="B33" i="3" s="1"/>
  <c r="D8" i="4"/>
  <c r="F4" i="4"/>
  <c r="F14" i="4" l="1"/>
  <c r="B7" i="9"/>
  <c r="F7" i="2"/>
  <c r="F11" i="2"/>
  <c r="C10" i="2"/>
  <c r="B3" i="8" l="1"/>
  <c r="C3" i="8" s="1"/>
  <c r="B7" i="8" s="1"/>
  <c r="B8" i="8" s="1"/>
  <c r="B10" i="8" s="1"/>
  <c r="F19" i="4"/>
  <c r="C4" i="25" s="1"/>
  <c r="C6" i="25" s="1"/>
  <c r="B6" i="9"/>
  <c r="C17" i="5"/>
  <c r="B1" i="24" l="1"/>
  <c r="B17" i="11"/>
  <c r="B29" i="11" s="1"/>
  <c r="B30" i="11" s="1"/>
  <c r="F32" i="4"/>
  <c r="B8" i="9"/>
  <c r="B4" i="11" l="1"/>
  <c r="B5" i="11" s="1"/>
  <c r="C14" i="5"/>
  <c r="D14" i="5" s="1"/>
  <c r="C11" i="5"/>
  <c r="D11" i="5" s="1"/>
  <c r="C13" i="5"/>
  <c r="D13" i="5" s="1"/>
  <c r="C12" i="5"/>
  <c r="D12" i="5" s="1"/>
  <c r="B18" i="11"/>
  <c r="B23" i="22"/>
  <c r="B24" i="22" s="1"/>
  <c r="C10" i="5"/>
  <c r="D10" i="5" s="1"/>
  <c r="B5" i="24"/>
  <c r="B8" i="24" s="1"/>
  <c r="B22" i="9"/>
  <c r="B20" i="9"/>
  <c r="B21" i="9"/>
  <c r="B24" i="9"/>
  <c r="B23" i="9"/>
  <c r="B13" i="20" l="1"/>
  <c r="B6" i="24"/>
  <c r="B10" i="24" s="1"/>
  <c r="B20" i="24" s="1"/>
  <c r="B21" i="24" s="1"/>
  <c r="B9" i="24"/>
  <c r="B17" i="24"/>
  <c r="B18" i="24" s="1"/>
  <c r="B28" i="9"/>
  <c r="B31" i="9" s="1"/>
  <c r="D13" i="20" l="1"/>
  <c r="B11" i="24"/>
  <c r="B32" i="9"/>
  <c r="B30" i="9"/>
  <c r="B34" i="9"/>
  <c r="B33" i="9"/>
  <c r="B38" i="9" l="1"/>
  <c r="B12" i="10" s="1"/>
  <c r="B4" i="23" l="1"/>
  <c r="B9" i="11"/>
  <c r="B13" i="11"/>
  <c r="B14" i="11" s="1"/>
  <c r="B9" i="23" s="1"/>
  <c r="B14" i="23" s="1"/>
  <c r="B16" i="23" s="1"/>
  <c r="B18" i="23" s="1"/>
  <c r="B20" i="23" s="1"/>
  <c r="B24" i="23" s="1"/>
  <c r="F20" i="10" l="1"/>
  <c r="B2" i="20" s="1"/>
  <c r="E4" i="25"/>
  <c r="E6" i="25" s="1"/>
  <c r="C12" i="17"/>
  <c r="F21" i="10" l="1"/>
  <c r="B4" i="25"/>
  <c r="B6" i="25" s="1"/>
  <c r="B3" i="21"/>
  <c r="B2" i="21"/>
  <c r="D2" i="20"/>
  <c r="B20" i="20"/>
  <c r="B19" i="22" s="1"/>
  <c r="B17" i="20"/>
</calcChain>
</file>

<file path=xl/sharedStrings.xml><?xml version="1.0" encoding="utf-8"?>
<sst xmlns="http://schemas.openxmlformats.org/spreadsheetml/2006/main" count="423" uniqueCount="301">
  <si>
    <t>Carbon</t>
  </si>
  <si>
    <t>Hydrogeno</t>
  </si>
  <si>
    <t>Nitrogeno</t>
  </si>
  <si>
    <t>Sulfuro</t>
  </si>
  <si>
    <t>Oxygeno</t>
  </si>
  <si>
    <t>Elemento</t>
  </si>
  <si>
    <t>Porcentaje %</t>
  </si>
  <si>
    <t>Molecula</t>
  </si>
  <si>
    <t>P2O5</t>
  </si>
  <si>
    <t>SiO2</t>
  </si>
  <si>
    <t>Fe2O3</t>
  </si>
  <si>
    <t>Al2O3</t>
  </si>
  <si>
    <t>CaO</t>
  </si>
  <si>
    <t>MgO</t>
  </si>
  <si>
    <t>Na2O</t>
  </si>
  <si>
    <t>K2O</t>
  </si>
  <si>
    <t>Concentraciones de masa relativas</t>
  </si>
  <si>
    <t xml:space="preserve">Porcentaje% </t>
  </si>
  <si>
    <r>
      <t>TA[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C]:</t>
    </r>
  </si>
  <si>
    <t>Temperatura Adiabatica</t>
  </si>
  <si>
    <t>Temperatura Ablandamiento</t>
  </si>
  <si>
    <t>SEP</t>
  </si>
  <si>
    <t>Estandar de error de prediccion</t>
  </si>
  <si>
    <r>
      <t xml:space="preserve">57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C, equivale de 4 a 9% de TA</t>
    </r>
  </si>
  <si>
    <t>Humedad</t>
  </si>
  <si>
    <t>Gross Calorific value</t>
  </si>
  <si>
    <t>Poder Calorifico grueso/superficial</t>
  </si>
  <si>
    <t>PCS= Poder Calorifico Superior, Toscano</t>
  </si>
  <si>
    <t>Phyllis2, HHV: High Heating Value</t>
  </si>
  <si>
    <r>
      <t>X</t>
    </r>
    <r>
      <rPr>
        <vertAlign val="subscript"/>
        <sz val="11"/>
        <color theme="1"/>
        <rFont val="Calibri"/>
        <family val="2"/>
        <scheme val="minor"/>
      </rPr>
      <t>H</t>
    </r>
  </si>
  <si>
    <r>
      <t>X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</si>
  <si>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</si>
  <si>
    <r>
      <t>X</t>
    </r>
    <r>
      <rPr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</si>
  <si>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vertAlign val="subscript"/>
        <sz val="11"/>
        <color theme="1"/>
        <rFont val="Calibri"/>
        <family val="2"/>
        <scheme val="minor"/>
      </rPr>
      <t>O</t>
    </r>
  </si>
  <si>
    <r>
      <t>X</t>
    </r>
    <r>
      <rPr>
        <vertAlign val="subscript"/>
        <sz val="11"/>
        <color theme="1"/>
        <rFont val="Calibri"/>
        <family val="2"/>
        <scheme val="minor"/>
      </rPr>
      <t>ash</t>
    </r>
  </si>
  <si>
    <t>w</t>
  </si>
  <si>
    <t>CGV=</t>
  </si>
  <si>
    <t>MJ/Kg</t>
  </si>
  <si>
    <t>ash</t>
  </si>
  <si>
    <r>
      <t>HHV</t>
    </r>
    <r>
      <rPr>
        <b/>
        <vertAlign val="subscript"/>
        <sz val="11"/>
        <color theme="1"/>
        <rFont val="Calibri"/>
        <family val="2"/>
        <scheme val="minor"/>
      </rPr>
      <t>Milne</t>
    </r>
    <r>
      <rPr>
        <b/>
        <sz val="11"/>
        <color theme="1"/>
        <rFont val="Calibri"/>
        <family val="2"/>
        <scheme val="minor"/>
      </rPr>
      <t>=</t>
    </r>
  </si>
  <si>
    <t>Error</t>
  </si>
  <si>
    <t>Handbook</t>
  </si>
  <si>
    <t>PODER CALORIFICO SUPERIOR</t>
  </si>
  <si>
    <t>PODER CALORIFICO INFERIOR</t>
  </si>
  <si>
    <t>HHV(OLS)=</t>
  </si>
  <si>
    <t>A. Friedll, E. Padouvas et al</t>
  </si>
  <si>
    <t>HHV(PLS)=</t>
  </si>
  <si>
    <t>NCV</t>
  </si>
  <si>
    <r>
      <t>LHV</t>
    </r>
    <r>
      <rPr>
        <b/>
        <vertAlign val="subscript"/>
        <sz val="11"/>
        <color theme="1"/>
        <rFont val="Calibri"/>
        <family val="2"/>
        <scheme val="minor"/>
      </rPr>
      <t>Milne</t>
    </r>
    <r>
      <rPr>
        <b/>
        <sz val="11"/>
        <color theme="1"/>
        <rFont val="Calibri"/>
        <family val="2"/>
        <scheme val="minor"/>
      </rPr>
      <t>=</t>
    </r>
  </si>
  <si>
    <t>LHV(OLS)=</t>
  </si>
  <si>
    <t>LHV(PLS)=</t>
  </si>
  <si>
    <t>NCV=</t>
  </si>
  <si>
    <t>Oxigeno necesario</t>
  </si>
  <si>
    <t>Masas Moleculares</t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</si>
  <si>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</si>
  <si>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H</t>
    </r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</si>
  <si>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</si>
  <si>
    <r>
      <t>M</t>
    </r>
    <r>
      <rPr>
        <vertAlign val="subscript"/>
        <sz val="11"/>
        <color theme="1"/>
        <rFont val="Calibri"/>
        <family val="2"/>
        <scheme val="minor"/>
      </rPr>
      <t>O2</t>
    </r>
  </si>
  <si>
    <t>landa</t>
  </si>
  <si>
    <t>Mass Fraction %</t>
  </si>
  <si>
    <t>C</t>
  </si>
  <si>
    <t>N</t>
  </si>
  <si>
    <t>H</t>
  </si>
  <si>
    <t>S</t>
  </si>
  <si>
    <t>O</t>
  </si>
  <si>
    <r>
      <t>X</t>
    </r>
    <r>
      <rPr>
        <vertAlign val="subscript"/>
        <sz val="11"/>
        <color theme="1"/>
        <rFont val="Calibri"/>
        <family val="2"/>
        <scheme val="minor"/>
      </rPr>
      <t>w</t>
    </r>
  </si>
  <si>
    <t>Nitrogeno del aire</t>
  </si>
  <si>
    <r>
      <t>M</t>
    </r>
    <r>
      <rPr>
        <vertAlign val="subscript"/>
        <sz val="11"/>
        <color theme="1"/>
        <rFont val="Calibri"/>
        <family val="2"/>
        <scheme val="minor"/>
      </rPr>
      <t>N2</t>
    </r>
  </si>
  <si>
    <t>Fraccion de volumen</t>
  </si>
  <si>
    <r>
      <t>Y</t>
    </r>
    <r>
      <rPr>
        <vertAlign val="subscript"/>
        <sz val="11"/>
        <color theme="1"/>
        <rFont val="Calibri"/>
        <family val="2"/>
        <scheme val="minor"/>
      </rPr>
      <t>O2</t>
    </r>
  </si>
  <si>
    <r>
      <t>Y</t>
    </r>
    <r>
      <rPr>
        <vertAlign val="subscript"/>
        <sz val="11"/>
        <color theme="1"/>
        <rFont val="Calibri"/>
        <family val="2"/>
        <scheme val="minor"/>
      </rPr>
      <t>N2</t>
    </r>
  </si>
  <si>
    <t>Aire necesario</t>
  </si>
  <si>
    <t>m_air</t>
  </si>
  <si>
    <r>
      <t>m_</t>
    </r>
    <r>
      <rPr>
        <vertAlign val="subscript"/>
        <sz val="11"/>
        <color theme="1"/>
        <rFont val="Calibri"/>
        <family val="2"/>
        <scheme val="minor"/>
      </rPr>
      <t>O2, air</t>
    </r>
    <r>
      <rPr>
        <sz val="11"/>
        <color theme="1"/>
        <rFont val="Calibri"/>
        <family val="2"/>
        <scheme val="minor"/>
      </rPr>
      <t>=</t>
    </r>
  </si>
  <si>
    <r>
      <t>m_</t>
    </r>
    <r>
      <rPr>
        <vertAlign val="subscript"/>
        <sz val="11"/>
        <color theme="1"/>
        <rFont val="Calibri"/>
        <family val="2"/>
        <scheme val="minor"/>
      </rPr>
      <t>N2, air=</t>
    </r>
  </si>
  <si>
    <t>m_air=</t>
  </si>
  <si>
    <t>Fraccion de masa</t>
  </si>
  <si>
    <t>Gases de combustion</t>
  </si>
  <si>
    <t>m_FG</t>
  </si>
  <si>
    <r>
      <t>m_</t>
    </r>
    <r>
      <rPr>
        <vertAlign val="subscript"/>
        <sz val="11"/>
        <color theme="1"/>
        <rFont val="Calibri"/>
        <family val="2"/>
        <scheme val="minor"/>
      </rPr>
      <t>FG</t>
    </r>
    <r>
      <rPr>
        <sz val="11"/>
        <color theme="1"/>
        <rFont val="Calibri"/>
        <family val="2"/>
        <scheme val="minor"/>
      </rPr>
      <t>=</t>
    </r>
  </si>
  <si>
    <t>[Kg.air/Kg.combustible]</t>
  </si>
  <si>
    <t>[Kg gases/Kg combustible]</t>
  </si>
  <si>
    <t>[Kg N2/Kg.combustible]</t>
  </si>
  <si>
    <t>[KgO2/Kg.combustible]</t>
  </si>
  <si>
    <t>Ta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</si>
  <si>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</si>
  <si>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K</t>
  </si>
  <si>
    <t>C_pg</t>
  </si>
  <si>
    <t>Temp Adiabatica</t>
  </si>
  <si>
    <r>
      <t>LHV</t>
    </r>
    <r>
      <rPr>
        <b/>
        <vertAlign val="subscript"/>
        <sz val="11"/>
        <color theme="1"/>
        <rFont val="Calibri"/>
        <family val="2"/>
        <scheme val="minor"/>
      </rPr>
      <t>Milne</t>
    </r>
  </si>
  <si>
    <t>LHV(OLS)</t>
  </si>
  <si>
    <t>LHV(PLS)</t>
  </si>
  <si>
    <t>La temperatura adiabatica debe ser menor a la temperatura de ablandamiento para evitar fundicion de cenizas</t>
  </si>
  <si>
    <t>TAblandamiento=</t>
  </si>
  <si>
    <t>Landa</t>
  </si>
  <si>
    <t>Tem adiabatica</t>
  </si>
  <si>
    <t>NHV</t>
  </si>
  <si>
    <t>[Kj/Kg]</t>
  </si>
  <si>
    <t>Determinacion del landa</t>
  </si>
  <si>
    <t>Calculado</t>
  </si>
  <si>
    <t>Masa de las especies de los gases</t>
  </si>
  <si>
    <r>
      <t>m</t>
    </r>
    <r>
      <rPr>
        <vertAlign val="subscript"/>
        <sz val="11"/>
        <color theme="1"/>
        <rFont val="Calibri"/>
        <family val="2"/>
        <scheme val="minor"/>
      </rPr>
      <t>SO2</t>
    </r>
  </si>
  <si>
    <r>
      <t>m</t>
    </r>
    <r>
      <rPr>
        <vertAlign val="subscript"/>
        <sz val="11"/>
        <color theme="1"/>
        <rFont val="Calibri"/>
        <family val="2"/>
        <scheme val="minor"/>
      </rPr>
      <t>CO2</t>
    </r>
  </si>
  <si>
    <r>
      <t>m</t>
    </r>
    <r>
      <rPr>
        <vertAlign val="subscript"/>
        <sz val="11"/>
        <color theme="1"/>
        <rFont val="Calibri"/>
        <family val="2"/>
        <scheme val="minor"/>
      </rPr>
      <t>O2</t>
    </r>
  </si>
  <si>
    <t>Masas molares</t>
  </si>
  <si>
    <r>
      <t>m</t>
    </r>
    <r>
      <rPr>
        <vertAlign val="subscript"/>
        <sz val="11"/>
        <color theme="1"/>
        <rFont val="Calibri"/>
        <family val="2"/>
        <scheme val="minor"/>
      </rPr>
      <t>H20</t>
    </r>
  </si>
  <si>
    <r>
      <t>m</t>
    </r>
    <r>
      <rPr>
        <vertAlign val="subscript"/>
        <sz val="11"/>
        <color theme="1"/>
        <rFont val="Calibri"/>
        <family val="2"/>
        <scheme val="minor"/>
      </rPr>
      <t>N2</t>
    </r>
  </si>
  <si>
    <r>
      <t>M</t>
    </r>
    <r>
      <rPr>
        <vertAlign val="subscript"/>
        <sz val="11"/>
        <color theme="1"/>
        <rFont val="Calibri"/>
        <family val="2"/>
        <scheme val="minor"/>
      </rPr>
      <t>CO2</t>
    </r>
  </si>
  <si>
    <r>
      <t>M</t>
    </r>
    <r>
      <rPr>
        <vertAlign val="subscript"/>
        <sz val="11"/>
        <color theme="1"/>
        <rFont val="Calibri"/>
        <family val="2"/>
        <scheme val="minor"/>
      </rPr>
      <t>H20</t>
    </r>
  </si>
  <si>
    <r>
      <t>M</t>
    </r>
    <r>
      <rPr>
        <vertAlign val="subscript"/>
        <sz val="11"/>
        <color theme="1"/>
        <rFont val="Calibri"/>
        <family val="2"/>
        <scheme val="minor"/>
      </rPr>
      <t>SO2</t>
    </r>
  </si>
  <si>
    <r>
      <t>M</t>
    </r>
    <r>
      <rPr>
        <vertAlign val="subscript"/>
        <sz val="11"/>
        <color theme="1"/>
        <rFont val="Calibri"/>
        <family val="2"/>
        <scheme val="minor"/>
      </rPr>
      <t>H2</t>
    </r>
  </si>
  <si>
    <t>[Kg CO2/Kg combustible]</t>
  </si>
  <si>
    <t>[Kg SO2/Kg combustible]</t>
  </si>
  <si>
    <t>[Kg N2/Kg combustible]</t>
  </si>
  <si>
    <t>[Kg O2/Kg combustible]</t>
  </si>
  <si>
    <t>[Kg H2O/Kg combustible]</t>
  </si>
  <si>
    <r>
      <t>X</t>
    </r>
    <r>
      <rPr>
        <vertAlign val="subscript"/>
        <sz val="11"/>
        <color theme="1"/>
        <rFont val="Calibri"/>
        <family val="2"/>
        <scheme val="minor"/>
      </rPr>
      <t>CO2</t>
    </r>
  </si>
  <si>
    <r>
      <t>X</t>
    </r>
    <r>
      <rPr>
        <vertAlign val="subscript"/>
        <sz val="11"/>
        <color theme="1"/>
        <rFont val="Calibri"/>
        <family val="2"/>
        <scheme val="minor"/>
      </rPr>
      <t>H20</t>
    </r>
  </si>
  <si>
    <r>
      <t>X</t>
    </r>
    <r>
      <rPr>
        <vertAlign val="subscript"/>
        <sz val="11"/>
        <color theme="1"/>
        <rFont val="Calibri"/>
        <family val="2"/>
        <scheme val="minor"/>
      </rPr>
      <t>SO2</t>
    </r>
  </si>
  <si>
    <r>
      <t>X</t>
    </r>
    <r>
      <rPr>
        <vertAlign val="subscript"/>
        <sz val="11"/>
        <color theme="1"/>
        <rFont val="Calibri"/>
        <family val="2"/>
        <scheme val="minor"/>
      </rPr>
      <t>N2</t>
    </r>
  </si>
  <si>
    <r>
      <t>X</t>
    </r>
    <r>
      <rPr>
        <vertAlign val="subscript"/>
        <sz val="11"/>
        <color theme="1"/>
        <rFont val="Calibri"/>
        <family val="2"/>
        <scheme val="minor"/>
      </rPr>
      <t>O2</t>
    </r>
  </si>
  <si>
    <t>Fracciones de volumen</t>
  </si>
  <si>
    <t>Xi/Mi</t>
  </si>
  <si>
    <r>
      <t>Y</t>
    </r>
    <r>
      <rPr>
        <vertAlign val="subscript"/>
        <sz val="11"/>
        <color theme="1"/>
        <rFont val="Calibri"/>
        <family val="2"/>
        <scheme val="minor"/>
      </rPr>
      <t>CO2</t>
    </r>
  </si>
  <si>
    <r>
      <t>Y</t>
    </r>
    <r>
      <rPr>
        <vertAlign val="subscript"/>
        <sz val="11"/>
        <color theme="1"/>
        <rFont val="Calibri"/>
        <family val="2"/>
        <scheme val="minor"/>
      </rPr>
      <t>H20</t>
    </r>
  </si>
  <si>
    <r>
      <t>Y</t>
    </r>
    <r>
      <rPr>
        <vertAlign val="subscript"/>
        <sz val="11"/>
        <color theme="1"/>
        <rFont val="Calibri"/>
        <family val="2"/>
        <scheme val="minor"/>
      </rPr>
      <t>SO2</t>
    </r>
  </si>
  <si>
    <t>Masa Molecular</t>
  </si>
  <si>
    <r>
      <t>M</t>
    </r>
    <r>
      <rPr>
        <vertAlign val="subscript"/>
        <sz val="11"/>
        <color theme="1"/>
        <rFont val="Calibri"/>
        <family val="2"/>
        <scheme val="minor"/>
      </rPr>
      <t>FG</t>
    </r>
  </si>
  <si>
    <t>[Kg/Kmole]</t>
  </si>
  <si>
    <t>TIEMPO DE RESIDENCIA</t>
  </si>
  <si>
    <t>Volumen camara de combustion</t>
  </si>
  <si>
    <t>[m3]</t>
  </si>
  <si>
    <t>Densidad de gases de combustion</t>
  </si>
  <si>
    <t>[Pa]</t>
  </si>
  <si>
    <t>[K]</t>
  </si>
  <si>
    <t>[J/kmole.K]</t>
  </si>
  <si>
    <t>[Kg/m3]</t>
  </si>
  <si>
    <t>Flujo masico de combustible</t>
  </si>
  <si>
    <t>[kg/h]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</si>
  <si>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</si>
  <si>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t>To=</t>
  </si>
  <si>
    <r>
      <t>R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</si>
  <si>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Vc=</t>
  </si>
  <si>
    <r>
      <t>rho</t>
    </r>
    <r>
      <rPr>
        <vertAlign val="subscript"/>
        <sz val="11"/>
        <color theme="1"/>
        <rFont val="Calibri"/>
        <family val="2"/>
        <scheme val="minor"/>
      </rPr>
      <t>FG=</t>
    </r>
  </si>
  <si>
    <r>
      <t>m</t>
    </r>
    <r>
      <rPr>
        <vertAlign val="subscript"/>
        <sz val="11"/>
        <color theme="1"/>
        <rFont val="Calibri"/>
        <family val="2"/>
        <scheme val="minor"/>
      </rPr>
      <t>p_f</t>
    </r>
    <r>
      <rPr>
        <sz val="11"/>
        <color theme="1"/>
        <rFont val="Calibri"/>
        <family val="2"/>
        <scheme val="minor"/>
      </rPr>
      <t>=</t>
    </r>
  </si>
  <si>
    <t>Tiempo de residencia</t>
  </si>
  <si>
    <t>tr=</t>
  </si>
  <si>
    <t>[seg]</t>
  </si>
  <si>
    <t>Flujo masico de los gases</t>
  </si>
  <si>
    <t>[Kg/h]</t>
  </si>
  <si>
    <t>[Kg/s]</t>
  </si>
  <si>
    <t>Flujo volumetrico del gas</t>
  </si>
  <si>
    <r>
      <t>mp</t>
    </r>
    <r>
      <rPr>
        <b/>
        <vertAlign val="subscript"/>
        <sz val="11"/>
        <color theme="1"/>
        <rFont val="Calibri"/>
        <family val="2"/>
        <scheme val="minor"/>
      </rPr>
      <t>FG</t>
    </r>
  </si>
  <si>
    <t>[Nm3/h]</t>
  </si>
  <si>
    <t>Volmen del gas</t>
  </si>
  <si>
    <r>
      <t>V</t>
    </r>
    <r>
      <rPr>
        <vertAlign val="subscript"/>
        <sz val="11"/>
        <color theme="1"/>
        <rFont val="Calibri"/>
        <family val="2"/>
        <scheme val="minor"/>
      </rPr>
      <t>FG</t>
    </r>
  </si>
  <si>
    <r>
      <t>V</t>
    </r>
    <r>
      <rPr>
        <vertAlign val="subscript"/>
        <sz val="11"/>
        <color theme="1"/>
        <rFont val="Calibri"/>
        <family val="2"/>
        <scheme val="minor"/>
      </rPr>
      <t>PFG</t>
    </r>
  </si>
  <si>
    <t>[Nm3/Kg combustible]</t>
  </si>
  <si>
    <t>Flujo masico del aire</t>
  </si>
  <si>
    <r>
      <t>m</t>
    </r>
    <r>
      <rPr>
        <vertAlign val="subscript"/>
        <sz val="11"/>
        <color theme="1"/>
        <rFont val="Calibri"/>
        <family val="2"/>
        <scheme val="minor"/>
      </rPr>
      <t>pair</t>
    </r>
  </si>
  <si>
    <t>Densidad del aire</t>
  </si>
  <si>
    <r>
      <t>M</t>
    </r>
    <r>
      <rPr>
        <vertAlign val="subscript"/>
        <sz val="11"/>
        <color theme="1"/>
        <rFont val="Calibri"/>
        <family val="2"/>
        <scheme val="minor"/>
      </rPr>
      <t>air</t>
    </r>
    <r>
      <rPr>
        <sz val="11"/>
        <color theme="1"/>
        <rFont val="Calibri"/>
        <family val="2"/>
        <scheme val="minor"/>
      </rPr>
      <t>=</t>
    </r>
  </si>
  <si>
    <t>[Kg/kmole]</t>
  </si>
  <si>
    <t>Flujo volumetrico del aire</t>
  </si>
  <si>
    <r>
      <t>V</t>
    </r>
    <r>
      <rPr>
        <vertAlign val="subscript"/>
        <sz val="11"/>
        <color theme="1"/>
        <rFont val="Calibri"/>
        <family val="2"/>
        <scheme val="minor"/>
      </rPr>
      <t>pair</t>
    </r>
  </si>
  <si>
    <t>[Nm3/s]</t>
  </si>
  <si>
    <t>[KJ/Kg.K]</t>
  </si>
  <si>
    <r>
      <t>rho</t>
    </r>
    <r>
      <rPr>
        <vertAlign val="subscript"/>
        <sz val="11"/>
        <color theme="1"/>
        <rFont val="Calibri"/>
        <family val="2"/>
        <scheme val="minor"/>
      </rPr>
      <t>cisco</t>
    </r>
  </si>
  <si>
    <r>
      <t>Landa</t>
    </r>
    <r>
      <rPr>
        <vertAlign val="subscript"/>
        <sz val="11"/>
        <color theme="1"/>
        <rFont val="Calibri"/>
        <family val="2"/>
        <scheme val="minor"/>
      </rPr>
      <t>T</t>
    </r>
  </si>
  <si>
    <t>i</t>
  </si>
  <si>
    <t>p</t>
  </si>
  <si>
    <t>Paso</t>
  </si>
  <si>
    <t>Coef. Relleno</t>
  </si>
  <si>
    <r>
      <t>P</t>
    </r>
    <r>
      <rPr>
        <vertAlign val="subscript"/>
        <sz val="11"/>
        <color theme="1"/>
        <rFont val="Calibri"/>
        <family val="2"/>
        <scheme val="minor"/>
      </rPr>
      <t>m</t>
    </r>
  </si>
  <si>
    <t># polos</t>
  </si>
  <si>
    <t>Inclinacion</t>
  </si>
  <si>
    <t>Densidad cisco</t>
  </si>
  <si>
    <t>[m]</t>
  </si>
  <si>
    <t>Adimensional</t>
  </si>
  <si>
    <t>[kg/m3]</t>
  </si>
  <si>
    <t>bruta</t>
  </si>
  <si>
    <t>a 26 grados celsius</t>
  </si>
  <si>
    <t>inclinacion de 18 grados</t>
  </si>
  <si>
    <t>Desconocido</t>
  </si>
  <si>
    <t>Material ligero y no abrasivo</t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</si>
  <si>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</si>
  <si>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E</t>
    </r>
  </si>
  <si>
    <t>Diametro Tornilo, haspas, externo</t>
  </si>
  <si>
    <t>Diametro eje</t>
  </si>
  <si>
    <t>Flujo masico=</t>
  </si>
  <si>
    <t>f</t>
  </si>
  <si>
    <t>Frecuencia</t>
  </si>
  <si>
    <t>1/s</t>
  </si>
  <si>
    <t>Senal de control</t>
  </si>
  <si>
    <t>Tadiabatica=</t>
  </si>
  <si>
    <t>[C]</t>
  </si>
  <si>
    <t>Velocidad maxima</t>
  </si>
  <si>
    <t># Nusselt</t>
  </si>
  <si>
    <t>Reynolds para flujo externo</t>
  </si>
  <si>
    <t>rho air</t>
  </si>
  <si>
    <t>De</t>
  </si>
  <si>
    <t>miu</t>
  </si>
  <si>
    <t>[Pa.s]</t>
  </si>
  <si>
    <t>Re</t>
  </si>
  <si>
    <t>Re=</t>
  </si>
  <si>
    <t>Vel</t>
  </si>
  <si>
    <r>
      <t>Vel</t>
    </r>
    <r>
      <rPr>
        <b/>
        <vertAlign val="subscript"/>
        <sz val="11"/>
        <color theme="1"/>
        <rFont val="Calibri"/>
        <family val="2"/>
        <scheme val="minor"/>
      </rPr>
      <t>air</t>
    </r>
    <r>
      <rPr>
        <b/>
        <sz val="11"/>
        <color theme="1"/>
        <rFont val="Calibri"/>
        <family val="2"/>
        <scheme val="minor"/>
      </rPr>
      <t>=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</si>
  <si>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=</t>
    </r>
  </si>
  <si>
    <t>[m/s]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</si>
  <si>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=</t>
    </r>
  </si>
  <si>
    <t>usando la correlacion de Zhukaukas</t>
  </si>
  <si>
    <r>
      <t>rho</t>
    </r>
    <r>
      <rPr>
        <vertAlign val="subscript"/>
        <sz val="11"/>
        <color theme="1"/>
        <rFont val="Calibri"/>
        <family val="2"/>
        <scheme val="minor"/>
      </rPr>
      <t>air=</t>
    </r>
  </si>
  <si>
    <t>Xt/Xl=</t>
  </si>
  <si>
    <t>c=</t>
  </si>
  <si>
    <t>m=</t>
  </si>
  <si>
    <t>cn=</t>
  </si>
  <si>
    <t>Pr</t>
  </si>
  <si>
    <r>
      <t>Pr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</t>
    </r>
  </si>
  <si>
    <r>
      <t>Pr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</si>
  <si>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"/>
        <family val="2"/>
        <scheme val="minor"/>
      </rPr>
      <t>ub</t>
    </r>
  </si>
  <si>
    <t>Nu</t>
  </si>
  <si>
    <t>Coeficiente de conveccion externo ho</t>
  </si>
  <si>
    <r>
      <t>K</t>
    </r>
    <r>
      <rPr>
        <vertAlign val="subscript"/>
        <sz val="11"/>
        <color theme="1"/>
        <rFont val="Calibri"/>
        <family val="2"/>
        <scheme val="minor"/>
      </rPr>
      <t>aire</t>
    </r>
    <r>
      <rPr>
        <sz val="11"/>
        <color theme="1"/>
        <rFont val="Calibri"/>
        <family val="2"/>
        <scheme val="minor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</si>
  <si>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=</t>
    </r>
  </si>
  <si>
    <t>[k]</t>
  </si>
  <si>
    <r>
      <t>Cp</t>
    </r>
    <r>
      <rPr>
        <vertAlign val="subscript"/>
        <sz val="11"/>
        <color theme="1"/>
        <rFont val="Calibri"/>
        <family val="2"/>
        <scheme val="minor"/>
      </rPr>
      <t>air</t>
    </r>
  </si>
  <si>
    <r>
      <t>Cp</t>
    </r>
    <r>
      <rPr>
        <vertAlign val="subscript"/>
        <sz val="11"/>
        <color theme="1"/>
        <rFont val="Calibri"/>
        <family val="2"/>
        <scheme val="minor"/>
      </rPr>
      <t>gas</t>
    </r>
  </si>
  <si>
    <r>
      <t>m</t>
    </r>
    <r>
      <rPr>
        <vertAlign val="subscript"/>
        <sz val="11"/>
        <color theme="1"/>
        <rFont val="Calibri"/>
        <family val="2"/>
        <scheme val="minor"/>
      </rPr>
      <t>pgas</t>
    </r>
  </si>
  <si>
    <t>[J/Kg.K]</t>
  </si>
  <si>
    <t>DeltaT</t>
  </si>
  <si>
    <t>P</t>
  </si>
  <si>
    <t>R</t>
  </si>
  <si>
    <t>F=</t>
  </si>
  <si>
    <t>Rfi</t>
  </si>
  <si>
    <t>Rfo</t>
  </si>
  <si>
    <t>[m2.k/W]</t>
  </si>
  <si>
    <t>Rho</t>
  </si>
  <si>
    <r>
      <t>miu</t>
    </r>
    <r>
      <rPr>
        <vertAlign val="subscript"/>
        <sz val="11"/>
        <color theme="1"/>
        <rFont val="Calibri"/>
        <family val="2"/>
        <scheme val="minor"/>
      </rPr>
      <t>gases</t>
    </r>
  </si>
  <si>
    <t>N/s.m2</t>
  </si>
  <si>
    <t>Reynolds</t>
  </si>
  <si>
    <t>Di</t>
  </si>
  <si>
    <t>Q</t>
  </si>
  <si>
    <t>[m3/s]</t>
  </si>
  <si>
    <t>numero de tubos</t>
  </si>
  <si>
    <t>L/D</t>
  </si>
  <si>
    <t>&gt;10</t>
  </si>
  <si>
    <r>
      <t>K</t>
    </r>
    <r>
      <rPr>
        <vertAlign val="subscript"/>
        <sz val="11"/>
        <color theme="1"/>
        <rFont val="Calibri"/>
        <family val="2"/>
        <scheme val="minor"/>
      </rPr>
      <t>gases</t>
    </r>
  </si>
  <si>
    <t>[W/m.K]</t>
  </si>
  <si>
    <t>[w/m2]</t>
  </si>
  <si>
    <r>
      <t>h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</t>
    </r>
  </si>
  <si>
    <t>[W/m2]</t>
  </si>
  <si>
    <t>m_aire</t>
  </si>
  <si>
    <t>[Kg air/kg fuel]</t>
  </si>
  <si>
    <t>%primario</t>
  </si>
  <si>
    <t>[m3/h]</t>
  </si>
  <si>
    <r>
      <t>V</t>
    </r>
    <r>
      <rPr>
        <vertAlign val="subscript"/>
        <sz val="11"/>
        <color theme="1"/>
        <rFont val="Calibri"/>
        <family val="2"/>
        <scheme val="minor"/>
      </rPr>
      <t>pair1st</t>
    </r>
  </si>
  <si>
    <r>
      <t>V</t>
    </r>
    <r>
      <rPr>
        <vertAlign val="subscript"/>
        <sz val="11"/>
        <color theme="1"/>
        <rFont val="Calibri"/>
        <family val="2"/>
        <scheme val="minor"/>
      </rPr>
      <t>pair2nd</t>
    </r>
  </si>
  <si>
    <t>Flujo de aire  primario y segundario</t>
  </si>
  <si>
    <r>
      <t>m</t>
    </r>
    <r>
      <rPr>
        <vertAlign val="subscript"/>
        <sz val="11"/>
        <color theme="1"/>
        <rFont val="Calibri"/>
        <family val="2"/>
        <scheme val="minor"/>
      </rPr>
      <t>pair1st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</si>
  <si>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pair2nd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</si>
  <si>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air1st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</si>
  <si>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air2nd</t>
    </r>
    <r>
      <rPr>
        <sz val="11"/>
        <color theme="1"/>
        <rFont val="Calibri"/>
        <family val="2"/>
        <scheme val="minor"/>
      </rPr>
      <t>=</t>
    </r>
  </si>
  <si>
    <t>U=</t>
  </si>
  <si>
    <r>
      <t>k</t>
    </r>
    <r>
      <rPr>
        <vertAlign val="subscript"/>
        <sz val="11"/>
        <color theme="1"/>
        <rFont val="Calibri"/>
        <family val="2"/>
        <scheme val="minor"/>
      </rPr>
      <t>acero</t>
    </r>
    <r>
      <rPr>
        <sz val="11"/>
        <color theme="1"/>
        <rFont val="Calibri"/>
        <family val="2"/>
        <scheme val="minor"/>
      </rPr>
      <t>=</t>
    </r>
  </si>
  <si>
    <t>A</t>
  </si>
  <si>
    <t>[m2]</t>
  </si>
  <si>
    <t>[W/m2.K]</t>
  </si>
  <si>
    <t>W</t>
  </si>
  <si>
    <t>Qair</t>
  </si>
  <si>
    <t>%</t>
  </si>
  <si>
    <t>kJ/Kg</t>
  </si>
  <si>
    <t>Composición quimica</t>
  </si>
  <si>
    <t>Composición de cenizas</t>
  </si>
  <si>
    <t>LHV=</t>
  </si>
  <si>
    <t>Mediana</t>
  </si>
  <si>
    <t>mediana</t>
  </si>
  <si>
    <t>PARAMETROS TEORICOS VS FUELSIM</t>
  </si>
  <si>
    <r>
      <t xml:space="preserve">Temperatura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</si>
  <si>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Aire/combustible</t>
  </si>
  <si>
    <t xml:space="preserve">Tiempo </t>
  </si>
  <si>
    <t>Teorico</t>
  </si>
  <si>
    <t>FUELSIM</t>
  </si>
  <si>
    <t>%Error</t>
  </si>
  <si>
    <r>
      <t>Th</t>
    </r>
    <r>
      <rPr>
        <vertAlign val="subscript"/>
        <sz val="11"/>
        <color theme="1"/>
        <rFont val="Calibri"/>
        <family val="2"/>
        <scheme val="minor"/>
      </rPr>
      <t>1</t>
    </r>
  </si>
  <si>
    <r>
      <t>Tc</t>
    </r>
    <r>
      <rPr>
        <vertAlign val="subscript"/>
        <sz val="11"/>
        <color theme="1"/>
        <rFont val="Calibri"/>
        <family val="2"/>
        <scheme val="minor"/>
      </rPr>
      <t>1</t>
    </r>
  </si>
  <si>
    <r>
      <t>Tc</t>
    </r>
    <r>
      <rPr>
        <vertAlign val="subscript"/>
        <sz val="11"/>
        <color theme="1"/>
        <rFont val="Calibri"/>
        <family val="2"/>
        <scheme val="minor"/>
      </rPr>
      <t>2</t>
    </r>
  </si>
  <si>
    <t>Th2=</t>
  </si>
  <si>
    <r>
      <t>C</t>
    </r>
    <r>
      <rPr>
        <vertAlign val="subscript"/>
        <sz val="11"/>
        <color theme="1"/>
        <rFont val="Calibri"/>
        <family val="2"/>
        <scheme val="minor"/>
      </rPr>
      <t>c</t>
    </r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</si>
  <si>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</si>
  <si>
    <r>
      <t>C</t>
    </r>
    <r>
      <rPr>
        <vertAlign val="subscript"/>
        <sz val="11"/>
        <color theme="1"/>
        <rFont val="Calibri"/>
        <family val="2"/>
        <scheme val="minor"/>
      </rPr>
      <t>mín</t>
    </r>
  </si>
  <si>
    <r>
      <t>C</t>
    </r>
    <r>
      <rPr>
        <vertAlign val="subscript"/>
        <sz val="11"/>
        <color theme="1"/>
        <rFont val="Calibri"/>
        <family val="2"/>
        <scheme val="minor"/>
      </rPr>
      <t>mín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máx</t>
    </r>
  </si>
  <si>
    <t>NUT</t>
  </si>
  <si>
    <t>[W/K]</t>
  </si>
  <si>
    <t>U</t>
  </si>
  <si>
    <r>
      <t>q</t>
    </r>
    <r>
      <rPr>
        <vertAlign val="subscript"/>
        <sz val="11"/>
        <color theme="1"/>
        <rFont val="Calibri"/>
        <family val="2"/>
        <scheme val="minor"/>
      </rPr>
      <t>máx</t>
    </r>
  </si>
  <si>
    <t>[W]</t>
  </si>
  <si>
    <t>ԑ</t>
  </si>
  <si>
    <t>De la gráfica</t>
  </si>
  <si>
    <t>q</t>
  </si>
  <si>
    <r>
      <t>T</t>
    </r>
    <r>
      <rPr>
        <vertAlign val="subscript"/>
        <sz val="11"/>
        <color theme="1"/>
        <rFont val="Calibri"/>
        <family val="2"/>
        <scheme val="minor"/>
      </rPr>
      <t>h,o</t>
    </r>
  </si>
  <si>
    <r>
      <t>T</t>
    </r>
    <r>
      <rPr>
        <vertAlign val="subscript"/>
        <sz val="11"/>
        <color theme="1"/>
        <rFont val="Calibri"/>
        <family val="2"/>
        <scheme val="minor"/>
      </rPr>
      <t>c,o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</si>
</sst>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"/>
    <numFmt numFmtId="167" formatCode="#,##0.000"/>
    <numFmt numFmtId="168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3CE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2" xfId="0" applyBorder="1"/>
    <xf numFmtId="0" fontId="0" fillId="3" borderId="11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4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0" xfId="0" applyFont="1" applyFill="1"/>
    <xf numFmtId="0" fontId="2" fillId="0" borderId="0" xfId="0" applyFont="1"/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4" fontId="0" fillId="0" borderId="0" xfId="0" applyNumberFormat="1"/>
    <xf numFmtId="0" fontId="0" fillId="0" borderId="2" xfId="0" applyBorder="1"/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 applyAlignment="1">
      <alignment horizontal="right"/>
    </xf>
    <xf numFmtId="0" fontId="0" fillId="3" borderId="19" xfId="0" applyFill="1" applyBorder="1"/>
    <xf numFmtId="165" fontId="0" fillId="0" borderId="12" xfId="0" applyNumberFormat="1" applyFill="1" applyBorder="1" applyAlignment="1">
      <alignment horizontal="center"/>
    </xf>
    <xf numFmtId="0" fontId="0" fillId="2" borderId="0" xfId="0" applyFill="1"/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1" fillId="0" borderId="1" xfId="0" applyFont="1" applyBorder="1" applyAlignment="1">
      <alignment horizontal="right"/>
    </xf>
    <xf numFmtId="0" fontId="1" fillId="5" borderId="0" xfId="0" applyFont="1" applyFill="1"/>
    <xf numFmtId="0" fontId="0" fillId="5" borderId="0" xfId="0" applyFill="1"/>
    <xf numFmtId="0" fontId="1" fillId="4" borderId="0" xfId="0" applyFont="1" applyFill="1"/>
    <xf numFmtId="0" fontId="0" fillId="4" borderId="0" xfId="0" applyFill="1"/>
    <xf numFmtId="165" fontId="0" fillId="0" borderId="1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165" fontId="0" fillId="0" borderId="21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2" borderId="19" xfId="0" applyFill="1" applyBorder="1" applyAlignment="1">
      <alignment horizontal="right"/>
    </xf>
    <xf numFmtId="0" fontId="0" fillId="2" borderId="25" xfId="0" applyFill="1" applyBorder="1"/>
    <xf numFmtId="0" fontId="0" fillId="2" borderId="20" xfId="0" applyFill="1" applyBorder="1"/>
    <xf numFmtId="0" fontId="0" fillId="2" borderId="19" xfId="0" applyFill="1" applyBorder="1"/>
    <xf numFmtId="0" fontId="1" fillId="8" borderId="0" xfId="0" applyFont="1" applyFill="1" applyAlignment="1">
      <alignment horizontal="right"/>
    </xf>
    <xf numFmtId="0" fontId="0" fillId="8" borderId="0" xfId="0" applyFill="1"/>
    <xf numFmtId="0" fontId="0" fillId="8" borderId="0" xfId="0" applyFont="1" applyFill="1"/>
    <xf numFmtId="0" fontId="0" fillId="0" borderId="28" xfId="0" applyBorder="1"/>
    <xf numFmtId="0" fontId="0" fillId="0" borderId="29" xfId="0" applyBorder="1"/>
    <xf numFmtId="0" fontId="0" fillId="0" borderId="13" xfId="0" applyBorder="1"/>
    <xf numFmtId="0" fontId="0" fillId="0" borderId="30" xfId="0" applyBorder="1"/>
    <xf numFmtId="0" fontId="0" fillId="0" borderId="0" xfId="0" applyBorder="1"/>
    <xf numFmtId="0" fontId="0" fillId="0" borderId="14" xfId="0" applyBorder="1"/>
    <xf numFmtId="0" fontId="0" fillId="0" borderId="31" xfId="0" applyBorder="1"/>
    <xf numFmtId="0" fontId="0" fillId="0" borderId="32" xfId="0" applyBorder="1"/>
    <xf numFmtId="0" fontId="0" fillId="0" borderId="15" xfId="0" applyBorder="1"/>
    <xf numFmtId="168" fontId="0" fillId="0" borderId="25" xfId="0" applyNumberFormat="1" applyBorder="1"/>
    <xf numFmtId="0" fontId="0" fillId="0" borderId="0" xfId="0" applyFill="1" applyBorder="1" applyAlignment="1">
      <alignment horizontal="right"/>
    </xf>
    <xf numFmtId="0" fontId="0" fillId="4" borderId="33" xfId="0" applyFill="1" applyBorder="1"/>
    <xf numFmtId="0" fontId="0" fillId="4" borderId="3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35" xfId="0" applyFont="1" applyFill="1" applyBorder="1" applyAlignment="1">
      <alignment horizontal="right"/>
    </xf>
    <xf numFmtId="0" fontId="0" fillId="9" borderId="0" xfId="0" applyFill="1"/>
    <xf numFmtId="166" fontId="0" fillId="0" borderId="40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66" fontId="0" fillId="0" borderId="37" xfId="0" applyNumberFormat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9" xfId="0" applyFill="1" applyBorder="1"/>
    <xf numFmtId="0" fontId="0" fillId="11" borderId="2" xfId="0" applyFill="1" applyBorder="1"/>
    <xf numFmtId="0" fontId="0" fillId="11" borderId="20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3" borderId="41" xfId="0" applyFill="1" applyBorder="1" applyAlignment="1">
      <alignment horizontal="right"/>
    </xf>
    <xf numFmtId="166" fontId="0" fillId="13" borderId="41" xfId="0" applyNumberFormat="1" applyFill="1" applyBorder="1" applyAlignment="1">
      <alignment horizontal="center"/>
    </xf>
    <xf numFmtId="166" fontId="0" fillId="13" borderId="38" xfId="0" applyNumberFormat="1" applyFill="1" applyBorder="1" applyAlignment="1">
      <alignment horizontal="center"/>
    </xf>
    <xf numFmtId="166" fontId="0" fillId="13" borderId="4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DDFF"/>
      <color rgb="FF4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10" Type="http://schemas.openxmlformats.org/officeDocument/2006/relationships/image" Target="../media/image41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png"/><Relationship Id="rId3" Type="http://schemas.openxmlformats.org/officeDocument/2006/relationships/image" Target="../media/image61.png"/><Relationship Id="rId7" Type="http://schemas.openxmlformats.org/officeDocument/2006/relationships/image" Target="../media/image65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6569</xdr:colOff>
      <xdr:row>13</xdr:row>
      <xdr:rowOff>148418</xdr:rowOff>
    </xdr:from>
    <xdr:to>
      <xdr:col>11</xdr:col>
      <xdr:colOff>604573</xdr:colOff>
      <xdr:row>15</xdr:row>
      <xdr:rowOff>181548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A041CA-25FD-468B-9B64-99A87F401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23" t="3845" r="3430" b="1"/>
        <a:stretch/>
      </xdr:blipFill>
      <xdr:spPr>
        <a:xfrm>
          <a:off x="6569" y="2670901"/>
          <a:ext cx="7429728" cy="4141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26276</xdr:colOff>
      <xdr:row>2</xdr:row>
      <xdr:rowOff>10675</xdr:rowOff>
    </xdr:from>
    <xdr:ext cx="1057603" cy="1692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6252FD-69C8-40DD-B866-869D68B6F4CB}"/>
                </a:ext>
              </a:extLst>
            </xdr:cNvPr>
            <xdr:cNvSpPr txBox="1"/>
          </xdr:nvSpPr>
          <xdr:spPr>
            <a:xfrm>
              <a:off x="26276" y="417951"/>
              <a:ext cx="1057603" cy="169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𝑎𝑑𝑖𝑎𝑏𝑎𝑡𝑖𝑐𝑎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𝑙𝑙𝑎𝑚𝑎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p>
                        </m:s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s-ES" sz="10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6252FD-69C8-40DD-B866-869D68B6F4CB}"/>
                </a:ext>
              </a:extLst>
            </xdr:cNvPr>
            <xdr:cNvSpPr txBox="1"/>
          </xdr:nvSpPr>
          <xdr:spPr>
            <a:xfrm>
              <a:off x="26276" y="417951"/>
              <a:ext cx="1057603" cy="169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𝑇_(𝑎𝑑𝑖𝑎𝑏𝑎𝑡𝑖𝑐𝑎 𝑙𝑙𝑎𝑚𝑎 [^𝑜 𝐶])</a:t>
              </a:r>
              <a:endParaRPr lang="es-ES" sz="1000"/>
            </a:p>
          </xdr:txBody>
        </xdr:sp>
      </mc:Fallback>
    </mc:AlternateContent>
    <xdr:clientData/>
  </xdr:oneCellAnchor>
  <xdr:oneCellAnchor>
    <xdr:from>
      <xdr:col>2</xdr:col>
      <xdr:colOff>248964</xdr:colOff>
      <xdr:row>2</xdr:row>
      <xdr:rowOff>19049</xdr:rowOff>
    </xdr:from>
    <xdr:ext cx="314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1DCE47-F6CC-46D8-8E83-AB10B9C107FD}"/>
                </a:ext>
              </a:extLst>
            </xdr:cNvPr>
            <xdr:cNvSpPr txBox="1"/>
          </xdr:nvSpPr>
          <xdr:spPr>
            <a:xfrm>
              <a:off x="1372257" y="426325"/>
              <a:ext cx="314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1DCE47-F6CC-46D8-8E83-AB10B9C107FD}"/>
                </a:ext>
              </a:extLst>
            </xdr:cNvPr>
            <xdr:cNvSpPr txBox="1"/>
          </xdr:nvSpPr>
          <xdr:spPr>
            <a:xfrm>
              <a:off x="1372257" y="426325"/>
              <a:ext cx="314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es-E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_𝑎𝑖𝑟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150430</xdr:colOff>
      <xdr:row>2</xdr:row>
      <xdr:rowOff>19050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F4166DC-E6BF-4334-AD75-DBCA5FEFCDCA}"/>
                </a:ext>
              </a:extLst>
            </xdr:cNvPr>
            <xdr:cNvSpPr txBox="1"/>
          </xdr:nvSpPr>
          <xdr:spPr>
            <a:xfrm>
              <a:off x="2009447" y="426326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F4166DC-E6BF-4334-AD75-DBCA5FEFCDCA}"/>
                </a:ext>
              </a:extLst>
            </xdr:cNvPr>
            <xdr:cNvSpPr txBox="1"/>
          </xdr:nvSpPr>
          <xdr:spPr>
            <a:xfrm>
              <a:off x="2009447" y="426326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𝜆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78172</xdr:colOff>
      <xdr:row>2</xdr:row>
      <xdr:rowOff>5911</xdr:rowOff>
    </xdr:from>
    <xdr:ext cx="4716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96E1FD3-6A78-40EE-B029-95FF6EB516EC}"/>
                </a:ext>
              </a:extLst>
            </xdr:cNvPr>
            <xdr:cNvSpPr txBox="1"/>
          </xdr:nvSpPr>
          <xdr:spPr>
            <a:xfrm>
              <a:off x="2344465" y="413187"/>
              <a:ext cx="4716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𝑠𝑒𝑔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96E1FD3-6A78-40EE-B029-95FF6EB516EC}"/>
                </a:ext>
              </a:extLst>
            </xdr:cNvPr>
            <xdr:cNvSpPr txBox="1"/>
          </xdr:nvSpPr>
          <xdr:spPr>
            <a:xfrm>
              <a:off x="2344465" y="413187"/>
              <a:ext cx="4716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𝑡_𝑟 [𝑠𝑒𝑔]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133350</xdr:rowOff>
    </xdr:from>
    <xdr:to>
      <xdr:col>9</xdr:col>
      <xdr:colOff>599667</xdr:colOff>
      <xdr:row>5</xdr:row>
      <xdr:rowOff>180836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EDAF9D-C8BD-49BD-BAA0-FCAAEA47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33350"/>
          <a:ext cx="3266667" cy="1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5</xdr:row>
      <xdr:rowOff>171450</xdr:rowOff>
    </xdr:from>
    <xdr:to>
      <xdr:col>10</xdr:col>
      <xdr:colOff>542432</xdr:colOff>
      <xdr:row>9</xdr:row>
      <xdr:rowOff>9445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9F62C2-2E00-47B5-9FF7-58DD48735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5" y="1238250"/>
          <a:ext cx="3942857" cy="638095"/>
        </a:xfrm>
        <a:prstGeom prst="rect">
          <a:avLst/>
        </a:prstGeom>
      </xdr:spPr>
    </xdr:pic>
    <xdr:clientData/>
  </xdr:twoCellAnchor>
  <xdr:twoCellAnchor>
    <xdr:from>
      <xdr:col>0</xdr:col>
      <xdr:colOff>1200150</xdr:colOff>
      <xdr:row>16</xdr:row>
      <xdr:rowOff>142875</xdr:rowOff>
    </xdr:from>
    <xdr:to>
      <xdr:col>4</xdr:col>
      <xdr:colOff>393623</xdr:colOff>
      <xdr:row>20</xdr:row>
      <xdr:rowOff>94592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2A585C0D-4D22-4A3E-B04B-687BB77F7232}"/>
                </a:ext>
              </a:extLst>
            </xdr:cNvPr>
            <xdr:cNvSpPr/>
          </xdr:nvSpPr>
          <xdr:spPr>
            <a:xfrm>
              <a:off x="1200150" y="3438525"/>
              <a:ext cx="3708323" cy="71371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acc>
                    <m:r>
                      <a:rPr lang="es-CO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CO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sub>
                                  <m:sup>
                                    <m:r>
                                      <a:rPr lang="en-US" sz="1600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sup>
                                </m:sSubSup>
                                <m:r>
                                  <a:rPr lang="es-CO" sz="160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Sup>
                                  <m:sSubSupPr>
                                    <m:ctrlP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s-CO" sz="160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sub>
                                  <m:sup>
                                    <m:r>
                                      <a:rPr lang="en-US" sz="1600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sup>
                                </m:sSubSup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λ</m:t>
                        </m:r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s-CO" sz="160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num>
                      <m:den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2A585C0D-4D22-4A3E-B04B-687BB77F7232}"/>
                </a:ext>
              </a:extLst>
            </xdr:cNvPr>
            <xdr:cNvSpPr/>
          </xdr:nvSpPr>
          <xdr:spPr>
            <a:xfrm>
              <a:off x="1200150" y="3438525"/>
              <a:ext cx="3708323" cy="71371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𝑚_𝑓 </a:t>
              </a:r>
              <a:r>
                <a:rPr lang="es-CO" sz="1600" b="0" i="0">
                  <a:latin typeface="Cambria Math" panose="02040503050406030204" pitchFamily="18" charset="0"/>
                </a:rPr>
                <a:t>) ̇</a:t>
              </a:r>
              <a:r>
                <a:rPr lang="es-CO" sz="1600" i="0">
                  <a:latin typeface="Cambria Math" panose="02040503050406030204" pitchFamily="18" charset="0"/>
                </a:rPr>
                <a:t>=(𝜋∗(𝐷_𝑇^</a:t>
              </a:r>
              <a:r>
                <a:rPr lang="en-US" sz="1600" i="0">
                  <a:latin typeface="Cambria Math" panose="02040503050406030204" pitchFamily="18" charset="0"/>
                </a:rPr>
                <a:t> </a:t>
              </a:r>
              <a:r>
                <a:rPr lang="es-CO" sz="1600" i="0">
                  <a:latin typeface="Cambria Math" panose="02040503050406030204" pitchFamily="18" charset="0"/>
                </a:rPr>
                <a:t>−𝐷_𝐸^</a:t>
              </a:r>
              <a:r>
                <a:rPr lang="en-US" sz="1600" i="0">
                  <a:latin typeface="Cambria Math" panose="02040503050406030204" pitchFamily="18" charset="0"/>
                </a:rPr>
                <a:t>  )</a:t>
              </a:r>
              <a:r>
                <a:rPr lang="es-CO" sz="160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r>
                <a:rPr lang="es-CO" sz="1600" i="0">
                  <a:latin typeface="Cambria Math" panose="02040503050406030204" pitchFamily="18" charset="0"/>
                </a:rPr>
                <a:t>∗</a:t>
              </a:r>
              <a:r>
                <a:rPr lang="en-US" sz="1600" b="0" i="0">
                  <a:latin typeface="Cambria Math" panose="02040503050406030204" pitchFamily="18" charset="0"/>
                </a:rPr>
                <a:t>p</a:t>
              </a:r>
              <a:r>
                <a:rPr lang="es-CO" sz="1600" i="0">
                  <a:latin typeface="Cambria Math" panose="02040503050406030204" pitchFamily="18" charset="0"/>
                </a:rPr>
                <a:t>∗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λ</a:t>
              </a:r>
              <a:r>
                <a:rPr lang="es-CO" sz="1600" i="0">
                  <a:latin typeface="Cambria Math" panose="02040503050406030204" pitchFamily="18" charset="0"/>
                </a:rPr>
                <a:t>∗</a:t>
              </a:r>
              <a:r>
                <a:rPr lang="en-US" sz="1600" b="0" i="0">
                  <a:latin typeface="Cambria Math" panose="02040503050406030204" pitchFamily="18" charset="0"/>
                </a:rPr>
                <a:t>f</a:t>
              </a:r>
              <a:r>
                <a:rPr lang="es-CO" sz="1600" i="0">
                  <a:latin typeface="Cambria Math" panose="02040503050406030204" pitchFamily="18" charset="0"/>
                </a:rPr>
                <a:t>∗𝜌∗</a:t>
              </a:r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es-CO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2∗𝑃_𝑚 </a:t>
              </a:r>
              <a:r>
                <a:rPr lang="es-CO" sz="1600" b="0" i="0">
                  <a:latin typeface="Cambria Math" panose="02040503050406030204" pitchFamily="18" charset="0"/>
                </a:rPr>
                <a:t>)</a:t>
              </a:r>
              <a:endParaRPr lang="es-CO" sz="1600"/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3</xdr:row>
      <xdr:rowOff>85725</xdr:rowOff>
    </xdr:from>
    <xdr:to>
      <xdr:col>7</xdr:col>
      <xdr:colOff>494998</xdr:colOff>
      <xdr:row>6</xdr:row>
      <xdr:rowOff>180892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00BC48-AA6F-4FB7-891D-C91CBE796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657225"/>
          <a:ext cx="2419048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8</xdr:row>
      <xdr:rowOff>47625</xdr:rowOff>
    </xdr:from>
    <xdr:to>
      <xdr:col>7</xdr:col>
      <xdr:colOff>456912</xdr:colOff>
      <xdr:row>11</xdr:row>
      <xdr:rowOff>57077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BD3DC4-7957-4D8A-9EAE-0EB5BCA40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571625"/>
          <a:ext cx="2304762" cy="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15</xdr:row>
      <xdr:rowOff>114300</xdr:rowOff>
    </xdr:from>
    <xdr:to>
      <xdr:col>9</xdr:col>
      <xdr:colOff>266212</xdr:colOff>
      <xdr:row>18</xdr:row>
      <xdr:rowOff>190414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BDD764-4F9D-4BC8-866F-0B221588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7550" y="3048000"/>
          <a:ext cx="3904762" cy="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16</xdr:col>
      <xdr:colOff>532762</xdr:colOff>
      <xdr:row>27</xdr:row>
      <xdr:rowOff>123633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669AA79-75D4-4CBA-B098-BC49D4A5A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3924300"/>
          <a:ext cx="5104762" cy="1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360589</xdr:colOff>
      <xdr:row>8</xdr:row>
      <xdr:rowOff>37984</xdr:rowOff>
    </xdr:from>
    <xdr:to>
      <xdr:col>11</xdr:col>
      <xdr:colOff>360146</xdr:colOff>
      <xdr:row>18</xdr:row>
      <xdr:rowOff>94921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467713-42A6-46D5-BB7D-3A542D168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7410" y="1561984"/>
          <a:ext cx="2285557" cy="208440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0</xdr:row>
      <xdr:rowOff>68036</xdr:rowOff>
    </xdr:from>
    <xdr:to>
      <xdr:col>14</xdr:col>
      <xdr:colOff>551798</xdr:colOff>
      <xdr:row>7</xdr:row>
      <xdr:rowOff>108686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D177D4-E7A9-4BF4-99DD-8D82AC1F9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41571" y="68036"/>
          <a:ext cx="5219048" cy="137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58066</xdr:colOff>
      <xdr:row>34</xdr:row>
      <xdr:rowOff>26486</xdr:rowOff>
    </xdr:from>
    <xdr:to>
      <xdr:col>13</xdr:col>
      <xdr:colOff>200828</xdr:colOff>
      <xdr:row>37</xdr:row>
      <xdr:rowOff>54986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D7B251D-86DD-44E9-A061-B0D0B14AC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6702" y="6416895"/>
          <a:ext cx="904762" cy="6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484044</xdr:colOff>
      <xdr:row>33</xdr:row>
      <xdr:rowOff>170584</xdr:rowOff>
    </xdr:from>
    <xdr:to>
      <xdr:col>11</xdr:col>
      <xdr:colOff>760139</xdr:colOff>
      <xdr:row>36</xdr:row>
      <xdr:rowOff>132411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22250A1-D3E0-49BC-8E80-92379014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38680" y="6370493"/>
          <a:ext cx="1038095" cy="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224117</xdr:colOff>
      <xdr:row>18</xdr:row>
      <xdr:rowOff>190499</xdr:rowOff>
    </xdr:from>
    <xdr:to>
      <xdr:col>9</xdr:col>
      <xdr:colOff>196777</xdr:colOff>
      <xdr:row>21</xdr:row>
      <xdr:rowOff>112058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48EB310-D069-4E43-BA92-8FD081929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05735" y="3720352"/>
          <a:ext cx="3782660" cy="493059"/>
        </a:xfrm>
        <a:prstGeom prst="rect">
          <a:avLst/>
        </a:prstGeom>
      </xdr:spPr>
    </xdr:pic>
    <xdr:clientData/>
  </xdr:twoCellAnchor>
  <xdr:twoCellAnchor editAs="oneCell">
    <xdr:from>
      <xdr:col>4</xdr:col>
      <xdr:colOff>148937</xdr:colOff>
      <xdr:row>23</xdr:row>
      <xdr:rowOff>40146</xdr:rowOff>
    </xdr:from>
    <xdr:to>
      <xdr:col>8</xdr:col>
      <xdr:colOff>633846</xdr:colOff>
      <xdr:row>32</xdr:row>
      <xdr:rowOff>45555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CBA65D-039B-4B54-AB09-047C94D98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5037" y="4535946"/>
          <a:ext cx="3532909" cy="1872309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34</xdr:row>
      <xdr:rowOff>0</xdr:rowOff>
    </xdr:from>
    <xdr:to>
      <xdr:col>5</xdr:col>
      <xdr:colOff>510270</xdr:colOff>
      <xdr:row>36</xdr:row>
      <xdr:rowOff>86500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F9B4091F-5FDB-4A6D-BDAC-21CFE105B943}"/>
                </a:ext>
              </a:extLst>
            </xdr:cNvPr>
            <xdr:cNvSpPr txBox="1"/>
          </xdr:nvSpPr>
          <xdr:spPr>
            <a:xfrm>
              <a:off x="3467100" y="6553200"/>
              <a:ext cx="891270" cy="4675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F9B4091F-5FDB-4A6D-BDAC-21CFE105B943}"/>
                </a:ext>
              </a:extLst>
            </xdr:cNvPr>
            <xdr:cNvSpPr txBox="1"/>
          </xdr:nvSpPr>
          <xdr:spPr>
            <a:xfrm>
              <a:off x="3467100" y="6553200"/>
              <a:ext cx="891270" cy="4675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ℎ_𝑥=(𝑁_𝑢 𝑘)/𝑑</a:t>
              </a:r>
              <a:endParaRPr lang="es-CO" sz="1600"/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3</xdr:row>
      <xdr:rowOff>104775</xdr:rowOff>
    </xdr:from>
    <xdr:to>
      <xdr:col>10</xdr:col>
      <xdr:colOff>247008</xdr:colOff>
      <xdr:row>4</xdr:row>
      <xdr:rowOff>180937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82C64D-B231-42B2-B17E-105BD45C5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752475"/>
          <a:ext cx="5133333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0</xdr:row>
      <xdr:rowOff>57150</xdr:rowOff>
    </xdr:from>
    <xdr:to>
      <xdr:col>17</xdr:col>
      <xdr:colOff>437639</xdr:colOff>
      <xdr:row>18</xdr:row>
      <xdr:rowOff>151926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9D2B2F-2FE2-4768-8826-554A460DC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57150"/>
          <a:ext cx="4085714" cy="3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5</xdr:row>
      <xdr:rowOff>152400</xdr:rowOff>
    </xdr:from>
    <xdr:to>
      <xdr:col>7</xdr:col>
      <xdr:colOff>761601</xdr:colOff>
      <xdr:row>8</xdr:row>
      <xdr:rowOff>95176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C5B796-5E48-4CF9-BBF8-6E978429E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19200"/>
          <a:ext cx="3190476" cy="590476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9</xdr:row>
      <xdr:rowOff>0</xdr:rowOff>
    </xdr:from>
    <xdr:to>
      <xdr:col>8</xdr:col>
      <xdr:colOff>320144</xdr:colOff>
      <xdr:row>11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39">
              <a:extLst>
                <a:ext uri="{FF2B5EF4-FFF2-40B4-BE49-F238E27FC236}">
                  <a16:creationId xmlns:a16="http://schemas.microsoft.com/office/drawing/2014/main" id="{4396741B-72F4-4C66-8716-AC0413306C1B}"/>
                </a:ext>
              </a:extLst>
            </xdr:cNvPr>
            <xdr:cNvSpPr txBox="1"/>
          </xdr:nvSpPr>
          <xdr:spPr>
            <a:xfrm>
              <a:off x="2724150" y="1905000"/>
              <a:ext cx="3720569" cy="5221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𝑐𝑓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h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𝑐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⁡[(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)/(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)]</m:t>
                        </m:r>
                      </m:den>
                    </m:f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7" name="CuadroTexto 39">
              <a:extLst>
                <a:ext uri="{FF2B5EF4-FFF2-40B4-BE49-F238E27FC236}">
                  <a16:creationId xmlns:a16="http://schemas.microsoft.com/office/drawing/2014/main" id="{4396741B-72F4-4C66-8716-AC0413306C1B}"/>
                </a:ext>
              </a:extLst>
            </xdr:cNvPr>
            <xdr:cNvSpPr txBox="1"/>
          </xdr:nvSpPr>
          <xdr:spPr>
            <a:xfrm>
              <a:off x="2724150" y="1905000"/>
              <a:ext cx="3720569" cy="5221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𝑇_(𝑙𝑚,𝑐𝑓)=((𝑇_ℎ2−𝑇_𝑐1 )−(𝑇_ℎ1−𝑇_𝑐2))/(ln⁡[(𝑇_ℎ2−𝑇_𝑐1)/(𝑇_ℎ1−𝑇_𝑐2)])</a:t>
              </a:r>
              <a:endParaRPr lang="es-CO" sz="1600"/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87966</xdr:colOff>
      <xdr:row>0</xdr:row>
      <xdr:rowOff>135592</xdr:rowOff>
    </xdr:from>
    <xdr:to>
      <xdr:col>11</xdr:col>
      <xdr:colOff>582442</xdr:colOff>
      <xdr:row>8</xdr:row>
      <xdr:rowOff>84418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C50E96-B64D-46D4-AA36-B4825AD2A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966" y="135592"/>
          <a:ext cx="6590476" cy="1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372035</xdr:colOff>
      <xdr:row>4</xdr:row>
      <xdr:rowOff>110378</xdr:rowOff>
    </xdr:from>
    <xdr:to>
      <xdr:col>6</xdr:col>
      <xdr:colOff>95654</xdr:colOff>
      <xdr:row>7</xdr:row>
      <xdr:rowOff>165767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BBBD24-2AF5-4789-A5E4-F5CDAC0A7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2035" y="872378"/>
          <a:ext cx="1247619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78441</xdr:colOff>
      <xdr:row>8</xdr:row>
      <xdr:rowOff>118036</xdr:rowOff>
    </xdr:from>
    <xdr:to>
      <xdr:col>9</xdr:col>
      <xdr:colOff>225265</xdr:colOff>
      <xdr:row>25</xdr:row>
      <xdr:rowOff>132261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0E7D59-048A-4CFC-BD72-C561865F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353" y="1664448"/>
          <a:ext cx="4718824" cy="32527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370275</xdr:colOff>
      <xdr:row>0</xdr:row>
      <xdr:rowOff>0</xdr:rowOff>
    </xdr:from>
    <xdr:to>
      <xdr:col>12</xdr:col>
      <xdr:colOff>83704</xdr:colOff>
      <xdr:row>15</xdr:row>
      <xdr:rowOff>1393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B152EF-56F7-415D-BCF9-CCFC4C53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893" y="0"/>
          <a:ext cx="657142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615923</xdr:colOff>
      <xdr:row>22</xdr:row>
      <xdr:rowOff>60833</xdr:rowOff>
    </xdr:from>
    <xdr:to>
      <xdr:col>5</xdr:col>
      <xdr:colOff>63352</xdr:colOff>
      <xdr:row>25</xdr:row>
      <xdr:rowOff>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88BCF4-1CC8-4559-9F6F-CC50CF1DD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5541" y="3904451"/>
          <a:ext cx="971429" cy="5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727822</xdr:colOff>
      <xdr:row>13</xdr:row>
      <xdr:rowOff>113179</xdr:rowOff>
    </xdr:from>
    <xdr:to>
      <xdr:col>6</xdr:col>
      <xdr:colOff>127536</xdr:colOff>
      <xdr:row>15</xdr:row>
      <xdr:rowOff>94084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BABA51-11E4-42DA-9378-44B5B712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7440" y="2242297"/>
          <a:ext cx="1685714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122704</xdr:colOff>
      <xdr:row>17</xdr:row>
      <xdr:rowOff>151521</xdr:rowOff>
    </xdr:from>
    <xdr:to>
      <xdr:col>10</xdr:col>
      <xdr:colOff>436799</xdr:colOff>
      <xdr:row>21</xdr:row>
      <xdr:rowOff>84759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F8A2B3-63D2-4E08-A1B1-6BC09ABD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2322" y="3042639"/>
          <a:ext cx="1838095" cy="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183216</xdr:colOff>
      <xdr:row>18</xdr:row>
      <xdr:rowOff>96371</xdr:rowOff>
    </xdr:from>
    <xdr:to>
      <xdr:col>7</xdr:col>
      <xdr:colOff>725978</xdr:colOff>
      <xdr:row>21</xdr:row>
      <xdr:rowOff>77252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2EB3EB-42A1-4B3E-B6A8-B29B1F590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8834" y="3177989"/>
          <a:ext cx="1304762" cy="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420221</xdr:colOff>
      <xdr:row>22</xdr:row>
      <xdr:rowOff>99732</xdr:rowOff>
    </xdr:from>
    <xdr:to>
      <xdr:col>6</xdr:col>
      <xdr:colOff>648697</xdr:colOff>
      <xdr:row>25</xdr:row>
      <xdr:rowOff>5535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710745B-4EFC-4C1B-AA5B-ABB6688A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3839" y="3943350"/>
          <a:ext cx="990476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746872</xdr:colOff>
      <xdr:row>22</xdr:row>
      <xdr:rowOff>111498</xdr:rowOff>
    </xdr:from>
    <xdr:to>
      <xdr:col>12</xdr:col>
      <xdr:colOff>651062</xdr:colOff>
      <xdr:row>30</xdr:row>
      <xdr:rowOff>188611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2FD7CE-5783-4CAF-A9B1-7B25DFA4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52490" y="3955116"/>
          <a:ext cx="4476190" cy="165714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174172</xdr:colOff>
      <xdr:row>1</xdr:row>
      <xdr:rowOff>95890</xdr:rowOff>
    </xdr:from>
    <xdr:to>
      <xdr:col>9</xdr:col>
      <xdr:colOff>274948</xdr:colOff>
      <xdr:row>15</xdr:row>
      <xdr:rowOff>28945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6A47BC-1237-4F59-AE9B-23A18B7BB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0172" y="286390"/>
          <a:ext cx="4672776" cy="2657205"/>
        </a:xfrm>
        <a:prstGeom prst="rect">
          <a:avLst/>
        </a:prstGeom>
      </xdr:spPr>
    </xdr:pic>
    <xdr:clientData/>
  </xdr:twoCellAnchor>
  <xdr:twoCellAnchor editAs="oneCell">
    <xdr:from>
      <xdr:col>8</xdr:col>
      <xdr:colOff>8805</xdr:colOff>
      <xdr:row>1</xdr:row>
      <xdr:rowOff>68298</xdr:rowOff>
    </xdr:from>
    <xdr:to>
      <xdr:col>12</xdr:col>
      <xdr:colOff>476250</xdr:colOff>
      <xdr:row>21</xdr:row>
      <xdr:rowOff>200881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B0E964-A4C2-4327-A717-A36711D9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4805" y="258798"/>
          <a:ext cx="3515445" cy="401878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17</xdr:row>
      <xdr:rowOff>76200</xdr:rowOff>
    </xdr:from>
    <xdr:to>
      <xdr:col>5</xdr:col>
      <xdr:colOff>580805</xdr:colOff>
      <xdr:row>19</xdr:row>
      <xdr:rowOff>38055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9ACF94-E672-490C-AB9A-55164EED8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8900" y="3371850"/>
          <a:ext cx="1761905" cy="3619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0</xdr:row>
      <xdr:rowOff>142875</xdr:rowOff>
    </xdr:from>
    <xdr:to>
      <xdr:col>9</xdr:col>
      <xdr:colOff>218513</xdr:colOff>
      <xdr:row>7</xdr:row>
      <xdr:rowOff>85556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3BEAED-3E10-4BA3-9F2D-898E0D00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142875"/>
          <a:ext cx="4495238" cy="135238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</xdr:row>
      <xdr:rowOff>19050</xdr:rowOff>
    </xdr:from>
    <xdr:to>
      <xdr:col>10</xdr:col>
      <xdr:colOff>190382</xdr:colOff>
      <xdr:row>2</xdr:row>
      <xdr:rowOff>47593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209550"/>
          <a:ext cx="942857" cy="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2</xdr:row>
      <xdr:rowOff>38100</xdr:rowOff>
    </xdr:from>
    <xdr:to>
      <xdr:col>10</xdr:col>
      <xdr:colOff>218954</xdr:colOff>
      <xdr:row>3</xdr:row>
      <xdr:rowOff>123786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4525" y="457200"/>
          <a:ext cx="971429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</xdr:row>
      <xdr:rowOff>9525</xdr:rowOff>
    </xdr:from>
    <xdr:to>
      <xdr:col>10</xdr:col>
      <xdr:colOff>352287</xdr:colOff>
      <xdr:row>8</xdr:row>
      <xdr:rowOff>76139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6525" y="1343025"/>
          <a:ext cx="1104762" cy="4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9</xdr:row>
      <xdr:rowOff>19050</xdr:rowOff>
    </xdr:from>
    <xdr:to>
      <xdr:col>11</xdr:col>
      <xdr:colOff>266479</xdr:colOff>
      <xdr:row>10</xdr:row>
      <xdr:rowOff>9498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96050" y="1962150"/>
          <a:ext cx="1771429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</xdr:row>
      <xdr:rowOff>9525</xdr:rowOff>
    </xdr:from>
    <xdr:to>
      <xdr:col>16</xdr:col>
      <xdr:colOff>171049</xdr:colOff>
      <xdr:row>23</xdr:row>
      <xdr:rowOff>180382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72525" y="200025"/>
          <a:ext cx="3209524" cy="4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13</xdr:row>
      <xdr:rowOff>9525</xdr:rowOff>
    </xdr:from>
    <xdr:to>
      <xdr:col>10</xdr:col>
      <xdr:colOff>104669</xdr:colOff>
      <xdr:row>14</xdr:row>
      <xdr:rowOff>114263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96050" y="2790825"/>
          <a:ext cx="847619" cy="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16</xdr:row>
      <xdr:rowOff>9525</xdr:rowOff>
    </xdr:from>
    <xdr:to>
      <xdr:col>10</xdr:col>
      <xdr:colOff>733239</xdr:colOff>
      <xdr:row>18</xdr:row>
      <xdr:rowOff>95187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86525" y="3362325"/>
          <a:ext cx="1485714" cy="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20</xdr:row>
      <xdr:rowOff>9525</xdr:rowOff>
    </xdr:from>
    <xdr:to>
      <xdr:col>10</xdr:col>
      <xdr:colOff>714192</xdr:colOff>
      <xdr:row>22</xdr:row>
      <xdr:rowOff>104711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86525" y="4200525"/>
          <a:ext cx="1466667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47625</xdr:rowOff>
    </xdr:from>
    <xdr:to>
      <xdr:col>8</xdr:col>
      <xdr:colOff>342304</xdr:colOff>
      <xdr:row>2</xdr:row>
      <xdr:rowOff>190458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19E069-2C77-47AB-828C-933932E9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38125"/>
          <a:ext cx="4771429" cy="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8</xdr:col>
      <xdr:colOff>340842</xdr:colOff>
      <xdr:row>6</xdr:row>
      <xdr:rowOff>41144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BB623F-15DA-451C-A850-03C4BA3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1025"/>
          <a:ext cx="6552103" cy="41261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8</xdr:row>
      <xdr:rowOff>66675</xdr:rowOff>
    </xdr:from>
    <xdr:to>
      <xdr:col>6</xdr:col>
      <xdr:colOff>579414</xdr:colOff>
      <xdr:row>10</xdr:row>
      <xdr:rowOff>114246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9BAEAA-62C8-4C06-8DEE-D278E3D31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400175"/>
          <a:ext cx="520000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108137</xdr:colOff>
      <xdr:row>24</xdr:row>
      <xdr:rowOff>88264</xdr:rowOff>
    </xdr:from>
    <xdr:to>
      <xdr:col>7</xdr:col>
      <xdr:colOff>201363</xdr:colOff>
      <xdr:row>30</xdr:row>
      <xdr:rowOff>125839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75B530-0000-45C3-937C-9D00CF6F0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37" y="4861970"/>
          <a:ext cx="5550491" cy="1180575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109818</xdr:colOff>
      <xdr:row>12</xdr:row>
      <xdr:rowOff>34900</xdr:rowOff>
    </xdr:from>
    <xdr:to>
      <xdr:col>12</xdr:col>
      <xdr:colOff>33056</xdr:colOff>
      <xdr:row>20</xdr:row>
      <xdr:rowOff>128242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6F5C1B-CEFE-4099-9406-23D7648C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3461" y="2320900"/>
          <a:ext cx="4495238" cy="18622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335055</xdr:colOff>
      <xdr:row>0</xdr:row>
      <xdr:rowOff>136152</xdr:rowOff>
    </xdr:from>
    <xdr:to>
      <xdr:col>13</xdr:col>
      <xdr:colOff>441705</xdr:colOff>
      <xdr:row>10</xdr:row>
      <xdr:rowOff>186578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2F3D2F-CEA4-474A-BF3D-2A6888D7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4437" y="136152"/>
          <a:ext cx="4678650" cy="2168338"/>
        </a:xfrm>
        <a:prstGeom prst="rect">
          <a:avLst/>
        </a:prstGeom>
      </xdr:spPr>
    </xdr:pic>
    <xdr:clientData/>
  </xdr:twoCellAnchor>
  <xdr:twoCellAnchor editAs="oneCell">
    <xdr:from>
      <xdr:col>7</xdr:col>
      <xdr:colOff>369794</xdr:colOff>
      <xdr:row>12</xdr:row>
      <xdr:rowOff>56029</xdr:rowOff>
    </xdr:from>
    <xdr:to>
      <xdr:col>13</xdr:col>
      <xdr:colOff>350175</xdr:colOff>
      <xdr:row>21</xdr:row>
      <xdr:rowOff>96681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D63195-8E44-494B-994F-B59A108E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9176" y="2398058"/>
          <a:ext cx="4552381" cy="1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346192</xdr:colOff>
      <xdr:row>22</xdr:row>
      <xdr:rowOff>108377</xdr:rowOff>
    </xdr:from>
    <xdr:to>
      <xdr:col>11</xdr:col>
      <xdr:colOff>509600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799576-F48E-4758-B9D4-9DF7A3D6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3517" y="4899452"/>
          <a:ext cx="3211408" cy="1015573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29</xdr:row>
      <xdr:rowOff>28576</xdr:rowOff>
    </xdr:from>
    <xdr:to>
      <xdr:col>10</xdr:col>
      <xdr:colOff>399623</xdr:colOff>
      <xdr:row>33</xdr:row>
      <xdr:rowOff>163868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E1B6F2-BCAC-4CF1-AE12-D25E14947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62625" y="6153151"/>
          <a:ext cx="2190323" cy="9544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46894</xdr:rowOff>
    </xdr:from>
    <xdr:to>
      <xdr:col>9</xdr:col>
      <xdr:colOff>161498</xdr:colOff>
      <xdr:row>4</xdr:row>
      <xdr:rowOff>16542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54F8FD-1050-4374-87E0-54DE20B42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527" y="46894"/>
          <a:ext cx="3419048" cy="768283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3</xdr:row>
      <xdr:rowOff>171450</xdr:rowOff>
    </xdr:from>
    <xdr:to>
      <xdr:col>10</xdr:col>
      <xdr:colOff>161396</xdr:colOff>
      <xdr:row>12</xdr:row>
      <xdr:rowOff>37894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93F4C9-75EE-46E2-9F0E-AE0468EF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771525"/>
          <a:ext cx="4228571" cy="1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48939</xdr:colOff>
      <xdr:row>7</xdr:row>
      <xdr:rowOff>117256</xdr:rowOff>
    </xdr:from>
    <xdr:to>
      <xdr:col>10</xdr:col>
      <xdr:colOff>524554</xdr:colOff>
      <xdr:row>13</xdr:row>
      <xdr:rowOff>88542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5E9BE5-2616-4804-B530-7904BE44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439" y="1477032"/>
          <a:ext cx="5073891" cy="1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48939</xdr:colOff>
      <xdr:row>3</xdr:row>
      <xdr:rowOff>67331</xdr:rowOff>
    </xdr:from>
    <xdr:to>
      <xdr:col>6</xdr:col>
      <xdr:colOff>334379</xdr:colOff>
      <xdr:row>7</xdr:row>
      <xdr:rowOff>161336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3F119B-BAB4-468A-9375-F1C28D34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7439" y="665107"/>
          <a:ext cx="1809440" cy="856005"/>
        </a:xfrm>
        <a:prstGeom prst="rect">
          <a:avLst/>
        </a:prstGeom>
      </xdr:spPr>
    </xdr:pic>
    <xdr:clientData/>
  </xdr:twoCellAnchor>
  <xdr:twoCellAnchor editAs="oneCell">
    <xdr:from>
      <xdr:col>4</xdr:col>
      <xdr:colOff>39414</xdr:colOff>
      <xdr:row>0</xdr:row>
      <xdr:rowOff>86381</xdr:rowOff>
    </xdr:from>
    <xdr:to>
      <xdr:col>6</xdr:col>
      <xdr:colOff>239062</xdr:colOff>
      <xdr:row>3</xdr:row>
      <xdr:rowOff>62668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70AC10-78F6-4E9F-921B-468AFAC6C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7914" y="86381"/>
          <a:ext cx="1723648" cy="5740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142875</xdr:rowOff>
    </xdr:from>
    <xdr:to>
      <xdr:col>9</xdr:col>
      <xdr:colOff>294674</xdr:colOff>
      <xdr:row>11</xdr:row>
      <xdr:rowOff>28304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491862-6AAC-4CB6-8FF8-6A45C0052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142875"/>
          <a:ext cx="4809524" cy="2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1514889</xdr:colOff>
      <xdr:row>11</xdr:row>
      <xdr:rowOff>152400</xdr:rowOff>
    </xdr:from>
    <xdr:to>
      <xdr:col>9</xdr:col>
      <xdr:colOff>317850</xdr:colOff>
      <xdr:row>15</xdr:row>
      <xdr:rowOff>4387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EF2879-9694-404F-989C-63D554AC1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889" y="2454965"/>
          <a:ext cx="4923809" cy="77963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66675</xdr:rowOff>
    </xdr:from>
    <xdr:to>
      <xdr:col>9</xdr:col>
      <xdr:colOff>8956</xdr:colOff>
      <xdr:row>22</xdr:row>
      <xdr:rowOff>76013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495A9F-8132-49E2-ADEC-18CC5BE6D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5150" y="3267075"/>
          <a:ext cx="4552381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22412</xdr:colOff>
      <xdr:row>23</xdr:row>
      <xdr:rowOff>22412</xdr:rowOff>
    </xdr:from>
    <xdr:to>
      <xdr:col>9</xdr:col>
      <xdr:colOff>631364</xdr:colOff>
      <xdr:row>27</xdr:row>
      <xdr:rowOff>179175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455B341-CCC5-4856-A99A-7C36BF28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4030" y="4874559"/>
          <a:ext cx="5180952" cy="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311976</xdr:colOff>
      <xdr:row>1</xdr:row>
      <xdr:rowOff>560</xdr:rowOff>
    </xdr:from>
    <xdr:to>
      <xdr:col>4</xdr:col>
      <xdr:colOff>700121</xdr:colOff>
      <xdr:row>4</xdr:row>
      <xdr:rowOff>95810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68DEA5-FF92-4698-B2CE-FBD351476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7976" y="191060"/>
          <a:ext cx="1150145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265019</xdr:colOff>
      <xdr:row>4</xdr:row>
      <xdr:rowOff>65554</xdr:rowOff>
    </xdr:from>
    <xdr:to>
      <xdr:col>5</xdr:col>
      <xdr:colOff>150345</xdr:colOff>
      <xdr:row>7</xdr:row>
      <xdr:rowOff>119921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759B92-8B47-429E-BCEB-A735F1937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1019" y="827554"/>
          <a:ext cx="1409326" cy="625867"/>
        </a:xfrm>
        <a:prstGeom prst="rect">
          <a:avLst/>
        </a:prstGeom>
      </xdr:spPr>
    </xdr:pic>
    <xdr:clientData/>
  </xdr:twoCellAnchor>
  <xdr:twoCellAnchor editAs="oneCell">
    <xdr:from>
      <xdr:col>3</xdr:col>
      <xdr:colOff>322729</xdr:colOff>
      <xdr:row>8</xdr:row>
      <xdr:rowOff>22972</xdr:rowOff>
    </xdr:from>
    <xdr:to>
      <xdr:col>5</xdr:col>
      <xdr:colOff>385480</xdr:colOff>
      <xdr:row>10</xdr:row>
      <xdr:rowOff>62538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84BF94-B36F-44E2-A0FD-110FE6D6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8729" y="1580590"/>
          <a:ext cx="1586751" cy="454183"/>
        </a:xfrm>
        <a:prstGeom prst="rect">
          <a:avLst/>
        </a:prstGeom>
      </xdr:spPr>
    </xdr:pic>
    <xdr:clientData/>
  </xdr:twoCellAnchor>
  <xdr:twoCellAnchor editAs="oneCell">
    <xdr:from>
      <xdr:col>3</xdr:col>
      <xdr:colOff>383241</xdr:colOff>
      <xdr:row>10</xdr:row>
      <xdr:rowOff>138321</xdr:rowOff>
    </xdr:from>
    <xdr:to>
      <xdr:col>5</xdr:col>
      <xdr:colOff>634170</xdr:colOff>
      <xdr:row>13</xdr:row>
      <xdr:rowOff>44537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6C52DF-9AF9-4985-8E93-CA394E2F9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9241" y="2126147"/>
          <a:ext cx="1774929" cy="519129"/>
        </a:xfrm>
        <a:prstGeom prst="rect">
          <a:avLst/>
        </a:prstGeom>
      </xdr:spPr>
    </xdr:pic>
    <xdr:clientData/>
  </xdr:twoCellAnchor>
  <xdr:twoCellAnchor editAs="oneCell">
    <xdr:from>
      <xdr:col>6</xdr:col>
      <xdr:colOff>159511</xdr:colOff>
      <xdr:row>1</xdr:row>
      <xdr:rowOff>131627</xdr:rowOff>
    </xdr:from>
    <xdr:to>
      <xdr:col>10</xdr:col>
      <xdr:colOff>739890</xdr:colOff>
      <xdr:row>7</xdr:row>
      <xdr:rowOff>71127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A22584A-0A1D-46AD-973E-736E4536A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1511" y="322127"/>
          <a:ext cx="3628379" cy="108250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171449</xdr:colOff>
      <xdr:row>7</xdr:row>
      <xdr:rowOff>222438</xdr:rowOff>
    </xdr:from>
    <xdr:to>
      <xdr:col>10</xdr:col>
      <xdr:colOff>447136</xdr:colOff>
      <xdr:row>11</xdr:row>
      <xdr:rowOff>51982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DF43847-DA09-4096-B3F2-AB7DDE71F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3449" y="1555938"/>
          <a:ext cx="3323687" cy="658779"/>
        </a:xfrm>
        <a:prstGeom prst="rect">
          <a:avLst/>
        </a:prstGeom>
      </xdr:spPr>
    </xdr:pic>
    <xdr:clientData/>
  </xdr:twoCellAnchor>
  <xdr:twoCellAnchor editAs="oneCell">
    <xdr:from>
      <xdr:col>3</xdr:col>
      <xdr:colOff>461597</xdr:colOff>
      <xdr:row>14</xdr:row>
      <xdr:rowOff>110725</xdr:rowOff>
    </xdr:from>
    <xdr:to>
      <xdr:col>7</xdr:col>
      <xdr:colOff>213543</xdr:colOff>
      <xdr:row>16</xdr:row>
      <xdr:rowOff>110192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D96138-5E54-4BE9-A3F4-D9FB034E3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7597" y="2887629"/>
          <a:ext cx="2799946" cy="4171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618391</xdr:colOff>
      <xdr:row>0</xdr:row>
      <xdr:rowOff>119188</xdr:rowOff>
    </xdr:from>
    <xdr:to>
      <xdr:col>7</xdr:col>
      <xdr:colOff>494567</xdr:colOff>
      <xdr:row>18</xdr:row>
      <xdr:rowOff>71745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1F0D07-4C27-4ABA-A690-EDC3BD32C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699" y="119188"/>
          <a:ext cx="2924176" cy="3528095"/>
        </a:xfrm>
        <a:prstGeom prst="rect">
          <a:avLst/>
        </a:prstGeom>
      </xdr:spPr>
    </xdr:pic>
    <xdr:clientData/>
  </xdr:twoCellAnchor>
  <xdr:twoCellAnchor editAs="oneCell">
    <xdr:from>
      <xdr:col>3</xdr:col>
      <xdr:colOff>671146</xdr:colOff>
      <xdr:row>24</xdr:row>
      <xdr:rowOff>175672</xdr:rowOff>
    </xdr:from>
    <xdr:to>
      <xdr:col>5</xdr:col>
      <xdr:colOff>423496</xdr:colOff>
      <xdr:row>28</xdr:row>
      <xdr:rowOff>78281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1EF3DF-E3FB-41F6-8BEF-2F8DC4302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6454" y="5004114"/>
          <a:ext cx="1276350" cy="701244"/>
        </a:xfrm>
        <a:prstGeom prst="rect">
          <a:avLst/>
        </a:prstGeom>
      </xdr:spPr>
    </xdr:pic>
    <xdr:clientData/>
  </xdr:twoCellAnchor>
  <xdr:twoCellAnchor editAs="oneCell">
    <xdr:from>
      <xdr:col>3</xdr:col>
      <xdr:colOff>681404</xdr:colOff>
      <xdr:row>18</xdr:row>
      <xdr:rowOff>170130</xdr:rowOff>
    </xdr:from>
    <xdr:to>
      <xdr:col>8</xdr:col>
      <xdr:colOff>214143</xdr:colOff>
      <xdr:row>24</xdr:row>
      <xdr:rowOff>185900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76404A-BF43-4917-B547-5FE9A929C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6712" y="3745668"/>
          <a:ext cx="3342739" cy="126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3CEFF"/>
  </sheetPr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showGridLines="0" topLeftCell="A3" zoomScale="115" zoomScaleNormal="115" workbookViewId="0">
      <selection activeCell="C32" sqref="C32"/>
    </sheetView>
  </sheetViews>
  <sheetFormatPr baseColWidth="10" defaultRowHeight="15" x14ac:dyDescent="0.25"/>
  <cols>
    <col min="2" max="2" width="11.85546875" bestFit="1" customWidth="1"/>
  </cols>
  <sheetData>
    <row r="2" spans="1:3" x14ac:dyDescent="0.25">
      <c r="A2" s="25" t="s">
        <v>148</v>
      </c>
    </row>
    <row r="4" spans="1:3" ht="18" x14ac:dyDescent="0.35">
      <c r="A4" s="25" t="s">
        <v>152</v>
      </c>
      <c r="B4">
        <f>m_pf*m_FG</f>
        <v>140.42843194528064</v>
      </c>
      <c r="C4" t="s">
        <v>149</v>
      </c>
    </row>
    <row r="5" spans="1:3" x14ac:dyDescent="0.25">
      <c r="B5">
        <f>B4/3600</f>
        <v>3.9007897762577952E-2</v>
      </c>
      <c r="C5" t="s">
        <v>150</v>
      </c>
    </row>
    <row r="7" spans="1:3" x14ac:dyDescent="0.25">
      <c r="A7" s="25" t="s">
        <v>154</v>
      </c>
    </row>
    <row r="9" spans="1:3" ht="18" x14ac:dyDescent="0.35">
      <c r="A9" t="s">
        <v>155</v>
      </c>
      <c r="B9">
        <f>m_FG/RHO_FG</f>
        <v>49.63815746717377</v>
      </c>
      <c r="C9" t="s">
        <v>157</v>
      </c>
    </row>
    <row r="11" spans="1:3" x14ac:dyDescent="0.25">
      <c r="A11" s="25" t="s">
        <v>151</v>
      </c>
    </row>
    <row r="13" spans="1:3" ht="18" x14ac:dyDescent="0.35">
      <c r="A13" t="s">
        <v>156</v>
      </c>
      <c r="B13">
        <f>m_pFG/RHO_FG</f>
        <v>446.74341720456391</v>
      </c>
      <c r="C13" t="s">
        <v>153</v>
      </c>
    </row>
    <row r="14" spans="1:3" x14ac:dyDescent="0.25">
      <c r="B14">
        <f>B13/3600</f>
        <v>0.12409539366793441</v>
      </c>
      <c r="C14" t="s">
        <v>165</v>
      </c>
    </row>
    <row r="15" spans="1:3" x14ac:dyDescent="0.25">
      <c r="A15" s="25" t="s">
        <v>158</v>
      </c>
    </row>
    <row r="17" spans="1:3" ht="18" x14ac:dyDescent="0.35">
      <c r="A17" t="s">
        <v>159</v>
      </c>
      <c r="B17">
        <f>m_pf*m_air</f>
        <v>131.42843194528064</v>
      </c>
      <c r="C17" t="s">
        <v>149</v>
      </c>
    </row>
    <row r="18" spans="1:3" x14ac:dyDescent="0.25">
      <c r="B18">
        <f>m_pair/3600</f>
        <v>3.6507897762577957E-2</v>
      </c>
      <c r="C18" t="s">
        <v>150</v>
      </c>
    </row>
    <row r="19" spans="1:3" x14ac:dyDescent="0.25">
      <c r="A19" s="25" t="s">
        <v>160</v>
      </c>
    </row>
    <row r="21" spans="1:3" ht="18" x14ac:dyDescent="0.35">
      <c r="A21" s="37" t="s">
        <v>139</v>
      </c>
      <c r="B21">
        <v>101325</v>
      </c>
      <c r="C21" t="s">
        <v>133</v>
      </c>
    </row>
    <row r="22" spans="1:3" x14ac:dyDescent="0.25">
      <c r="A22" s="37" t="s">
        <v>140</v>
      </c>
      <c r="B22">
        <f>25+273.15</f>
        <v>298.14999999999998</v>
      </c>
      <c r="C22" t="s">
        <v>134</v>
      </c>
    </row>
    <row r="23" spans="1:3" ht="18" x14ac:dyDescent="0.35">
      <c r="A23" s="37" t="s">
        <v>141</v>
      </c>
      <c r="B23">
        <v>8314.32</v>
      </c>
      <c r="C23" t="s">
        <v>135</v>
      </c>
    </row>
    <row r="24" spans="1:3" ht="18" x14ac:dyDescent="0.35">
      <c r="A24" s="37" t="s">
        <v>161</v>
      </c>
      <c r="B24">
        <f>Y_o2*M_o2+Y_n2*M_N2</f>
        <v>28.850334</v>
      </c>
      <c r="C24" t="s">
        <v>162</v>
      </c>
    </row>
    <row r="25" spans="1:3" ht="18" x14ac:dyDescent="0.35">
      <c r="A25" s="37" t="s">
        <v>211</v>
      </c>
      <c r="B25">
        <f>B21/((B23*B22)/B24)</f>
        <v>1.1792500641373471</v>
      </c>
      <c r="C25" t="s">
        <v>136</v>
      </c>
    </row>
    <row r="27" spans="1:3" x14ac:dyDescent="0.25">
      <c r="A27" s="54" t="s">
        <v>163</v>
      </c>
    </row>
    <row r="29" spans="1:3" ht="18" x14ac:dyDescent="0.35">
      <c r="A29" t="s">
        <v>164</v>
      </c>
      <c r="B29">
        <f>m_pair/rho_air</f>
        <v>111.45085842452256</v>
      </c>
      <c r="C29" t="s">
        <v>153</v>
      </c>
    </row>
    <row r="30" spans="1:3" x14ac:dyDescent="0.25">
      <c r="B30">
        <f>B29/3600</f>
        <v>3.0958571784589602E-2</v>
      </c>
      <c r="C30" t="s">
        <v>165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="160" zoomScaleNormal="160" workbookViewId="0">
      <selection activeCell="B12" sqref="B12"/>
    </sheetView>
  </sheetViews>
  <sheetFormatPr baseColWidth="10" defaultRowHeight="15" x14ac:dyDescent="0.25"/>
  <cols>
    <col min="2" max="2" width="16.85546875" customWidth="1"/>
    <col min="3" max="3" width="11" customWidth="1"/>
    <col min="4" max="4" width="6.140625" customWidth="1"/>
    <col min="5" max="5" width="10" customWidth="1"/>
  </cols>
  <sheetData>
    <row r="1" spans="1:5" ht="15.75" thickBot="1" x14ac:dyDescent="0.3">
      <c r="A1" s="78"/>
      <c r="B1" s="112" t="s">
        <v>276</v>
      </c>
      <c r="C1" s="113"/>
      <c r="D1" s="113"/>
      <c r="E1" s="114"/>
    </row>
    <row r="2" spans="1:5" ht="18" thickBot="1" x14ac:dyDescent="0.3">
      <c r="A2" s="78"/>
      <c r="B2" s="85" t="s">
        <v>277</v>
      </c>
      <c r="C2" s="110" t="s">
        <v>278</v>
      </c>
      <c r="D2" s="111"/>
      <c r="E2" s="86" t="s">
        <v>279</v>
      </c>
    </row>
    <row r="3" spans="1:5" ht="15.75" thickBot="1" x14ac:dyDescent="0.3">
      <c r="A3" s="78"/>
      <c r="B3" s="87"/>
      <c r="C3" s="87"/>
      <c r="D3" s="88"/>
      <c r="E3" s="89"/>
    </row>
    <row r="4" spans="1:5" x14ac:dyDescent="0.25">
      <c r="A4" s="90" t="s">
        <v>280</v>
      </c>
      <c r="B4" s="81">
        <f>Tadiabatica-273.15</f>
        <v>803.34843209964299</v>
      </c>
      <c r="C4" s="81">
        <f>m_air</f>
        <v>14.603159105031182</v>
      </c>
      <c r="D4" s="83">
        <f>landa</f>
        <v>3.2642000000000002</v>
      </c>
      <c r="E4" s="82">
        <f>tr</f>
        <v>5.3305765866709043E-2</v>
      </c>
    </row>
    <row r="5" spans="1:5" x14ac:dyDescent="0.25">
      <c r="A5" s="91" t="s">
        <v>281</v>
      </c>
      <c r="B5" s="79">
        <v>805.65</v>
      </c>
      <c r="C5" s="79">
        <v>14.279</v>
      </c>
      <c r="D5" s="84">
        <v>3.14</v>
      </c>
      <c r="E5" s="80">
        <v>9.2999999999999999E-2</v>
      </c>
    </row>
    <row r="6" spans="1:5" ht="15.75" thickBot="1" x14ac:dyDescent="0.3">
      <c r="A6" s="92" t="s">
        <v>282</v>
      </c>
      <c r="B6" s="93">
        <f>ABS(B5-B4)/B5*100</f>
        <v>0.28567838395792045</v>
      </c>
      <c r="C6" s="93">
        <f t="shared" ref="C6:E6" si="0">ABS(C5-C4)/C5*100</f>
        <v>2.2701807201567465</v>
      </c>
      <c r="D6" s="94">
        <f t="shared" si="0"/>
        <v>3.955414012738856</v>
      </c>
      <c r="E6" s="95">
        <f t="shared" si="0"/>
        <v>42.681972186334363</v>
      </c>
    </row>
  </sheetData>
  <mergeCells count="2">
    <mergeCell ref="C2:D2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showGridLines="0" workbookViewId="0">
      <selection activeCell="E20" sqref="E20"/>
    </sheetView>
  </sheetViews>
  <sheetFormatPr baseColWidth="10" defaultRowHeight="15" x14ac:dyDescent="0.25"/>
  <cols>
    <col min="1" max="1" width="31.5703125" bestFit="1" customWidth="1"/>
    <col min="4" max="4" width="13.28515625" bestFit="1" customWidth="1"/>
    <col min="5" max="5" width="26.42578125" bestFit="1" customWidth="1"/>
  </cols>
  <sheetData>
    <row r="2" spans="1:5" x14ac:dyDescent="0.25">
      <c r="A2" t="s">
        <v>171</v>
      </c>
      <c r="B2" t="s">
        <v>170</v>
      </c>
      <c r="C2">
        <v>0.02</v>
      </c>
      <c r="D2" t="s">
        <v>177</v>
      </c>
      <c r="E2" t="s">
        <v>183</v>
      </c>
    </row>
    <row r="3" spans="1:5" ht="18" x14ac:dyDescent="0.35">
      <c r="A3" t="s">
        <v>172</v>
      </c>
      <c r="B3" t="s">
        <v>168</v>
      </c>
      <c r="C3">
        <v>0.4</v>
      </c>
      <c r="D3" t="s">
        <v>178</v>
      </c>
      <c r="E3" t="s">
        <v>184</v>
      </c>
    </row>
    <row r="4" spans="1:5" ht="18" x14ac:dyDescent="0.35">
      <c r="A4" t="s">
        <v>176</v>
      </c>
      <c r="B4" t="s">
        <v>167</v>
      </c>
      <c r="C4">
        <v>1323</v>
      </c>
      <c r="D4" t="s">
        <v>179</v>
      </c>
      <c r="E4" t="s">
        <v>181</v>
      </c>
    </row>
    <row r="5" spans="1:5" ht="18" x14ac:dyDescent="0.35">
      <c r="C5">
        <v>323</v>
      </c>
      <c r="D5" t="s">
        <v>136</v>
      </c>
      <c r="E5" t="s">
        <v>180</v>
      </c>
    </row>
    <row r="6" spans="1:5" x14ac:dyDescent="0.25">
      <c r="A6" t="s">
        <v>175</v>
      </c>
      <c r="B6" t="s">
        <v>169</v>
      </c>
      <c r="C6">
        <v>0.65</v>
      </c>
      <c r="D6" t="s">
        <v>178</v>
      </c>
      <c r="E6" t="s">
        <v>182</v>
      </c>
    </row>
    <row r="7" spans="1:5" ht="18" x14ac:dyDescent="0.35">
      <c r="A7" t="s">
        <v>174</v>
      </c>
      <c r="B7" t="s">
        <v>173</v>
      </c>
      <c r="C7">
        <v>8</v>
      </c>
      <c r="D7" t="s">
        <v>178</v>
      </c>
      <c r="E7" t="s">
        <v>183</v>
      </c>
    </row>
    <row r="8" spans="1:5" x14ac:dyDescent="0.25">
      <c r="A8" t="s">
        <v>191</v>
      </c>
      <c r="B8" t="s">
        <v>190</v>
      </c>
      <c r="C8">
        <v>0.9</v>
      </c>
      <c r="D8" t="s">
        <v>192</v>
      </c>
      <c r="E8" t="s">
        <v>193</v>
      </c>
    </row>
    <row r="10" spans="1:5" ht="18" x14ac:dyDescent="0.35">
      <c r="A10" t="s">
        <v>187</v>
      </c>
      <c r="B10" t="s">
        <v>185</v>
      </c>
      <c r="C10">
        <v>0.05</v>
      </c>
      <c r="D10" t="s">
        <v>177</v>
      </c>
      <c r="E10" t="s">
        <v>183</v>
      </c>
    </row>
    <row r="11" spans="1:5" ht="18" x14ac:dyDescent="0.35">
      <c r="A11" t="s">
        <v>188</v>
      </c>
      <c r="B11" t="s">
        <v>186</v>
      </c>
      <c r="C11">
        <v>1.4999999999999999E-2</v>
      </c>
      <c r="D11" t="s">
        <v>177</v>
      </c>
      <c r="E11" t="s">
        <v>183</v>
      </c>
    </row>
    <row r="12" spans="1:5" x14ac:dyDescent="0.25">
      <c r="C12">
        <f>tr</f>
        <v>5.3305765866709043E-2</v>
      </c>
    </row>
    <row r="13" spans="1:5" ht="15.75" thickBot="1" x14ac:dyDescent="0.3"/>
    <row r="14" spans="1:5" ht="15.75" thickBot="1" x14ac:dyDescent="0.3">
      <c r="A14" s="51" t="s">
        <v>189</v>
      </c>
      <c r="B14" s="71">
        <f>(PI()*(C10-C11)^(2)*C2*C3*C4*C6*C8)/(2*C7)</f>
        <v>1.489263947103067E-3</v>
      </c>
      <c r="C14" s="45" t="s">
        <v>150</v>
      </c>
    </row>
    <row r="15" spans="1:5" x14ac:dyDescent="0.25">
      <c r="B15">
        <f>B14*3600</f>
        <v>5.3613502095710412</v>
      </c>
      <c r="C15" t="s">
        <v>149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opLeftCell="E1" workbookViewId="0">
      <selection activeCell="L19" sqref="L19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showGridLines="0" zoomScale="70" zoomScaleNormal="70" workbookViewId="0">
      <selection activeCell="V14" sqref="V14"/>
    </sheetView>
  </sheetViews>
  <sheetFormatPr baseColWidth="10" defaultRowHeight="15" x14ac:dyDescent="0.25"/>
  <cols>
    <col min="2" max="2" width="12" bestFit="1" customWidth="1"/>
  </cols>
  <sheetData>
    <row r="2" spans="1:7" x14ac:dyDescent="0.25">
      <c r="A2" s="25" t="s">
        <v>198</v>
      </c>
    </row>
    <row r="3" spans="1:7" x14ac:dyDescent="0.25">
      <c r="A3" s="25"/>
    </row>
    <row r="4" spans="1:7" x14ac:dyDescent="0.25">
      <c r="A4" s="38" t="s">
        <v>199</v>
      </c>
      <c r="B4">
        <f>rho_air</f>
        <v>1.1792500641373471</v>
      </c>
      <c r="C4" t="s">
        <v>179</v>
      </c>
    </row>
    <row r="5" spans="1:7" x14ac:dyDescent="0.25">
      <c r="A5" s="61" t="s">
        <v>200</v>
      </c>
      <c r="B5" s="60">
        <f>25.4/1000</f>
        <v>2.5399999999999999E-2</v>
      </c>
      <c r="C5" s="60" t="s">
        <v>177</v>
      </c>
    </row>
    <row r="6" spans="1:7" x14ac:dyDescent="0.25">
      <c r="A6" s="38" t="s">
        <v>201</v>
      </c>
      <c r="B6">
        <v>3.9484999999999999E-5</v>
      </c>
      <c r="C6" t="s">
        <v>202</v>
      </c>
    </row>
    <row r="7" spans="1:7" x14ac:dyDescent="0.25">
      <c r="A7" s="25"/>
    </row>
    <row r="8" spans="1:7" x14ac:dyDescent="0.25">
      <c r="A8" s="31" t="s">
        <v>204</v>
      </c>
      <c r="B8">
        <f>(B4*B16*B5)/B6</f>
        <v>6407.0057753949595</v>
      </c>
    </row>
    <row r="9" spans="1:7" x14ac:dyDescent="0.25">
      <c r="A9" s="25"/>
    </row>
    <row r="11" spans="1:7" x14ac:dyDescent="0.25">
      <c r="A11" s="25" t="s">
        <v>196</v>
      </c>
    </row>
    <row r="12" spans="1:7" x14ac:dyDescent="0.25">
      <c r="A12" s="25"/>
    </row>
    <row r="13" spans="1:7" ht="18" x14ac:dyDescent="0.35">
      <c r="A13" s="59" t="s">
        <v>206</v>
      </c>
      <c r="B13" s="60">
        <v>4.8</v>
      </c>
      <c r="C13" s="60" t="s">
        <v>208</v>
      </c>
    </row>
    <row r="14" spans="1:7" ht="18" x14ac:dyDescent="0.35">
      <c r="A14" s="31" t="s">
        <v>207</v>
      </c>
      <c r="B14">
        <f>58.84/1000</f>
        <v>5.8840000000000003E-2</v>
      </c>
      <c r="C14" t="s">
        <v>177</v>
      </c>
      <c r="F14" t="s">
        <v>212</v>
      </c>
      <c r="G14">
        <f>58.84/50.96</f>
        <v>1.1546310832025117</v>
      </c>
    </row>
    <row r="15" spans="1:7" x14ac:dyDescent="0.25">
      <c r="A15" s="25"/>
    </row>
    <row r="16" spans="1:7" ht="18" x14ac:dyDescent="0.35">
      <c r="A16" s="31" t="s">
        <v>209</v>
      </c>
      <c r="B16">
        <f>(B13*B14)/(B14-B5)</f>
        <v>8.4459330143540665</v>
      </c>
      <c r="C16" t="s">
        <v>208</v>
      </c>
    </row>
    <row r="17" spans="1:2" x14ac:dyDescent="0.25">
      <c r="A17" s="25"/>
    </row>
    <row r="20" spans="1:2" x14ac:dyDescent="0.25">
      <c r="A20" s="25" t="s">
        <v>197</v>
      </c>
      <c r="B20" t="s">
        <v>210</v>
      </c>
    </row>
    <row r="22" spans="1:2" x14ac:dyDescent="0.25">
      <c r="A22" t="s">
        <v>213</v>
      </c>
      <c r="B22">
        <v>0.2</v>
      </c>
    </row>
    <row r="23" spans="1:2" x14ac:dyDescent="0.25">
      <c r="A23" t="s">
        <v>214</v>
      </c>
      <c r="B23">
        <v>0.63</v>
      </c>
    </row>
    <row r="24" spans="1:2" x14ac:dyDescent="0.25">
      <c r="A24" s="38" t="s">
        <v>215</v>
      </c>
      <c r="B24">
        <v>0.85</v>
      </c>
    </row>
    <row r="25" spans="1:2" ht="18" x14ac:dyDescent="0.35">
      <c r="A25" s="38" t="s">
        <v>217</v>
      </c>
      <c r="B25">
        <v>0.70599999999999996</v>
      </c>
    </row>
    <row r="26" spans="1:2" ht="18" x14ac:dyDescent="0.35">
      <c r="A26" s="38" t="s">
        <v>218</v>
      </c>
      <c r="B26">
        <v>0.72</v>
      </c>
    </row>
    <row r="27" spans="1:2" x14ac:dyDescent="0.25">
      <c r="A27" s="38" t="s">
        <v>220</v>
      </c>
      <c r="B27">
        <f>B22*B8^(B23)*B26^(0.36)*(B26/B25)^(0.25)</f>
        <v>44.667779743897803</v>
      </c>
    </row>
    <row r="28" spans="1:2" ht="18" x14ac:dyDescent="0.35">
      <c r="A28" t="s">
        <v>219</v>
      </c>
      <c r="B28">
        <f>0.27*B24*B8^(B23)*B26^(0.36)*(B26/B25)^(0.25)</f>
        <v>51.256277256122729</v>
      </c>
    </row>
    <row r="30" spans="1:2" x14ac:dyDescent="0.25">
      <c r="A30" t="s">
        <v>221</v>
      </c>
    </row>
    <row r="32" spans="1:2" ht="18" x14ac:dyDescent="0.35">
      <c r="A32" t="s">
        <v>222</v>
      </c>
      <c r="B32">
        <v>2.6749999999999999E-2</v>
      </c>
    </row>
    <row r="33" spans="1:3" ht="15.75" thickBot="1" x14ac:dyDescent="0.3"/>
    <row r="34" spans="1:3" ht="18.75" thickBot="1" x14ac:dyDescent="0.4">
      <c r="A34" s="55" t="s">
        <v>223</v>
      </c>
      <c r="B34" s="56">
        <f>B28*B32/B5</f>
        <v>53.980528212648942</v>
      </c>
      <c r="C34" s="57" t="s">
        <v>250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showGridLines="0" zoomScale="115" zoomScaleNormal="115" workbookViewId="0">
      <selection activeCell="D17" sqref="D17"/>
    </sheetView>
  </sheetViews>
  <sheetFormatPr baseColWidth="10" defaultRowHeight="15" x14ac:dyDescent="0.25"/>
  <cols>
    <col min="2" max="2" width="11.85546875" bestFit="1" customWidth="1"/>
  </cols>
  <sheetData>
    <row r="2" spans="1:4" ht="18" x14ac:dyDescent="0.35">
      <c r="A2" t="s">
        <v>283</v>
      </c>
      <c r="B2">
        <f>Tadiabatica</f>
        <v>1076.498432099643</v>
      </c>
      <c r="C2" t="s">
        <v>224</v>
      </c>
      <c r="D2">
        <f>B2-273.15</f>
        <v>803.34843209964299</v>
      </c>
    </row>
    <row r="3" spans="1:4" ht="18" x14ac:dyDescent="0.35">
      <c r="A3" t="s">
        <v>284</v>
      </c>
      <c r="B3">
        <f>25+273.15</f>
        <v>298.14999999999998</v>
      </c>
      <c r="C3" t="s">
        <v>224</v>
      </c>
    </row>
    <row r="4" spans="1:4" ht="18" x14ac:dyDescent="0.35">
      <c r="A4" t="s">
        <v>285</v>
      </c>
      <c r="B4">
        <f>50+273.15</f>
        <v>323.14999999999998</v>
      </c>
      <c r="C4" t="s">
        <v>224</v>
      </c>
    </row>
    <row r="6" spans="1:4" ht="18" x14ac:dyDescent="0.35">
      <c r="A6" t="s">
        <v>225</v>
      </c>
      <c r="B6">
        <v>1037</v>
      </c>
      <c r="C6" t="s">
        <v>228</v>
      </c>
    </row>
    <row r="7" spans="1:4" ht="18" x14ac:dyDescent="0.35">
      <c r="A7" t="s">
        <v>226</v>
      </c>
      <c r="B7">
        <f>Cpg*1000</f>
        <v>1207</v>
      </c>
      <c r="C7" t="s">
        <v>228</v>
      </c>
    </row>
    <row r="10" spans="1:4" ht="18" x14ac:dyDescent="0.35">
      <c r="A10" t="s">
        <v>159</v>
      </c>
      <c r="B10">
        <f>m_pair</f>
        <v>131.42843194528064</v>
      </c>
      <c r="C10" t="s">
        <v>149</v>
      </c>
    </row>
    <row r="11" spans="1:4" x14ac:dyDescent="0.25">
      <c r="B11">
        <f>B10/3600</f>
        <v>3.6507897762577957E-2</v>
      </c>
      <c r="C11" t="s">
        <v>150</v>
      </c>
    </row>
    <row r="12" spans="1:4" ht="18" x14ac:dyDescent="0.35">
      <c r="A12" t="s">
        <v>227</v>
      </c>
      <c r="B12">
        <f>m_pFG</f>
        <v>140.42843194528064</v>
      </c>
      <c r="C12" t="s">
        <v>149</v>
      </c>
      <c r="D12" s="3">
        <f>3.5/0.875</f>
        <v>4</v>
      </c>
    </row>
    <row r="13" spans="1:4" x14ac:dyDescent="0.25">
      <c r="B13">
        <f>B12/3600</f>
        <v>3.9007897762577952E-2</v>
      </c>
      <c r="C13" t="s">
        <v>150</v>
      </c>
      <c r="D13">
        <f>B12*4</f>
        <v>561.71372778112254</v>
      </c>
    </row>
    <row r="16" spans="1:4" x14ac:dyDescent="0.25">
      <c r="A16" t="s">
        <v>286</v>
      </c>
      <c r="B16">
        <f>B2-(B10*B6*(B4-B3))/(B12*B7)</f>
        <v>1056.3961309437732</v>
      </c>
      <c r="C16" t="s">
        <v>224</v>
      </c>
    </row>
    <row r="17" spans="1:3" x14ac:dyDescent="0.25">
      <c r="B17">
        <f>B16-273.15</f>
        <v>783.24613094377321</v>
      </c>
      <c r="C17" t="s">
        <v>195</v>
      </c>
    </row>
    <row r="19" spans="1:3" ht="15.75" thickBot="1" x14ac:dyDescent="0.3"/>
    <row r="20" spans="1:3" ht="15.75" thickBot="1" x14ac:dyDescent="0.3">
      <c r="A20" s="58" t="s">
        <v>229</v>
      </c>
      <c r="B20" s="56">
        <f>((T_c2-T_f1)-(T_C1-T_f2))/(LN((T_c2-T_f1)/(T_C1-T_f2)))</f>
        <v>755.79463668540768</v>
      </c>
      <c r="C20" s="57" t="s">
        <v>224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showGridLines="0" topLeftCell="D1" zoomScale="115" zoomScaleNormal="115" workbookViewId="0">
      <selection activeCell="B2" sqref="B2"/>
    </sheetView>
  </sheetViews>
  <sheetFormatPr baseColWidth="10" defaultRowHeight="15" x14ac:dyDescent="0.25"/>
  <cols>
    <col min="1" max="1" width="3.140625" bestFit="1" customWidth="1"/>
  </cols>
  <sheetData>
    <row r="2" spans="1:2" x14ac:dyDescent="0.25">
      <c r="A2" t="s">
        <v>230</v>
      </c>
      <c r="B2">
        <f>(T_f1-T_f2)/(T_f1-T_C1)</f>
        <v>3.2119291269799254E-2</v>
      </c>
    </row>
    <row r="3" spans="1:2" x14ac:dyDescent="0.25">
      <c r="A3" t="s">
        <v>231</v>
      </c>
      <c r="B3">
        <f>(T_C1-T_c2)/(T_f2-T_f1)</f>
        <v>0.80409204623479125</v>
      </c>
    </row>
    <row r="4" spans="1:2" ht="15.75" thickBot="1" x14ac:dyDescent="0.3"/>
    <row r="5" spans="1:2" ht="15.75" thickBot="1" x14ac:dyDescent="0.3">
      <c r="A5" s="58" t="s">
        <v>232</v>
      </c>
      <c r="B5" s="57">
        <f>0.9</f>
        <v>0.9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showGridLines="0" topLeftCell="A4" zoomScale="70" zoomScaleNormal="70" workbookViewId="0">
      <selection activeCell="B4" sqref="B4"/>
    </sheetView>
  </sheetViews>
  <sheetFormatPr baseColWidth="10" defaultRowHeight="15" x14ac:dyDescent="0.25"/>
  <cols>
    <col min="2" max="2" width="11.85546875" bestFit="1" customWidth="1"/>
  </cols>
  <sheetData>
    <row r="2" spans="1:3" ht="18" x14ac:dyDescent="0.35">
      <c r="A2" t="s">
        <v>237</v>
      </c>
      <c r="B2">
        <f>0.000037</f>
        <v>3.6999999999999998E-5</v>
      </c>
      <c r="C2" t="s">
        <v>238</v>
      </c>
    </row>
    <row r="3" spans="1:3" x14ac:dyDescent="0.25">
      <c r="A3" t="s">
        <v>216</v>
      </c>
      <c r="B3">
        <v>0.72</v>
      </c>
    </row>
    <row r="4" spans="1:3" x14ac:dyDescent="0.25">
      <c r="A4" t="s">
        <v>236</v>
      </c>
      <c r="B4">
        <f>RHO_FG</f>
        <v>0.31433799925691669</v>
      </c>
      <c r="C4" t="s">
        <v>136</v>
      </c>
    </row>
    <row r="6" spans="1:3" x14ac:dyDescent="0.25">
      <c r="A6" t="s">
        <v>239</v>
      </c>
    </row>
    <row r="8" spans="1:3" x14ac:dyDescent="0.25">
      <c r="A8" t="s">
        <v>240</v>
      </c>
      <c r="B8">
        <f>0.0234</f>
        <v>2.3400000000000001E-2</v>
      </c>
      <c r="C8" t="s">
        <v>177</v>
      </c>
    </row>
    <row r="9" spans="1:3" ht="18" x14ac:dyDescent="0.35">
      <c r="A9" t="s">
        <v>156</v>
      </c>
      <c r="B9">
        <f>'Calculos adicionales'!B14</f>
        <v>0.12409539366793441</v>
      </c>
      <c r="C9" t="s">
        <v>242</v>
      </c>
    </row>
    <row r="10" spans="1:3" x14ac:dyDescent="0.25">
      <c r="A10" t="s">
        <v>61</v>
      </c>
      <c r="B10">
        <v>8</v>
      </c>
      <c r="C10" t="s">
        <v>243</v>
      </c>
    </row>
    <row r="12" spans="1:3" x14ac:dyDescent="0.25">
      <c r="A12" t="s">
        <v>244</v>
      </c>
      <c r="B12">
        <f>0.4/0.0234</f>
        <v>17.094017094017094</v>
      </c>
      <c r="C12" t="s">
        <v>245</v>
      </c>
    </row>
    <row r="14" spans="1:3" x14ac:dyDescent="0.25">
      <c r="A14" s="60" t="s">
        <v>205</v>
      </c>
      <c r="B14" s="60">
        <f>B9/((B10*PI()*B8^(2))/4)</f>
        <v>36.069828543331241</v>
      </c>
      <c r="C14" s="60" t="s">
        <v>208</v>
      </c>
    </row>
    <row r="16" spans="1:3" x14ac:dyDescent="0.25">
      <c r="A16" t="s">
        <v>203</v>
      </c>
      <c r="B16">
        <f>(B8*B4*B14)/B2</f>
        <v>7170.5933801542706</v>
      </c>
    </row>
    <row r="18" spans="1:3" x14ac:dyDescent="0.25">
      <c r="A18" t="s">
        <v>190</v>
      </c>
      <c r="B18">
        <f>0.316*B16^(-1/4)</f>
        <v>3.4339843268842492E-2</v>
      </c>
    </row>
    <row r="20" spans="1:3" x14ac:dyDescent="0.25">
      <c r="A20" t="s">
        <v>220</v>
      </c>
      <c r="B20">
        <f>((B18/8)*(B16-1000)*B3)/(1+12.7*(B18/8)^(1/2)*(B3^(2/3)-1))</f>
        <v>22.802385827261549</v>
      </c>
    </row>
    <row r="22" spans="1:3" ht="18" x14ac:dyDescent="0.35">
      <c r="A22" t="s">
        <v>246</v>
      </c>
      <c r="B22">
        <v>2.6749999999999999E-2</v>
      </c>
      <c r="C22" t="s">
        <v>247</v>
      </c>
    </row>
    <row r="23" spans="1:3" ht="15.75" thickBot="1" x14ac:dyDescent="0.3"/>
    <row r="24" spans="1:3" ht="18.75" thickBot="1" x14ac:dyDescent="0.4">
      <c r="A24" s="55" t="s">
        <v>249</v>
      </c>
      <c r="B24" s="56">
        <f>B20*B22/B8</f>
        <v>26.066829952104545</v>
      </c>
      <c r="C24" s="57" t="s">
        <v>248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>
      <selection sqref="A1:C1"/>
    </sheetView>
  </sheetViews>
  <sheetFormatPr baseColWidth="10" defaultRowHeight="15" x14ac:dyDescent="0.25"/>
  <sheetData>
    <row r="1" spans="1:3" x14ac:dyDescent="0.25">
      <c r="A1" t="s">
        <v>264</v>
      </c>
      <c r="B1">
        <v>0.03</v>
      </c>
      <c r="C1" t="s">
        <v>265</v>
      </c>
    </row>
    <row r="2" spans="1:3" x14ac:dyDescent="0.25">
      <c r="A2" t="s">
        <v>200</v>
      </c>
      <c r="B2">
        <f>0.0254</f>
        <v>2.5399999999999999E-2</v>
      </c>
      <c r="C2" t="s">
        <v>177</v>
      </c>
    </row>
    <row r="3" spans="1:3" x14ac:dyDescent="0.25">
      <c r="A3" t="s">
        <v>240</v>
      </c>
      <c r="B3">
        <f>B2-0.002</f>
        <v>2.3399999999999997E-2</v>
      </c>
      <c r="C3" t="s">
        <v>177</v>
      </c>
    </row>
    <row r="5" spans="1:3" x14ac:dyDescent="0.25">
      <c r="A5" t="s">
        <v>233</v>
      </c>
      <c r="B5">
        <f>0.000176</f>
        <v>1.76E-4</v>
      </c>
      <c r="C5" t="s">
        <v>235</v>
      </c>
    </row>
    <row r="6" spans="1:3" x14ac:dyDescent="0.25">
      <c r="A6" t="s">
        <v>234</v>
      </c>
      <c r="B6">
        <v>1E-4</v>
      </c>
      <c r="C6" t="s">
        <v>235</v>
      </c>
    </row>
    <row r="9" spans="1:3" ht="18" x14ac:dyDescent="0.35">
      <c r="A9" s="37" t="s">
        <v>263</v>
      </c>
      <c r="B9">
        <v>60.5</v>
      </c>
      <c r="C9" t="s">
        <v>247</v>
      </c>
    </row>
    <row r="11" spans="1:3" ht="15.75" thickBot="1" x14ac:dyDescent="0.3"/>
    <row r="12" spans="1:3" ht="15.75" thickBot="1" x14ac:dyDescent="0.3">
      <c r="A12" s="55" t="s">
        <v>262</v>
      </c>
      <c r="B12" s="56">
        <f>1/((B2/(B3*hi))+((B2*B5)/B3)+((B2*LN(B2/B3))/(2*B9))+(B6)+(1/ho))</f>
        <v>16.535684409038378</v>
      </c>
      <c r="C12" s="57" t="s">
        <v>266</v>
      </c>
    </row>
    <row r="18" spans="1:3" ht="15.75" thickBot="1" x14ac:dyDescent="0.3"/>
    <row r="19" spans="1:3" ht="15.75" thickBot="1" x14ac:dyDescent="0.3">
      <c r="A19" s="58" t="s">
        <v>241</v>
      </c>
      <c r="B19" s="56">
        <f>U*B1*F_fix*'Th2'!B20</f>
        <v>337.43470293739045</v>
      </c>
      <c r="C19" s="57" t="s">
        <v>267</v>
      </c>
    </row>
    <row r="22" spans="1:3" ht="18" x14ac:dyDescent="0.35">
      <c r="A22" t="s">
        <v>225</v>
      </c>
      <c r="B22">
        <v>1037</v>
      </c>
      <c r="C22" t="s">
        <v>228</v>
      </c>
    </row>
    <row r="23" spans="1:3" ht="18" x14ac:dyDescent="0.35">
      <c r="A23" t="s">
        <v>159</v>
      </c>
      <c r="B23">
        <f>m_pair</f>
        <v>131.42843194528064</v>
      </c>
      <c r="C23" t="s">
        <v>149</v>
      </c>
    </row>
    <row r="24" spans="1:3" x14ac:dyDescent="0.25">
      <c r="B24">
        <f>B23/3600</f>
        <v>3.6507897762577957E-2</v>
      </c>
      <c r="C24" t="s">
        <v>150</v>
      </c>
    </row>
    <row r="26" spans="1:3" x14ac:dyDescent="0.25">
      <c r="A26" t="s">
        <v>268</v>
      </c>
      <c r="B26">
        <f>B22*B24*(T_f2-T_f1)</f>
        <v>946.46724949483348</v>
      </c>
      <c r="C26" t="s">
        <v>267</v>
      </c>
    </row>
    <row r="27" spans="1:3" ht="14.2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zoomScale="130" zoomScaleNormal="130" workbookViewId="0">
      <selection activeCell="H7" sqref="H7"/>
    </sheetView>
  </sheetViews>
  <sheetFormatPr baseColWidth="10" defaultColWidth="9.140625" defaultRowHeight="15" x14ac:dyDescent="0.25"/>
  <cols>
    <col min="1" max="1" width="2.28515625" customWidth="1"/>
    <col min="2" max="2" width="20" bestFit="1" customWidth="1"/>
    <col min="3" max="3" width="12.5703125" bestFit="1" customWidth="1"/>
    <col min="4" max="4" width="2.85546875" hidden="1" customWidth="1"/>
    <col min="6" max="6" width="12.5703125" bestFit="1" customWidth="1"/>
  </cols>
  <sheetData>
    <row r="1" spans="2:7" ht="15.75" thickBot="1" x14ac:dyDescent="0.3"/>
    <row r="2" spans="2:7" ht="15.75" thickBot="1" x14ac:dyDescent="0.3">
      <c r="B2" s="96" t="s">
        <v>271</v>
      </c>
      <c r="C2" s="97"/>
      <c r="E2" s="98" t="s">
        <v>272</v>
      </c>
      <c r="F2" s="99"/>
    </row>
    <row r="3" spans="2:7" ht="15.75" thickBot="1" x14ac:dyDescent="0.3">
      <c r="B3" s="6" t="s">
        <v>5</v>
      </c>
      <c r="C3" s="5" t="s">
        <v>6</v>
      </c>
      <c r="E3" s="6" t="s">
        <v>7</v>
      </c>
      <c r="F3" s="5" t="s">
        <v>6</v>
      </c>
    </row>
    <row r="4" spans="2:7" x14ac:dyDescent="0.25">
      <c r="B4" s="7" t="s">
        <v>0</v>
      </c>
      <c r="C4" s="11">
        <v>46.8</v>
      </c>
      <c r="D4" s="14">
        <f>C4/100</f>
        <v>0.46799999999999997</v>
      </c>
      <c r="E4" s="73" t="s">
        <v>8</v>
      </c>
      <c r="F4" s="74">
        <v>3.55</v>
      </c>
      <c r="G4" s="15">
        <f>F4/100</f>
        <v>3.5499999999999997E-2</v>
      </c>
    </row>
    <row r="5" spans="2:7" x14ac:dyDescent="0.25">
      <c r="B5" s="8" t="s">
        <v>1</v>
      </c>
      <c r="C5" s="12">
        <v>4.9000000000000004</v>
      </c>
      <c r="D5" s="14">
        <f t="shared" ref="D5:D8" si="0">C5/100</f>
        <v>4.9000000000000002E-2</v>
      </c>
      <c r="E5" s="8" t="s">
        <v>9</v>
      </c>
      <c r="F5" s="10">
        <v>15.05</v>
      </c>
      <c r="G5" s="15">
        <f t="shared" ref="G5:G11" si="1">F5/100</f>
        <v>0.15049999999999999</v>
      </c>
    </row>
    <row r="6" spans="2:7" x14ac:dyDescent="0.25">
      <c r="B6" s="8" t="s">
        <v>2</v>
      </c>
      <c r="C6" s="12">
        <v>0.8145717841384772</v>
      </c>
      <c r="D6" s="14">
        <f t="shared" si="0"/>
        <v>8.1457178413847711E-3</v>
      </c>
      <c r="E6" s="8" t="s">
        <v>10</v>
      </c>
      <c r="F6" s="10">
        <v>2.2999999999999998</v>
      </c>
      <c r="G6" s="15">
        <f t="shared" si="1"/>
        <v>2.3E-2</v>
      </c>
    </row>
    <row r="7" spans="2:7" x14ac:dyDescent="0.25">
      <c r="B7" s="8" t="s">
        <v>3</v>
      </c>
      <c r="C7" s="12">
        <v>0.35</v>
      </c>
      <c r="D7" s="14">
        <f t="shared" si="0"/>
        <v>3.4999999999999996E-3</v>
      </c>
      <c r="E7" s="16" t="s">
        <v>11</v>
      </c>
      <c r="F7" s="17">
        <v>4.2</v>
      </c>
      <c r="G7" s="15">
        <f t="shared" si="1"/>
        <v>4.2000000000000003E-2</v>
      </c>
    </row>
    <row r="8" spans="2:7" ht="15.75" thickBot="1" x14ac:dyDescent="0.3">
      <c r="B8" s="9" t="s">
        <v>4</v>
      </c>
      <c r="C8" s="13">
        <v>47.1</v>
      </c>
      <c r="D8" s="14">
        <f t="shared" si="0"/>
        <v>0.47100000000000003</v>
      </c>
      <c r="E8" s="16" t="s">
        <v>12</v>
      </c>
      <c r="F8" s="17">
        <v>10.25</v>
      </c>
      <c r="G8" s="15">
        <f t="shared" si="1"/>
        <v>0.10249999999999999</v>
      </c>
    </row>
    <row r="9" spans="2:7" ht="15.75" thickBot="1" x14ac:dyDescent="0.3">
      <c r="C9" s="4"/>
      <c r="E9" s="8" t="s">
        <v>13</v>
      </c>
      <c r="F9" s="10">
        <v>3.85</v>
      </c>
      <c r="G9" s="15">
        <f t="shared" si="1"/>
        <v>3.85E-2</v>
      </c>
    </row>
    <row r="10" spans="2:7" ht="15.75" thickBot="1" x14ac:dyDescent="0.3">
      <c r="B10" s="32" t="s">
        <v>24</v>
      </c>
      <c r="C10" s="33">
        <v>10.8</v>
      </c>
      <c r="E10" s="8" t="s">
        <v>14</v>
      </c>
      <c r="F10" s="10">
        <v>0.45</v>
      </c>
      <c r="G10" s="15">
        <f t="shared" si="1"/>
        <v>4.5000000000000005E-3</v>
      </c>
    </row>
    <row r="11" spans="2:7" ht="15.75" thickBot="1" x14ac:dyDescent="0.3">
      <c r="B11" s="32" t="s">
        <v>38</v>
      </c>
      <c r="C11" s="33">
        <v>4.0999999999999996</v>
      </c>
      <c r="E11" s="18" t="s">
        <v>15</v>
      </c>
      <c r="F11" s="19">
        <v>37.5</v>
      </c>
      <c r="G11" s="15">
        <f t="shared" si="1"/>
        <v>0.375</v>
      </c>
    </row>
    <row r="12" spans="2:7" ht="15.75" thickBot="1" x14ac:dyDescent="0.3">
      <c r="E12" s="72" t="s">
        <v>269</v>
      </c>
      <c r="F12" s="75">
        <f>F11+F8+F7+F4</f>
        <v>55.5</v>
      </c>
      <c r="G12" s="15">
        <f>SUM(G4:G11)</f>
        <v>0.77149999999999996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zoomScale="85" zoomScaleNormal="85" workbookViewId="0">
      <selection activeCell="F24" sqref="F24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251</v>
      </c>
      <c r="B1">
        <f>m_air</f>
        <v>14.603159105031182</v>
      </c>
      <c r="C1" t="s">
        <v>252</v>
      </c>
    </row>
    <row r="2" spans="1:3" x14ac:dyDescent="0.25">
      <c r="A2" t="s">
        <v>253</v>
      </c>
      <c r="B2">
        <v>0.7</v>
      </c>
    </row>
    <row r="3" spans="1:3" x14ac:dyDescent="0.25">
      <c r="A3" t="s">
        <v>94</v>
      </c>
      <c r="B3">
        <f>landa</f>
        <v>3.2642000000000002</v>
      </c>
    </row>
    <row r="5" spans="1:3" ht="18" x14ac:dyDescent="0.35">
      <c r="A5" s="37" t="s">
        <v>260</v>
      </c>
      <c r="B5">
        <f>B2*B1/B3</f>
        <v>3.1316130670675282</v>
      </c>
      <c r="C5" t="s">
        <v>252</v>
      </c>
    </row>
    <row r="6" spans="1:3" ht="18" x14ac:dyDescent="0.35">
      <c r="A6" s="37" t="s">
        <v>261</v>
      </c>
      <c r="B6">
        <f>B1-B5</f>
        <v>11.471546037963654</v>
      </c>
      <c r="C6" t="s">
        <v>252</v>
      </c>
    </row>
    <row r="8" spans="1:3" ht="18" x14ac:dyDescent="0.35">
      <c r="A8" s="37" t="s">
        <v>258</v>
      </c>
      <c r="B8">
        <f>m_pf*B5</f>
        <v>28.184517603607752</v>
      </c>
      <c r="C8" t="s">
        <v>149</v>
      </c>
    </row>
    <row r="9" spans="1:3" ht="18" x14ac:dyDescent="0.35">
      <c r="B9">
        <f>B8/3600</f>
        <v>7.8290326676688192E-3</v>
      </c>
      <c r="C9" t="s">
        <v>150</v>
      </c>
    </row>
    <row r="10" spans="1:3" ht="18" x14ac:dyDescent="0.35">
      <c r="A10" s="37" t="s">
        <v>259</v>
      </c>
      <c r="B10">
        <f>m_pf*B6</f>
        <v>103.24391434167288</v>
      </c>
      <c r="C10" t="s">
        <v>149</v>
      </c>
    </row>
    <row r="11" spans="1:3" x14ac:dyDescent="0.25">
      <c r="B11">
        <f>B10/3600</f>
        <v>2.8678865094909134E-2</v>
      </c>
      <c r="C11" t="s">
        <v>150</v>
      </c>
    </row>
    <row r="13" spans="1:3" ht="18" x14ac:dyDescent="0.35">
      <c r="A13" s="37" t="s">
        <v>211</v>
      </c>
      <c r="B13">
        <f>rho_air</f>
        <v>1.1792500641373471</v>
      </c>
      <c r="C13" t="s">
        <v>136</v>
      </c>
    </row>
    <row r="14" spans="1:3" x14ac:dyDescent="0.25">
      <c r="A14" s="37"/>
    </row>
    <row r="15" spans="1:3" x14ac:dyDescent="0.25">
      <c r="A15" s="54" t="s">
        <v>257</v>
      </c>
    </row>
    <row r="16" spans="1:3" ht="15.75" thickBot="1" x14ac:dyDescent="0.3"/>
    <row r="17" spans="1:3" ht="18" x14ac:dyDescent="0.35">
      <c r="A17" s="62" t="s">
        <v>255</v>
      </c>
      <c r="B17" s="63">
        <f>B8/B13</f>
        <v>23.900374026458483</v>
      </c>
      <c r="C17" s="64" t="s">
        <v>254</v>
      </c>
    </row>
    <row r="18" spans="1:3" x14ac:dyDescent="0.25">
      <c r="A18" s="65"/>
      <c r="B18" s="66">
        <f>B17/3600</f>
        <v>6.6389927851273562E-3</v>
      </c>
      <c r="C18" s="67" t="s">
        <v>242</v>
      </c>
    </row>
    <row r="19" spans="1:3" x14ac:dyDescent="0.25">
      <c r="A19" s="65"/>
      <c r="B19" s="66"/>
      <c r="C19" s="67"/>
    </row>
    <row r="20" spans="1:3" ht="18" x14ac:dyDescent="0.35">
      <c r="A20" s="65" t="s">
        <v>256</v>
      </c>
      <c r="B20" s="66">
        <f>B10/B13</f>
        <v>87.550484398064086</v>
      </c>
      <c r="C20" s="67" t="s">
        <v>254</v>
      </c>
    </row>
    <row r="21" spans="1:3" ht="15.75" thickBot="1" x14ac:dyDescent="0.3">
      <c r="A21" s="68"/>
      <c r="B21" s="69">
        <f>B20/3600</f>
        <v>2.4319578999462247E-2</v>
      </c>
      <c r="C21" s="70" t="s">
        <v>242</v>
      </c>
    </row>
  </sheetData>
  <pageMargins left="0.7" right="0.7" top="0.75" bottom="0.75" header="0.3" footer="0.3"/>
  <ignoredErrors>
    <ignoredError sqref="B10" formula="1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I25" sqref="I25"/>
    </sheetView>
  </sheetViews>
  <sheetFormatPr baseColWidth="10" defaultRowHeight="15" x14ac:dyDescent="0.25"/>
  <cols>
    <col min="1" max="1" width="5.7109375" customWidth="1"/>
    <col min="6" max="7" width="11.42578125" style="115"/>
    <col min="8" max="8" width="11.42578125" style="116"/>
    <col min="9" max="9" width="11.42578125" style="115"/>
  </cols>
  <sheetData>
    <row r="2" spans="2:9" ht="18" x14ac:dyDescent="0.35">
      <c r="B2" t="s">
        <v>283</v>
      </c>
      <c r="C2">
        <f>Tadiabatica</f>
        <v>1076.498432099643</v>
      </c>
      <c r="D2" t="s">
        <v>224</v>
      </c>
      <c r="F2" s="115" t="s">
        <v>287</v>
      </c>
      <c r="G2" s="115">
        <f>C11*C6</f>
        <v>37.85868997979334</v>
      </c>
      <c r="H2" s="116" t="s">
        <v>292</v>
      </c>
      <c r="I2" s="115" t="s">
        <v>289</v>
      </c>
    </row>
    <row r="3" spans="2:9" ht="18" x14ac:dyDescent="0.35">
      <c r="B3" t="s">
        <v>284</v>
      </c>
      <c r="C3">
        <f>25+273.15</f>
        <v>298.14999999999998</v>
      </c>
      <c r="D3" t="s">
        <v>224</v>
      </c>
      <c r="F3" s="115" t="s">
        <v>288</v>
      </c>
      <c r="G3" s="115">
        <f>C13*C7</f>
        <v>47.082532599431588</v>
      </c>
      <c r="H3" s="116" t="s">
        <v>292</v>
      </c>
    </row>
    <row r="4" spans="2:9" ht="18" x14ac:dyDescent="0.35">
      <c r="B4" t="s">
        <v>285</v>
      </c>
      <c r="C4">
        <f>50+273.15</f>
        <v>323.14999999999998</v>
      </c>
      <c r="D4" t="s">
        <v>224</v>
      </c>
    </row>
    <row r="5" spans="2:9" ht="18" x14ac:dyDescent="0.35">
      <c r="F5" s="115" t="s">
        <v>290</v>
      </c>
      <c r="G5" s="115">
        <f>G2/G3</f>
        <v>0.80409204623479402</v>
      </c>
    </row>
    <row r="6" spans="2:9" ht="18" x14ac:dyDescent="0.35">
      <c r="B6" t="s">
        <v>225</v>
      </c>
      <c r="C6">
        <v>1037</v>
      </c>
      <c r="D6" t="s">
        <v>228</v>
      </c>
    </row>
    <row r="7" spans="2:9" ht="18" x14ac:dyDescent="0.35">
      <c r="B7" t="s">
        <v>226</v>
      </c>
      <c r="C7">
        <f>Cpg*1000</f>
        <v>1207</v>
      </c>
      <c r="D7" t="s">
        <v>228</v>
      </c>
      <c r="F7" s="115" t="s">
        <v>291</v>
      </c>
      <c r="G7" s="115">
        <f>(C19*C20)/G2</f>
        <v>1.3103214414865479E-2</v>
      </c>
    </row>
    <row r="10" spans="2:9" ht="18" x14ac:dyDescent="0.35">
      <c r="B10" t="s">
        <v>159</v>
      </c>
      <c r="C10">
        <f>m_pair</f>
        <v>131.42843194528064</v>
      </c>
      <c r="D10" t="s">
        <v>149</v>
      </c>
      <c r="F10" s="115" t="s">
        <v>294</v>
      </c>
      <c r="G10" s="115">
        <f>G2*(C2-C3)</f>
        <v>29467.251987118612</v>
      </c>
      <c r="H10" s="116" t="s">
        <v>295</v>
      </c>
    </row>
    <row r="11" spans="2:9" x14ac:dyDescent="0.25">
      <c r="C11">
        <f>C10/3600</f>
        <v>3.6507897762577957E-2</v>
      </c>
      <c r="D11" t="s">
        <v>150</v>
      </c>
    </row>
    <row r="12" spans="2:9" ht="18" x14ac:dyDescent="0.35">
      <c r="B12" t="s">
        <v>227</v>
      </c>
      <c r="C12">
        <f>m_pFG</f>
        <v>140.42843194528064</v>
      </c>
      <c r="D12" t="s">
        <v>149</v>
      </c>
      <c r="F12" s="117" t="s">
        <v>296</v>
      </c>
      <c r="G12" s="115">
        <v>0.1</v>
      </c>
      <c r="H12" s="116" t="s">
        <v>297</v>
      </c>
    </row>
    <row r="13" spans="2:9" x14ac:dyDescent="0.25">
      <c r="C13">
        <f>C12/3600</f>
        <v>3.9007897762577952E-2</v>
      </c>
      <c r="D13" t="s">
        <v>150</v>
      </c>
    </row>
    <row r="14" spans="2:9" x14ac:dyDescent="0.25">
      <c r="F14" s="115" t="s">
        <v>298</v>
      </c>
      <c r="G14" s="115">
        <f>G12*G10</f>
        <v>2946.7251987118616</v>
      </c>
      <c r="H14" s="116" t="s">
        <v>295</v>
      </c>
    </row>
    <row r="16" spans="2:9" x14ac:dyDescent="0.25">
      <c r="B16" t="s">
        <v>286</v>
      </c>
      <c r="C16">
        <f>C2-(C10*C6*(C4-C3))/(C12*C7)</f>
        <v>1056.3961309437732</v>
      </c>
      <c r="D16" t="s">
        <v>224</v>
      </c>
    </row>
    <row r="17" spans="2:8" ht="18" x14ac:dyDescent="0.35">
      <c r="C17">
        <f>C16-273.15</f>
        <v>783.24613094377321</v>
      </c>
      <c r="D17" t="s">
        <v>195</v>
      </c>
      <c r="F17" s="115" t="s">
        <v>299</v>
      </c>
      <c r="G17" s="115">
        <f>C2-(G14/(C13*C7))</f>
        <v>1013.9120537545784</v>
      </c>
      <c r="H17" s="116" t="s">
        <v>134</v>
      </c>
    </row>
    <row r="19" spans="2:8" x14ac:dyDescent="0.25">
      <c r="B19" t="s">
        <v>293</v>
      </c>
      <c r="C19">
        <v>16.535684409038378</v>
      </c>
      <c r="D19" t="s">
        <v>266</v>
      </c>
    </row>
    <row r="20" spans="2:8" x14ac:dyDescent="0.25">
      <c r="B20" t="s">
        <v>264</v>
      </c>
      <c r="C20">
        <v>0.03</v>
      </c>
      <c r="D20" t="s">
        <v>265</v>
      </c>
    </row>
    <row r="21" spans="2:8" ht="18" x14ac:dyDescent="0.35">
      <c r="F21" s="115" t="s">
        <v>300</v>
      </c>
      <c r="G21" s="115">
        <f>C3+(G14/(C6*C11))</f>
        <v>375.98484320996431</v>
      </c>
      <c r="H21" s="116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zoomScale="115" zoomScaleNormal="115" workbookViewId="0">
      <selection activeCell="F7" sqref="F7"/>
    </sheetView>
  </sheetViews>
  <sheetFormatPr baseColWidth="10" defaultRowHeight="15" x14ac:dyDescent="0.25"/>
  <cols>
    <col min="1" max="1" width="3.140625" customWidth="1"/>
    <col min="3" max="3" width="12.5703125" bestFit="1" customWidth="1"/>
    <col min="4" max="4" width="5.140625" customWidth="1"/>
    <col min="5" max="5" width="5" customWidth="1"/>
  </cols>
  <sheetData>
    <row r="1" spans="2:7" x14ac:dyDescent="0.25">
      <c r="B1" t="s">
        <v>20</v>
      </c>
    </row>
    <row r="4" spans="2:7" ht="15.75" thickBot="1" x14ac:dyDescent="0.3">
      <c r="B4" t="s">
        <v>16</v>
      </c>
    </row>
    <row r="5" spans="2:7" ht="15.75" thickBot="1" x14ac:dyDescent="0.3">
      <c r="C5" s="21" t="s">
        <v>17</v>
      </c>
    </row>
    <row r="6" spans="2:7" ht="15.75" thickBot="1" x14ac:dyDescent="0.3">
      <c r="B6" s="28" t="s">
        <v>8</v>
      </c>
      <c r="C6" s="22">
        <f>Composicion!F4/Composicion!$F$12*100</f>
        <v>6.3963963963963959</v>
      </c>
    </row>
    <row r="7" spans="2:7" ht="18" thickBot="1" x14ac:dyDescent="0.3">
      <c r="B7" s="29" t="s">
        <v>11</v>
      </c>
      <c r="C7" s="23">
        <f>Composicion!F7/Composicion!$F$12*100</f>
        <v>7.5675675675675684</v>
      </c>
      <c r="E7" s="31" t="s">
        <v>18</v>
      </c>
      <c r="F7" s="27">
        <f>1.81*(C8)+4.2*(C7)-2.41*(C9)+5.31*(C6)+1017</f>
        <v>953.3387387387387</v>
      </c>
    </row>
    <row r="8" spans="2:7" x14ac:dyDescent="0.25">
      <c r="B8" s="29" t="s">
        <v>12</v>
      </c>
      <c r="C8" s="23">
        <f>Composicion!F8/Composicion!$F$12*100</f>
        <v>18.468468468468469</v>
      </c>
    </row>
    <row r="9" spans="2:7" ht="15.75" thickBot="1" x14ac:dyDescent="0.3">
      <c r="B9" s="30" t="s">
        <v>15</v>
      </c>
      <c r="C9" s="24">
        <f>Composicion!F11/Composicion!$F$12*100</f>
        <v>67.567567567567565</v>
      </c>
      <c r="E9" t="s">
        <v>22</v>
      </c>
    </row>
    <row r="10" spans="2:7" ht="17.25" x14ac:dyDescent="0.25">
      <c r="C10" s="20">
        <f>C9+C8+C7+C6</f>
        <v>100</v>
      </c>
      <c r="E10" s="25" t="s">
        <v>21</v>
      </c>
      <c r="F10" t="s">
        <v>23</v>
      </c>
    </row>
    <row r="11" spans="2:7" x14ac:dyDescent="0.25">
      <c r="E11" s="25" t="s">
        <v>21</v>
      </c>
      <c r="F11" s="26">
        <f>57*100/F7</f>
        <v>5.9789870781303458</v>
      </c>
      <c r="G11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opLeftCell="A12" zoomScale="85" zoomScaleNormal="85" workbookViewId="0">
      <selection activeCell="B41" sqref="B41"/>
    </sheetView>
  </sheetViews>
  <sheetFormatPr baseColWidth="10" defaultRowHeight="15" x14ac:dyDescent="0.25"/>
  <cols>
    <col min="1" max="1" width="12.7109375" customWidth="1"/>
    <col min="3" max="3" width="11.85546875" bestFit="1" customWidth="1"/>
  </cols>
  <sheetData>
    <row r="1" spans="1:13" x14ac:dyDescent="0.25">
      <c r="A1" s="40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25"/>
    </row>
    <row r="3" spans="1:13" x14ac:dyDescent="0.25">
      <c r="A3" s="38" t="s">
        <v>41</v>
      </c>
    </row>
    <row r="4" spans="1:13" x14ac:dyDescent="0.25">
      <c r="A4" t="s">
        <v>25</v>
      </c>
      <c r="C4" t="s">
        <v>26</v>
      </c>
      <c r="F4" t="s">
        <v>27</v>
      </c>
    </row>
    <row r="8" spans="1:13" x14ac:dyDescent="0.25">
      <c r="A8" t="s">
        <v>28</v>
      </c>
    </row>
    <row r="12" spans="1:13" x14ac:dyDescent="0.25">
      <c r="I12" t="s">
        <v>45</v>
      </c>
    </row>
    <row r="13" spans="1:13" x14ac:dyDescent="0.25">
      <c r="A13" s="100" t="s">
        <v>59</v>
      </c>
      <c r="B13" s="100"/>
    </row>
    <row r="14" spans="1:13" ht="18" x14ac:dyDescent="0.35">
      <c r="A14" s="1" t="s">
        <v>60</v>
      </c>
      <c r="B14" s="35">
        <f>Composicion!C4</f>
        <v>46.8</v>
      </c>
      <c r="D14" s="39" t="s">
        <v>36</v>
      </c>
      <c r="E14" s="1">
        <f>0.3491*B14+1.1783*B15+0.1005*B17-0.0151*B16-0.1034*B18-0.0211*B19</f>
        <v>17.177774966059506</v>
      </c>
      <c r="F14" s="1" t="s">
        <v>37</v>
      </c>
    </row>
    <row r="15" spans="1:13" ht="18" x14ac:dyDescent="0.35">
      <c r="A15" s="1" t="s">
        <v>62</v>
      </c>
      <c r="B15" s="35">
        <f>Composicion!C5</f>
        <v>4.9000000000000004</v>
      </c>
      <c r="D15" s="39" t="s">
        <v>39</v>
      </c>
      <c r="E15" s="1">
        <f>0.341*B14+1.322*B15-0.12*B18-0.12*B16+0.0686*B17-0.0153*B19</f>
        <v>16.648131385903387</v>
      </c>
      <c r="F15" s="1" t="s">
        <v>37</v>
      </c>
    </row>
    <row r="16" spans="1:13" ht="18" x14ac:dyDescent="0.35">
      <c r="A16" s="1" t="s">
        <v>61</v>
      </c>
      <c r="B16" s="35">
        <f>Composicion!C6</f>
        <v>0.8145717841384772</v>
      </c>
      <c r="D16" s="39" t="s">
        <v>44</v>
      </c>
      <c r="E16" s="1">
        <f>1.87*(B14)^2-144*B14-2820*B15+63.8*B14*B15+129*B16+20147</f>
        <v>18421.24456015386</v>
      </c>
      <c r="F16" s="1" t="s">
        <v>270</v>
      </c>
    </row>
    <row r="17" spans="1:13" ht="18" x14ac:dyDescent="0.35">
      <c r="A17" s="1" t="s">
        <v>63</v>
      </c>
      <c r="B17" s="35">
        <f>Composicion!C7</f>
        <v>0.35</v>
      </c>
      <c r="D17" s="31"/>
      <c r="E17" s="1">
        <f>E16/1000</f>
        <v>18.421244560153859</v>
      </c>
      <c r="F17" s="1" t="s">
        <v>37</v>
      </c>
    </row>
    <row r="18" spans="1:13" ht="18" x14ac:dyDescent="0.35">
      <c r="A18" s="1" t="s">
        <v>64</v>
      </c>
      <c r="B18" s="35">
        <f>Composicion!C8</f>
        <v>47.1</v>
      </c>
      <c r="D18" s="39" t="s">
        <v>46</v>
      </c>
      <c r="E18" s="1">
        <f>5.22*(B14)^2-319*B14-1647*B15+38.6*B14*B15+133*B16+21028</f>
        <v>18421.642847290415</v>
      </c>
      <c r="F18" s="1" t="s">
        <v>270</v>
      </c>
    </row>
    <row r="19" spans="1:13" ht="18" x14ac:dyDescent="0.35">
      <c r="A19" s="1" t="s">
        <v>38</v>
      </c>
      <c r="B19" s="36">
        <f>Composicion!C11</f>
        <v>4.0999999999999996</v>
      </c>
      <c r="E19" s="1">
        <f>E18/1000</f>
        <v>18.421642847290414</v>
      </c>
      <c r="F19" s="1" t="s">
        <v>37</v>
      </c>
    </row>
    <row r="20" spans="1:13" x14ac:dyDescent="0.25">
      <c r="A20" s="1" t="s">
        <v>35</v>
      </c>
      <c r="B20" s="36">
        <f>Composicion!C10</f>
        <v>10.8</v>
      </c>
      <c r="D20" s="77" t="s">
        <v>274</v>
      </c>
      <c r="E20">
        <f>MEDIAN(E14,E15,E17,E19)</f>
        <v>17.799509763106684</v>
      </c>
      <c r="F20" s="1" t="s">
        <v>37</v>
      </c>
    </row>
    <row r="22" spans="1:13" x14ac:dyDescent="0.25">
      <c r="A22" s="42" t="s">
        <v>43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4" spans="1:13" x14ac:dyDescent="0.25">
      <c r="A24" t="s">
        <v>41</v>
      </c>
    </row>
    <row r="33" spans="1:3" x14ac:dyDescent="0.25">
      <c r="A33" s="39" t="s">
        <v>51</v>
      </c>
      <c r="B33" s="1">
        <f>E14*(1-($B$20/100))-2.444*$B$20/100-2.444*($B$15/100)*8.936*(1-($B$20/100))</f>
        <v>14.10405873225308</v>
      </c>
      <c r="C33" s="1" t="s">
        <v>37</v>
      </c>
    </row>
    <row r="34" spans="1:3" ht="18" x14ac:dyDescent="0.35">
      <c r="A34" s="39" t="s">
        <v>48</v>
      </c>
      <c r="B34" s="1">
        <f t="shared" ref="B34" si="0">E15*(1-($B$20/100))-2.444*$B$20/100-2.444*($B$15/100)*8.936*(1-($B$20/100))</f>
        <v>13.631616658753821</v>
      </c>
      <c r="C34" s="1" t="s">
        <v>37</v>
      </c>
    </row>
    <row r="35" spans="1:3" x14ac:dyDescent="0.25">
      <c r="A35" s="39" t="s">
        <v>49</v>
      </c>
      <c r="B35" s="1">
        <f>E17*(1-($B$20/100))-2.444*$B$20/100-2.444*($B$15/100)*8.936*(1-($B$20/100))</f>
        <v>15.213233610185243</v>
      </c>
      <c r="C35" s="1" t="s">
        <v>37</v>
      </c>
    </row>
    <row r="36" spans="1:3" x14ac:dyDescent="0.25">
      <c r="A36" s="39" t="s">
        <v>50</v>
      </c>
      <c r="B36" s="1">
        <f>E19*(1-($B$20/100))-2.444*$B$20/100-2.444*($B$15/100)*8.936*(1-($B$20/100))</f>
        <v>15.213588882311049</v>
      </c>
      <c r="C36" s="1" t="s">
        <v>37</v>
      </c>
    </row>
    <row r="37" spans="1:3" x14ac:dyDescent="0.25">
      <c r="A37" s="76" t="s">
        <v>273</v>
      </c>
      <c r="B37" s="1">
        <f>E20*(1-($B$20/100))-2.444*$B$20/100-2.444*($B$15/100)*8.936*(1-($B$20/100))</f>
        <v>14.658646171219162</v>
      </c>
      <c r="C37" s="1" t="s">
        <v>37</v>
      </c>
    </row>
    <row r="38" spans="1:3" x14ac:dyDescent="0.25">
      <c r="B38">
        <f>B37*1000</f>
        <v>14658.646171219163</v>
      </c>
    </row>
  </sheetData>
  <mergeCells count="1">
    <mergeCell ref="A13:B13"/>
  </mergeCells>
  <pageMargins left="0.7" right="0.7" top="0.75" bottom="0.75" header="0.3" footer="0.3"/>
  <ignoredErrors>
    <ignoredError sqref="E1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zoomScale="85" zoomScaleNormal="85" workbookViewId="0">
      <selection activeCell="F32" sqref="F32"/>
    </sheetView>
  </sheetViews>
  <sheetFormatPr baseColWidth="10" defaultRowHeight="15" x14ac:dyDescent="0.25"/>
  <cols>
    <col min="2" max="2" width="11.85546875" bestFit="1" customWidth="1"/>
    <col min="3" max="3" width="12.7109375" customWidth="1"/>
    <col min="4" max="4" width="5.28515625" customWidth="1"/>
    <col min="6" max="6" width="11.85546875" bestFit="1" customWidth="1"/>
    <col min="7" max="7" width="24.5703125" bestFit="1" customWidth="1"/>
  </cols>
  <sheetData>
    <row r="1" spans="1:7" ht="15.75" thickBot="1" x14ac:dyDescent="0.3"/>
    <row r="2" spans="1:7" ht="15.75" thickBot="1" x14ac:dyDescent="0.3">
      <c r="A2" s="103" t="s">
        <v>53</v>
      </c>
      <c r="B2" s="104"/>
      <c r="E2" s="25" t="s">
        <v>52</v>
      </c>
    </row>
    <row r="3" spans="1:7" ht="18" x14ac:dyDescent="0.35">
      <c r="A3" s="46" t="s">
        <v>54</v>
      </c>
      <c r="B3" s="46">
        <v>12.011150000000001</v>
      </c>
      <c r="C3">
        <f>Mc</f>
        <v>12.011150000000001</v>
      </c>
    </row>
    <row r="4" spans="1:7" ht="18" x14ac:dyDescent="0.35">
      <c r="A4" s="1" t="s">
        <v>55</v>
      </c>
      <c r="B4" s="1">
        <v>1.00797</v>
      </c>
      <c r="C4">
        <f>Mh</f>
        <v>1.00797</v>
      </c>
      <c r="E4" s="50" t="s">
        <v>73</v>
      </c>
      <c r="F4" s="47">
        <f>(Xc*(M_o2/Mc)+(Xh/4)*(M_o2/Mh)+Xs*(M_o2/Ms)-Xo)*(1-Xw)*landa</f>
        <v>3.4013314781629589</v>
      </c>
      <c r="G4" s="48" t="s">
        <v>83</v>
      </c>
    </row>
    <row r="5" spans="1:7" ht="18" x14ac:dyDescent="0.35">
      <c r="A5" s="1" t="s">
        <v>56</v>
      </c>
      <c r="B5" s="1">
        <v>32.064</v>
      </c>
      <c r="C5">
        <f>Ms</f>
        <v>32.064</v>
      </c>
    </row>
    <row r="6" spans="1:7" ht="18" x14ac:dyDescent="0.35">
      <c r="A6" s="1" t="s">
        <v>57</v>
      </c>
      <c r="B6" s="1">
        <v>31.998799999999999</v>
      </c>
      <c r="C6">
        <f>M_o2</f>
        <v>31.998799999999999</v>
      </c>
    </row>
    <row r="7" spans="1:7" ht="18" x14ac:dyDescent="0.35">
      <c r="A7" s="1" t="s">
        <v>67</v>
      </c>
      <c r="B7" s="1">
        <v>28.013400000000001</v>
      </c>
      <c r="C7">
        <f>M_N2</f>
        <v>28.013400000000001</v>
      </c>
    </row>
    <row r="8" spans="1:7" x14ac:dyDescent="0.25">
      <c r="A8" s="1" t="s">
        <v>58</v>
      </c>
      <c r="B8" s="1">
        <v>3.2642000000000002</v>
      </c>
      <c r="C8" t="s">
        <v>99</v>
      </c>
      <c r="D8">
        <f>landa</f>
        <v>3.2642000000000002</v>
      </c>
    </row>
    <row r="9" spans="1:7" ht="15.75" thickBot="1" x14ac:dyDescent="0.3"/>
    <row r="10" spans="1:7" ht="15.75" thickBot="1" x14ac:dyDescent="0.3">
      <c r="A10" s="101" t="s">
        <v>76</v>
      </c>
      <c r="B10" s="102"/>
    </row>
    <row r="11" spans="1:7" ht="18" x14ac:dyDescent="0.35">
      <c r="A11" s="46" t="s">
        <v>30</v>
      </c>
      <c r="B11" s="52">
        <f>Composicion!C4/100</f>
        <v>0.46799999999999997</v>
      </c>
    </row>
    <row r="12" spans="1:7" ht="18" x14ac:dyDescent="0.35">
      <c r="A12" s="1" t="s">
        <v>29</v>
      </c>
      <c r="B12" s="44">
        <f>Composicion!C5/100</f>
        <v>4.9000000000000002E-2</v>
      </c>
    </row>
    <row r="13" spans="1:7" ht="18" x14ac:dyDescent="0.35">
      <c r="A13" s="1" t="s">
        <v>32</v>
      </c>
      <c r="B13" s="44">
        <f>Composicion!C6/100</f>
        <v>8.1457178413847711E-3</v>
      </c>
      <c r="E13" s="25" t="s">
        <v>66</v>
      </c>
    </row>
    <row r="14" spans="1:7" ht="18" x14ac:dyDescent="0.35">
      <c r="A14" s="1" t="s">
        <v>31</v>
      </c>
      <c r="B14" s="44">
        <f>Composicion!C7/100</f>
        <v>3.4999999999999996E-3</v>
      </c>
      <c r="E14" s="50" t="s">
        <v>74</v>
      </c>
      <c r="F14" s="47">
        <f>F4*(Y_n2/Y_o2)*(M_N2/M_o2)</f>
        <v>11.201827626868223</v>
      </c>
      <c r="G14" s="48" t="s">
        <v>82</v>
      </c>
    </row>
    <row r="15" spans="1:7" ht="18" x14ac:dyDescent="0.35">
      <c r="A15" s="1" t="s">
        <v>33</v>
      </c>
      <c r="B15" s="44">
        <f>Composicion!C8/100</f>
        <v>0.47100000000000003</v>
      </c>
    </row>
    <row r="16" spans="1:7" ht="18" x14ac:dyDescent="0.35">
      <c r="A16" s="1" t="s">
        <v>34</v>
      </c>
      <c r="B16" s="44">
        <f>Composicion!C11/100</f>
        <v>4.0999999999999995E-2</v>
      </c>
    </row>
    <row r="17" spans="1:7" ht="18" x14ac:dyDescent="0.35">
      <c r="A17" s="1" t="s">
        <v>65</v>
      </c>
      <c r="B17" s="44">
        <f>Composicion!C10/100</f>
        <v>0.10800000000000001</v>
      </c>
      <c r="E17" s="25" t="s">
        <v>71</v>
      </c>
    </row>
    <row r="18" spans="1:7" ht="15.75" thickBot="1" x14ac:dyDescent="0.3"/>
    <row r="19" spans="1:7" ht="15.75" thickBot="1" x14ac:dyDescent="0.3">
      <c r="E19" s="51" t="s">
        <v>75</v>
      </c>
      <c r="F19" s="49">
        <f>+F14+F4</f>
        <v>14.603159105031182</v>
      </c>
      <c r="G19" s="45" t="s">
        <v>80</v>
      </c>
    </row>
    <row r="20" spans="1:7" ht="15.75" thickBot="1" x14ac:dyDescent="0.3">
      <c r="A20" s="105" t="s">
        <v>68</v>
      </c>
      <c r="B20" s="106"/>
    </row>
    <row r="21" spans="1:7" ht="18" x14ac:dyDescent="0.35">
      <c r="A21" s="46" t="s">
        <v>69</v>
      </c>
      <c r="B21" s="46">
        <v>0.21</v>
      </c>
    </row>
    <row r="22" spans="1:7" ht="18" x14ac:dyDescent="0.35">
      <c r="A22" s="1" t="s">
        <v>70</v>
      </c>
      <c r="B22" s="1">
        <f>1-Y_o2</f>
        <v>0.79</v>
      </c>
    </row>
    <row r="30" spans="1:7" x14ac:dyDescent="0.25">
      <c r="E30" t="s">
        <v>77</v>
      </c>
    </row>
    <row r="31" spans="1:7" ht="15.75" thickBot="1" x14ac:dyDescent="0.3"/>
    <row r="32" spans="1:7" ht="18.75" thickBot="1" x14ac:dyDescent="0.4">
      <c r="E32" s="51" t="s">
        <v>79</v>
      </c>
      <c r="F32" s="49">
        <f>m_air+1</f>
        <v>15.603159105031182</v>
      </c>
      <c r="G32" s="45" t="s">
        <v>81</v>
      </c>
    </row>
  </sheetData>
  <mergeCells count="3">
    <mergeCell ref="A10:B10"/>
    <mergeCell ref="A2:B2"/>
    <mergeCell ref="A20:B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zoomScaleNormal="100" workbookViewId="0">
      <selection activeCell="C7" sqref="C7"/>
    </sheetView>
  </sheetViews>
  <sheetFormatPr baseColWidth="10" defaultRowHeight="15" x14ac:dyDescent="0.25"/>
  <cols>
    <col min="1" max="1" width="10.140625" bestFit="1" customWidth="1"/>
  </cols>
  <sheetData>
    <row r="1" spans="1:4" ht="15.75" x14ac:dyDescent="0.25">
      <c r="A1" s="53" t="s">
        <v>19</v>
      </c>
    </row>
    <row r="3" spans="1:4" ht="17.25" x14ac:dyDescent="0.25">
      <c r="C3" t="s">
        <v>85</v>
      </c>
      <c r="D3" t="s">
        <v>86</v>
      </c>
    </row>
    <row r="4" spans="1:4" x14ac:dyDescent="0.25">
      <c r="B4" t="s">
        <v>84</v>
      </c>
      <c r="C4">
        <v>25</v>
      </c>
      <c r="D4">
        <f>C4+273.15</f>
        <v>298.14999999999998</v>
      </c>
    </row>
    <row r="7" spans="1:4" x14ac:dyDescent="0.25">
      <c r="B7" t="s">
        <v>87</v>
      </c>
      <c r="C7">
        <v>1.2070000000000001</v>
      </c>
      <c r="D7" t="s">
        <v>166</v>
      </c>
    </row>
    <row r="8" spans="1:4" x14ac:dyDescent="0.25">
      <c r="C8">
        <v>1.0069999999999999</v>
      </c>
    </row>
    <row r="9" spans="1:4" ht="17.25" x14ac:dyDescent="0.25">
      <c r="C9" t="s">
        <v>86</v>
      </c>
      <c r="D9" t="s">
        <v>85</v>
      </c>
    </row>
    <row r="10" spans="1:4" x14ac:dyDescent="0.25">
      <c r="A10" s="107" t="s">
        <v>88</v>
      </c>
      <c r="B10" s="39" t="s">
        <v>47</v>
      </c>
      <c r="C10" s="35">
        <f>$D$4+('Poderes calorificos'!B33*1000)/(m_FG*TempAdiabatica!$C$7)</f>
        <v>1047.0508106386014</v>
      </c>
      <c r="D10" s="35">
        <f>C10-273.15</f>
        <v>773.90081063860146</v>
      </c>
    </row>
    <row r="11" spans="1:4" ht="18" x14ac:dyDescent="0.35">
      <c r="A11" s="108"/>
      <c r="B11" s="39" t="s">
        <v>89</v>
      </c>
      <c r="C11" s="35">
        <f>$D$4+('Poderes calorificos'!B34*1000)/(m_FG*TempAdiabatica!$C$7)</f>
        <v>1021.9649641783707</v>
      </c>
      <c r="D11" s="35">
        <f t="shared" ref="D11:D14" si="0">C11-273.15</f>
        <v>748.8149641783707</v>
      </c>
    </row>
    <row r="12" spans="1:4" x14ac:dyDescent="0.25">
      <c r="A12" s="108"/>
      <c r="B12" s="39" t="s">
        <v>90</v>
      </c>
      <c r="C12" s="35">
        <f>$D$4+('Poderes calorificos'!B35*1000)/(m_FG*TempAdiabatica!$C$7)</f>
        <v>1105.9460535606843</v>
      </c>
      <c r="D12" s="35">
        <f t="shared" si="0"/>
        <v>832.7960535606843</v>
      </c>
    </row>
    <row r="13" spans="1:4" x14ac:dyDescent="0.25">
      <c r="A13" s="109"/>
      <c r="B13" s="39" t="s">
        <v>91</v>
      </c>
      <c r="C13" s="35">
        <f>$D$4+('Poderes calorificos'!B36*1000)/(m_FG*TempAdiabatica!$C$7)</f>
        <v>1105.964917888185</v>
      </c>
      <c r="D13" s="35">
        <f t="shared" si="0"/>
        <v>832.81491788818505</v>
      </c>
    </row>
    <row r="14" spans="1:4" x14ac:dyDescent="0.25">
      <c r="B14" s="76" t="s">
        <v>275</v>
      </c>
      <c r="C14" s="35">
        <f>$D$4+('Poderes calorificos'!B37*1000)/(m_FG*TempAdiabatica!$C$7)</f>
        <v>1076.498432099643</v>
      </c>
      <c r="D14" s="35">
        <f t="shared" si="0"/>
        <v>803.34843209964299</v>
      </c>
    </row>
    <row r="15" spans="1:4" x14ac:dyDescent="0.25">
      <c r="A15" t="s">
        <v>92</v>
      </c>
    </row>
    <row r="17" spans="2:3" x14ac:dyDescent="0.25">
      <c r="B17" s="31" t="s">
        <v>93</v>
      </c>
      <c r="C17">
        <f>TempAblandamiento!F7</f>
        <v>953.3387387387387</v>
      </c>
    </row>
  </sheetData>
  <mergeCells count="1">
    <mergeCell ref="A10:A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zoomScale="115" zoomScaleNormal="115" workbookViewId="0">
      <selection activeCell="B20" sqref="B20"/>
    </sheetView>
  </sheetViews>
  <sheetFormatPr baseColWidth="10" defaultRowHeight="15" x14ac:dyDescent="0.25"/>
  <cols>
    <col min="1" max="1" width="14.28515625" bestFit="1" customWidth="1"/>
    <col min="3" max="3" width="11.42578125" customWidth="1"/>
    <col min="8" max="8" width="11.85546875" bestFit="1" customWidth="1"/>
  </cols>
  <sheetData>
    <row r="1" spans="1:3" x14ac:dyDescent="0.25">
      <c r="A1" s="25" t="s">
        <v>98</v>
      </c>
    </row>
    <row r="2" spans="1:3" ht="17.25" x14ac:dyDescent="0.25">
      <c r="B2" t="s">
        <v>85</v>
      </c>
      <c r="C2" t="s">
        <v>86</v>
      </c>
    </row>
    <row r="3" spans="1:3" x14ac:dyDescent="0.25">
      <c r="A3" t="s">
        <v>95</v>
      </c>
      <c r="B3">
        <f>Tablan-150</f>
        <v>803.3387387387387</v>
      </c>
      <c r="C3">
        <f>B3+273.15</f>
        <v>1076.4887387387387</v>
      </c>
    </row>
    <row r="5" spans="1:3" x14ac:dyDescent="0.25">
      <c r="A5" t="s">
        <v>96</v>
      </c>
      <c r="B5">
        <f>'Poderes calorificos'!B37*1000</f>
        <v>14658.646171219163</v>
      </c>
      <c r="C5" t="s">
        <v>97</v>
      </c>
    </row>
    <row r="7" spans="1:3" x14ac:dyDescent="0.25">
      <c r="A7" t="s">
        <v>78</v>
      </c>
      <c r="B7">
        <f>B5/(Cpg*(C3-Ta))</f>
        <v>15.603353425376456</v>
      </c>
      <c r="C7" t="s">
        <v>81</v>
      </c>
    </row>
    <row r="8" spans="1:3" x14ac:dyDescent="0.25">
      <c r="A8" t="s">
        <v>72</v>
      </c>
      <c r="B8">
        <f>B7-1</f>
        <v>14.603353425376456</v>
      </c>
      <c r="C8" t="s">
        <v>80</v>
      </c>
    </row>
    <row r="10" spans="1:3" x14ac:dyDescent="0.25">
      <c r="A10" t="s">
        <v>94</v>
      </c>
      <c r="B10">
        <f>(B8)/((1+(Y_n2*M_N2)/(Y_o2*M_o2))*(((Xc*M_o2)/Mc)+((Xh*M_o2)/(4*Mh))+((Xs*M_o2)/Ms)-Xo)*(1-Xw))</f>
        <v>3.2642434358392238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7" zoomScale="85" zoomScaleNormal="85" workbookViewId="0">
      <selection activeCell="I39" sqref="I39"/>
    </sheetView>
  </sheetViews>
  <sheetFormatPr baseColWidth="10" defaultRowHeight="15" x14ac:dyDescent="0.25"/>
  <cols>
    <col min="3" max="3" width="23.28515625" bestFit="1" customWidth="1"/>
  </cols>
  <sheetData>
    <row r="1" spans="1:3" x14ac:dyDescent="0.25">
      <c r="A1" s="25" t="s">
        <v>100</v>
      </c>
    </row>
    <row r="3" spans="1:3" ht="18" x14ac:dyDescent="0.35">
      <c r="A3" t="s">
        <v>102</v>
      </c>
      <c r="B3">
        <f>((Xc*M_co2)/Mc)*(1-Xw)</f>
        <v>1.5295968901562298</v>
      </c>
      <c r="C3" t="s">
        <v>111</v>
      </c>
    </row>
    <row r="4" spans="1:3" ht="18" x14ac:dyDescent="0.35">
      <c r="A4" t="s">
        <v>105</v>
      </c>
      <c r="B4">
        <f>((Xh*M_w)/M_h2)*(1-Xw)+Xw</f>
        <v>0.49859420454973857</v>
      </c>
      <c r="C4" t="s">
        <v>115</v>
      </c>
    </row>
    <row r="5" spans="1:3" ht="18" x14ac:dyDescent="0.35">
      <c r="A5" t="s">
        <v>101</v>
      </c>
      <c r="B5">
        <f>((Xs*M_so2)/Ms)*(1-Xw)</f>
        <v>6.2376516217564869E-3</v>
      </c>
      <c r="C5" t="s">
        <v>112</v>
      </c>
    </row>
    <row r="6" spans="1:3" ht="18" x14ac:dyDescent="0.35">
      <c r="A6" t="s">
        <v>106</v>
      </c>
      <c r="B6">
        <f>m_n2air+Xn*(1-Xw)</f>
        <v>11.209093607182739</v>
      </c>
      <c r="C6" t="s">
        <v>113</v>
      </c>
    </row>
    <row r="7" spans="1:3" ht="18" x14ac:dyDescent="0.35">
      <c r="A7" t="s">
        <v>103</v>
      </c>
      <c r="B7">
        <f>(m_o2air/landa)*(landa-1)</f>
        <v>2.3593207318352345</v>
      </c>
      <c r="C7" t="s">
        <v>114</v>
      </c>
    </row>
    <row r="8" spans="1:3" x14ac:dyDescent="0.25">
      <c r="B8">
        <f>SUM(B3:B7)</f>
        <v>15.602843085345699</v>
      </c>
    </row>
    <row r="10" spans="1:3" x14ac:dyDescent="0.25">
      <c r="A10" s="25" t="s">
        <v>104</v>
      </c>
    </row>
    <row r="12" spans="1:3" ht="18" x14ac:dyDescent="0.35">
      <c r="A12" t="s">
        <v>107</v>
      </c>
      <c r="B12" s="3">
        <v>44.009950000000003</v>
      </c>
    </row>
    <row r="13" spans="1:3" ht="18" x14ac:dyDescent="0.35">
      <c r="A13" t="s">
        <v>108</v>
      </c>
      <c r="B13" s="3">
        <v>18.015339999999998</v>
      </c>
    </row>
    <row r="14" spans="1:3" ht="18" x14ac:dyDescent="0.35">
      <c r="A14" t="s">
        <v>109</v>
      </c>
      <c r="B14" s="3">
        <v>64.062799999999996</v>
      </c>
    </row>
    <row r="15" spans="1:3" ht="18" x14ac:dyDescent="0.35">
      <c r="A15" t="s">
        <v>110</v>
      </c>
      <c r="B15" s="3">
        <f>2.01594</f>
        <v>2.0159400000000001</v>
      </c>
    </row>
    <row r="16" spans="1:3" ht="18" x14ac:dyDescent="0.35">
      <c r="B16" s="3"/>
    </row>
    <row r="18" spans="1:2" x14ac:dyDescent="0.25">
      <c r="A18" s="25" t="s">
        <v>76</v>
      </c>
    </row>
    <row r="20" spans="1:2" ht="18" x14ac:dyDescent="0.35">
      <c r="A20" t="s">
        <v>116</v>
      </c>
      <c r="B20" s="2">
        <f>B3/$B$8</f>
        <v>9.8033216240752827E-2</v>
      </c>
    </row>
    <row r="21" spans="1:2" ht="18" x14ac:dyDescent="0.35">
      <c r="A21" t="s">
        <v>117</v>
      </c>
      <c r="B21" s="2">
        <f t="shared" ref="B21:B24" si="0">B4/$B$8</f>
        <v>3.1955343127049826E-2</v>
      </c>
    </row>
    <row r="22" spans="1:2" ht="18" x14ac:dyDescent="0.35">
      <c r="A22" t="s">
        <v>118</v>
      </c>
      <c r="B22" s="2">
        <f t="shared" si="0"/>
        <v>3.9977660402256646E-4</v>
      </c>
    </row>
    <row r="23" spans="1:2" ht="18" x14ac:dyDescent="0.35">
      <c r="A23" t="s">
        <v>119</v>
      </c>
      <c r="B23" s="2">
        <f t="shared" si="0"/>
        <v>0.71840071363086377</v>
      </c>
    </row>
    <row r="24" spans="1:2" ht="18" x14ac:dyDescent="0.35">
      <c r="A24" t="s">
        <v>120</v>
      </c>
      <c r="B24" s="2">
        <f t="shared" si="0"/>
        <v>0.15121095039731094</v>
      </c>
    </row>
    <row r="26" spans="1:2" x14ac:dyDescent="0.25">
      <c r="A26" s="25" t="s">
        <v>121</v>
      </c>
    </row>
    <row r="28" spans="1:2" x14ac:dyDescent="0.25">
      <c r="A28" t="s">
        <v>122</v>
      </c>
      <c r="B28">
        <f>(X_co2/M_co2)+(X_h2o/M_w)+(X_so2/M_so2)+(X_n2/M_N2)+(X_o2/M_o2)</f>
        <v>3.4377964321590203E-2</v>
      </c>
    </row>
    <row r="30" spans="1:2" ht="18" x14ac:dyDescent="0.35">
      <c r="A30" t="s">
        <v>123</v>
      </c>
      <c r="B30">
        <f>(X_co2/M_co2)/$B$28</f>
        <v>6.4795108193119386E-2</v>
      </c>
    </row>
    <row r="31" spans="1:2" ht="18" x14ac:dyDescent="0.35">
      <c r="A31" t="s">
        <v>124</v>
      </c>
      <c r="B31">
        <f>(X_h2o/M_w)/$B$28</f>
        <v>5.159657403358154E-2</v>
      </c>
    </row>
    <row r="32" spans="1:2" ht="18" x14ac:dyDescent="0.35">
      <c r="A32" t="s">
        <v>125</v>
      </c>
      <c r="B32">
        <f>(X_so2/M_so2)/$B$28</f>
        <v>1.8152284994702437E-4</v>
      </c>
    </row>
    <row r="33" spans="1:3" ht="18" x14ac:dyDescent="0.35">
      <c r="A33" t="s">
        <v>70</v>
      </c>
      <c r="B33">
        <f>(X_n2/M_N2)/$B$28</f>
        <v>0.74596899309748921</v>
      </c>
    </row>
    <row r="34" spans="1:3" ht="18" x14ac:dyDescent="0.35">
      <c r="A34" t="s">
        <v>69</v>
      </c>
      <c r="B34">
        <f>(X_o2/M_o2)/$B$28</f>
        <v>0.13745780182586273</v>
      </c>
    </row>
    <row r="36" spans="1:3" x14ac:dyDescent="0.25">
      <c r="A36" s="25" t="s">
        <v>126</v>
      </c>
    </row>
    <row r="38" spans="1:3" ht="18" x14ac:dyDescent="0.35">
      <c r="A38" t="s">
        <v>127</v>
      </c>
      <c r="B38">
        <f>Y_co2*M_co2+Y_h20*M_w+Y_so2*M_so2+Y_n2g*M_N2+Y_o2g*M_o2</f>
        <v>29.088400658208123</v>
      </c>
      <c r="C38" t="s">
        <v>128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topLeftCell="A3" zoomScaleNormal="100" workbookViewId="0">
      <selection activeCell="B12" sqref="B12"/>
    </sheetView>
  </sheetViews>
  <sheetFormatPr baseColWidth="10" defaultRowHeight="15" x14ac:dyDescent="0.25"/>
  <sheetData>
    <row r="1" spans="1:3" x14ac:dyDescent="0.25">
      <c r="A1" s="25" t="s">
        <v>129</v>
      </c>
    </row>
    <row r="3" spans="1:3" x14ac:dyDescent="0.25">
      <c r="A3" s="25" t="s">
        <v>130</v>
      </c>
    </row>
    <row r="4" spans="1:3" x14ac:dyDescent="0.25">
      <c r="A4" s="37" t="s">
        <v>142</v>
      </c>
      <c r="B4">
        <f>0.15*0.21*0.21</f>
        <v>6.6150000000000002E-3</v>
      </c>
      <c r="C4" t="s">
        <v>131</v>
      </c>
    </row>
    <row r="6" spans="1:3" x14ac:dyDescent="0.25">
      <c r="A6" s="25" t="s">
        <v>132</v>
      </c>
    </row>
    <row r="8" spans="1:3" ht="18" x14ac:dyDescent="0.35">
      <c r="A8" s="37" t="s">
        <v>139</v>
      </c>
      <c r="B8">
        <v>101325</v>
      </c>
      <c r="C8" t="s">
        <v>133</v>
      </c>
    </row>
    <row r="9" spans="1:3" x14ac:dyDescent="0.25">
      <c r="A9" s="37" t="s">
        <v>140</v>
      </c>
      <c r="B9">
        <f>854.6+273.15</f>
        <v>1127.75</v>
      </c>
      <c r="C9" t="s">
        <v>134</v>
      </c>
    </row>
    <row r="10" spans="1:3" ht="18" x14ac:dyDescent="0.35">
      <c r="A10" s="37" t="s">
        <v>141</v>
      </c>
      <c r="B10">
        <v>8314.32</v>
      </c>
      <c r="C10" t="s">
        <v>135</v>
      </c>
    </row>
    <row r="12" spans="1:3" ht="18" x14ac:dyDescent="0.35">
      <c r="A12" s="37" t="s">
        <v>143</v>
      </c>
      <c r="B12">
        <f>B8/(('Tiempo de residencia'!B10*'Tiempo de residencia'!B9)/'Calculos de gases'!B38)</f>
        <v>0.31433799925691669</v>
      </c>
      <c r="C12" t="s">
        <v>136</v>
      </c>
    </row>
    <row r="14" spans="1:3" x14ac:dyDescent="0.25">
      <c r="A14" s="25" t="s">
        <v>137</v>
      </c>
    </row>
    <row r="15" spans="1:3" ht="18" x14ac:dyDescent="0.35">
      <c r="A15" s="37" t="s">
        <v>144</v>
      </c>
      <c r="B15">
        <v>9</v>
      </c>
      <c r="C15" t="s">
        <v>138</v>
      </c>
    </row>
    <row r="16" spans="1:3" x14ac:dyDescent="0.25">
      <c r="B16">
        <f>m_pf/3600</f>
        <v>2.5000000000000001E-3</v>
      </c>
      <c r="C16" t="s">
        <v>150</v>
      </c>
    </row>
    <row r="18" spans="1:7" x14ac:dyDescent="0.25">
      <c r="A18" s="25" t="s">
        <v>145</v>
      </c>
    </row>
    <row r="20" spans="1:7" x14ac:dyDescent="0.25">
      <c r="A20" s="31" t="s">
        <v>146</v>
      </c>
      <c r="B20" s="34">
        <f>(B4*B12*3600)/(B15*m_FG)</f>
        <v>5.3305765866709043E-2</v>
      </c>
      <c r="C20" t="s">
        <v>147</v>
      </c>
      <c r="E20" t="s">
        <v>194</v>
      </c>
      <c r="F20">
        <f>Ta+('Poderes calorificos'!B37*1000*B20*B16)/(B4*RHO_FG*Cpg)</f>
        <v>1076.498432099643</v>
      </c>
      <c r="G20" t="s">
        <v>134</v>
      </c>
    </row>
    <row r="21" spans="1:7" x14ac:dyDescent="0.25">
      <c r="F21">
        <f>F20-273.15</f>
        <v>803.34843209964299</v>
      </c>
      <c r="G21" t="s">
        <v>195</v>
      </c>
    </row>
    <row r="22" spans="1:7" x14ac:dyDescent="0.25">
      <c r="B22">
        <f>m_FG</f>
        <v>15.603159105031182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52</vt:i4>
      </vt:variant>
    </vt:vector>
  </HeadingPairs>
  <TitlesOfParts>
    <vt:vector size="73" baseType="lpstr">
      <vt:lpstr>Modelo de Combustion</vt:lpstr>
      <vt:lpstr>Composicion</vt:lpstr>
      <vt:lpstr>TempAblandamiento</vt:lpstr>
      <vt:lpstr>Poderes calorificos</vt:lpstr>
      <vt:lpstr>Calculo Aire</vt:lpstr>
      <vt:lpstr>TempAdiabatica</vt:lpstr>
      <vt:lpstr>landa</vt:lpstr>
      <vt:lpstr>Calculos de gases</vt:lpstr>
      <vt:lpstr>Tiempo de residencia</vt:lpstr>
      <vt:lpstr>Calculos adicionales</vt:lpstr>
      <vt:lpstr>Errores</vt:lpstr>
      <vt:lpstr>Modelo Tornilo Sin fin</vt:lpstr>
      <vt:lpstr>Ecuaciones tornillo</vt:lpstr>
      <vt:lpstr>Modelo Intercambiador</vt:lpstr>
      <vt:lpstr>Coef. ho</vt:lpstr>
      <vt:lpstr>Th2</vt:lpstr>
      <vt:lpstr>F</vt:lpstr>
      <vt:lpstr>Coef. hi</vt:lpstr>
      <vt:lpstr>U&amp;Q</vt:lpstr>
      <vt:lpstr>Aire prim, seg</vt:lpstr>
      <vt:lpstr>NUT</vt:lpstr>
      <vt:lpstr>Cpg</vt:lpstr>
      <vt:lpstr>F_fix</vt:lpstr>
      <vt:lpstr>hi</vt:lpstr>
      <vt:lpstr>ho</vt:lpstr>
      <vt:lpstr>landa</vt:lpstr>
      <vt:lpstr>m_air</vt:lpstr>
      <vt:lpstr>M_co2</vt:lpstr>
      <vt:lpstr>m_FG</vt:lpstr>
      <vt:lpstr>M_h2</vt:lpstr>
      <vt:lpstr>M_N2</vt:lpstr>
      <vt:lpstr>m_n2air</vt:lpstr>
      <vt:lpstr>M_o2</vt:lpstr>
      <vt:lpstr>m_o2air</vt:lpstr>
      <vt:lpstr>m_pair</vt:lpstr>
      <vt:lpstr>m_pf</vt:lpstr>
      <vt:lpstr>m_pFG</vt:lpstr>
      <vt:lpstr>M_so2</vt:lpstr>
      <vt:lpstr>M_w</vt:lpstr>
      <vt:lpstr>Mc</vt:lpstr>
      <vt:lpstr>Mh</vt:lpstr>
      <vt:lpstr>Ms</vt:lpstr>
      <vt:lpstr>rho_air</vt:lpstr>
      <vt:lpstr>RHO_FG</vt:lpstr>
      <vt:lpstr>T_C1</vt:lpstr>
      <vt:lpstr>T_c2</vt:lpstr>
      <vt:lpstr>T_f1</vt:lpstr>
      <vt:lpstr>T_f2</vt:lpstr>
      <vt:lpstr>Ta</vt:lpstr>
      <vt:lpstr>Tablan</vt:lpstr>
      <vt:lpstr>Tadiabatica</vt:lpstr>
      <vt:lpstr>tr</vt:lpstr>
      <vt:lpstr>U</vt:lpstr>
      <vt:lpstr>V_FG</vt:lpstr>
      <vt:lpstr>X_co2</vt:lpstr>
      <vt:lpstr>X_h2o</vt:lpstr>
      <vt:lpstr>X_n2</vt:lpstr>
      <vt:lpstr>X_o2</vt:lpstr>
      <vt:lpstr>X_so2</vt:lpstr>
      <vt:lpstr>Xash</vt:lpstr>
      <vt:lpstr>Xc</vt:lpstr>
      <vt:lpstr>Xh</vt:lpstr>
      <vt:lpstr>Xn</vt:lpstr>
      <vt:lpstr>Xo</vt:lpstr>
      <vt:lpstr>Xs</vt:lpstr>
      <vt:lpstr>Xw</vt:lpstr>
      <vt:lpstr>Y_co2</vt:lpstr>
      <vt:lpstr>Y_h20</vt:lpstr>
      <vt:lpstr>Y_n2</vt:lpstr>
      <vt:lpstr>Y_n2g</vt:lpstr>
      <vt:lpstr>Y_o2</vt:lpstr>
      <vt:lpstr>Y_o2g</vt:lpstr>
      <vt:lpstr>Y_so2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2020-01-21T17:49:29Z</dcterms:modified>
</cp:coreProperties>
</file>