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w\Documents\"/>
    </mc:Choice>
  </mc:AlternateContent>
  <xr:revisionPtr revIDLastSave="0" documentId="8_{CD5DF11F-E199-4773-BE45-0BBC0425C5E1}" xr6:coauthVersionLast="47" xr6:coauthVersionMax="47" xr10:uidLastSave="{00000000-0000-0000-0000-000000000000}"/>
  <bookViews>
    <workbookView xWindow="-120" yWindow="-120" windowWidth="29040" windowHeight="16440" activeTab="6" xr2:uid="{9A03AB7A-1A00-4AAC-A941-D39431512133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 (2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E22" i="4"/>
  <c r="G22" i="4"/>
  <c r="H22" i="4"/>
  <c r="J22" i="4"/>
  <c r="K22" i="4"/>
  <c r="D43" i="4"/>
  <c r="E43" i="4"/>
  <c r="F43" i="4"/>
  <c r="G43" i="4"/>
  <c r="H43" i="4"/>
  <c r="I43" i="4"/>
  <c r="J43" i="4"/>
  <c r="K43" i="4"/>
  <c r="G52" i="5"/>
  <c r="G51" i="5"/>
  <c r="D64" i="8"/>
  <c r="D65" i="8"/>
  <c r="D66" i="8"/>
  <c r="D67" i="8"/>
  <c r="D68" i="8"/>
  <c r="D69" i="8"/>
  <c r="D54" i="8"/>
  <c r="D55" i="8"/>
  <c r="D56" i="8"/>
  <c r="D57" i="8"/>
  <c r="D59" i="8"/>
  <c r="D58" i="8"/>
  <c r="L42" i="8"/>
  <c r="K42" i="8"/>
  <c r="J42" i="8"/>
  <c r="I42" i="8"/>
  <c r="H42" i="8"/>
  <c r="G42" i="8"/>
  <c r="F42" i="8"/>
  <c r="E42" i="8"/>
  <c r="D42" i="8"/>
  <c r="L21" i="8"/>
  <c r="K21" i="8"/>
  <c r="J21" i="8"/>
  <c r="I21" i="8"/>
  <c r="H21" i="8"/>
  <c r="G21" i="8"/>
  <c r="F21" i="8"/>
  <c r="E21" i="8"/>
  <c r="D21" i="8"/>
  <c r="L85" i="4"/>
  <c r="K85" i="4"/>
  <c r="J85" i="4"/>
  <c r="I85" i="4"/>
  <c r="H85" i="4"/>
  <c r="G85" i="4"/>
  <c r="F85" i="4"/>
  <c r="E85" i="4"/>
  <c r="D85" i="4"/>
  <c r="L64" i="4"/>
  <c r="K64" i="4"/>
  <c r="J64" i="4"/>
  <c r="I64" i="4"/>
  <c r="H64" i="4"/>
  <c r="G64" i="4"/>
  <c r="F64" i="4"/>
  <c r="E64" i="4"/>
  <c r="D64" i="4"/>
  <c r="L43" i="1" l="1"/>
  <c r="L22" i="1"/>
  <c r="K22" i="1"/>
  <c r="K55" i="2"/>
  <c r="K34" i="2"/>
  <c r="J34" i="2"/>
  <c r="K48" i="3"/>
  <c r="K27" i="3"/>
  <c r="J27" i="3"/>
  <c r="I41" i="6"/>
  <c r="I20" i="6"/>
  <c r="J20" i="6"/>
  <c r="K20" i="6"/>
  <c r="H20" i="6"/>
  <c r="E20" i="6"/>
  <c r="G27" i="3"/>
  <c r="I14" i="5"/>
  <c r="H14" i="5"/>
  <c r="I13" i="5"/>
  <c r="H13" i="5"/>
  <c r="L28" i="6"/>
  <c r="K41" i="6"/>
  <c r="J41" i="6"/>
  <c r="H41" i="6"/>
  <c r="G41" i="6"/>
  <c r="F41" i="6"/>
  <c r="E41" i="6"/>
  <c r="D41" i="6"/>
  <c r="C41" i="6"/>
  <c r="G20" i="6"/>
  <c r="F20" i="6"/>
  <c r="D20" i="6"/>
  <c r="D3" i="5"/>
  <c r="D4" i="5"/>
  <c r="D5" i="5"/>
  <c r="D6" i="5"/>
  <c r="D7" i="5"/>
  <c r="D8" i="5"/>
  <c r="D9" i="5"/>
  <c r="D10" i="5"/>
  <c r="K3" i="5" s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K2" i="5" s="1"/>
  <c r="G38" i="5"/>
  <c r="G37" i="5"/>
  <c r="G43" i="5"/>
  <c r="B39" i="2"/>
  <c r="B34" i="3"/>
  <c r="B33" i="3"/>
  <c r="G4" i="3"/>
  <c r="L98" i="2"/>
  <c r="K98" i="2"/>
  <c r="J98" i="2"/>
  <c r="I98" i="2"/>
  <c r="H98" i="2"/>
  <c r="G98" i="2"/>
  <c r="F98" i="2"/>
  <c r="E98" i="2"/>
  <c r="L77" i="2"/>
  <c r="K77" i="2"/>
  <c r="I77" i="2"/>
  <c r="H77" i="2"/>
  <c r="F77" i="2"/>
  <c r="E77" i="2"/>
  <c r="E4" i="3"/>
  <c r="L91" i="3"/>
  <c r="K91" i="3"/>
  <c r="J91" i="3"/>
  <c r="I91" i="3"/>
  <c r="H91" i="3"/>
  <c r="G91" i="3"/>
  <c r="F91" i="3"/>
  <c r="E91" i="3"/>
  <c r="L70" i="3"/>
  <c r="K70" i="3"/>
  <c r="I70" i="3"/>
  <c r="H70" i="3"/>
  <c r="F70" i="3"/>
  <c r="E70" i="3"/>
  <c r="E55" i="2"/>
  <c r="M48" i="3"/>
  <c r="L48" i="3"/>
  <c r="J48" i="3"/>
  <c r="I48" i="3"/>
  <c r="H48" i="3"/>
  <c r="G48" i="3"/>
  <c r="F48" i="3"/>
  <c r="E48" i="3"/>
  <c r="M27" i="3"/>
  <c r="L27" i="3"/>
  <c r="I27" i="3"/>
  <c r="H27" i="3"/>
  <c r="F27" i="3"/>
  <c r="E27" i="3"/>
  <c r="M55" i="2"/>
  <c r="L55" i="2"/>
  <c r="J55" i="2"/>
  <c r="I55" i="2"/>
  <c r="H55" i="2"/>
  <c r="G55" i="2"/>
  <c r="F55" i="2"/>
  <c r="M34" i="2"/>
  <c r="L34" i="2"/>
  <c r="I34" i="2"/>
  <c r="H34" i="2"/>
  <c r="F34" i="2"/>
  <c r="E34" i="2"/>
  <c r="N43" i="1"/>
  <c r="M43" i="1"/>
  <c r="K43" i="1"/>
  <c r="J43" i="1"/>
  <c r="H43" i="1"/>
  <c r="I43" i="1"/>
  <c r="H22" i="1"/>
  <c r="N22" i="1"/>
  <c r="M22" i="1"/>
  <c r="J22" i="1"/>
  <c r="I22" i="1"/>
  <c r="G43" i="1"/>
  <c r="F43" i="1"/>
  <c r="G22" i="1"/>
  <c r="F22" i="1"/>
  <c r="H17" i="5" l="1"/>
  <c r="G40" i="5"/>
  <c r="H40" i="5"/>
  <c r="H18" i="5"/>
  <c r="C20" i="6"/>
  <c r="J2" i="5"/>
  <c r="L2" i="5" s="1"/>
  <c r="J3" i="5"/>
  <c r="L3" i="5" s="1"/>
  <c r="H19" i="5" l="1"/>
  <c r="L4" i="5"/>
  <c r="M2" i="5"/>
  <c r="M3" i="5"/>
  <c r="M4" i="5" l="1"/>
</calcChain>
</file>

<file path=xl/sharedStrings.xml><?xml version="1.0" encoding="utf-8"?>
<sst xmlns="http://schemas.openxmlformats.org/spreadsheetml/2006/main" count="442" uniqueCount="121">
  <si>
    <t>AUC-Score</t>
  </si>
  <si>
    <t>Versuch</t>
  </si>
  <si>
    <t>QT</t>
  </si>
  <si>
    <t>Laufzeit in sec</t>
  </si>
  <si>
    <t>Openstack</t>
  </si>
  <si>
    <t>Fixed</t>
  </si>
  <si>
    <t>Ni-faktoren</t>
  </si>
  <si>
    <t>Recall score</t>
  </si>
  <si>
    <t>f1 score</t>
  </si>
  <si>
    <t>per class acc</t>
  </si>
  <si>
    <t>Precision Score</t>
  </si>
  <si>
    <t>FAR</t>
  </si>
  <si>
    <t>distance heaven</t>
  </si>
  <si>
    <t>openstack</t>
  </si>
  <si>
    <t>=TEILERGEBNIS(101;</t>
  </si>
  <si>
    <t>oversampling</t>
  </si>
  <si>
    <t>bis 20-16-20</t>
  </si>
  <si>
    <t>954,746?</t>
  </si>
  <si>
    <t>5 epochs</t>
  </si>
  <si>
    <t>[0,61900685 0,77300613]</t>
  </si>
  <si>
    <t>[0,74246231 0,6284153 ]</t>
  </si>
  <si>
    <t>random</t>
  </si>
  <si>
    <t>fixed</t>
  </si>
  <si>
    <t>Varianz1</t>
  </si>
  <si>
    <t>Varianz 2</t>
  </si>
  <si>
    <t>Varianz durch Varianz</t>
  </si>
  <si>
    <t>Teststatistik</t>
  </si>
  <si>
    <t>Kritischer Wert</t>
  </si>
  <si>
    <t>Teststatistik&gt;Kritischer Wert:</t>
  </si>
  <si>
    <t>Varianzungleichheit</t>
  </si>
  <si>
    <t>Teststatistik&lt;Kritischer Wert:</t>
  </si>
  <si>
    <t>Varianzgleichheit</t>
  </si>
  <si>
    <t>0.7519014202874191</t>
  </si>
  <si>
    <t>0.8633039834200845</t>
  </si>
  <si>
    <t>0.6566491359879789</t>
  </si>
  <si>
    <t>0.7157075166053883</t>
  </si>
  <si>
    <t>[0.64126712 0.76687117]</t>
  </si>
  <si>
    <t>0.3587328767123288</t>
  </si>
  <si>
    <t>0.35112611171209146</t>
  </si>
  <si>
    <t>0.7680135650932257</t>
  </si>
  <si>
    <t>0.9082368633315264</t>
  </si>
  <si>
    <t>0.7677946324387398</t>
  </si>
  <si>
    <t>0.8200454610693797</t>
  </si>
  <si>
    <t>[0.77889447 0.62295082]</t>
  </si>
  <si>
    <t>0.22110552763819097</t>
  </si>
  <si>
    <t>0.22672338551241553</t>
  </si>
  <si>
    <t>0.7310908479704177</t>
  </si>
  <si>
    <t>0.8617681368992594</t>
  </si>
  <si>
    <t>0.5920360631104433</t>
  </si>
  <si>
    <t>0.6607959648788545</t>
  </si>
  <si>
    <t>[0.5625 0.80368098]</t>
  </si>
  <si>
    <t>0.4375</t>
  </si>
  <si>
    <t>0.42298984846118126</t>
  </si>
  <si>
    <t>0.7364143119971441</t>
  </si>
  <si>
    <t>0.9078470283800498</t>
  </si>
  <si>
    <t>0.631271878646441</t>
  </si>
  <si>
    <t>0.7202517543527102</t>
  </si>
  <si>
    <t>[0.6239531 0.72677596]</t>
  </si>
  <si>
    <t>0.3760469011725293</t>
  </si>
  <si>
    <t>0.3724054909358796</t>
  </si>
  <si>
    <t>U-test</t>
  </si>
  <si>
    <t>Ränge</t>
  </si>
  <si>
    <t>Normal</t>
  </si>
  <si>
    <t>Oversampling</t>
  </si>
  <si>
    <t>Rangsumme</t>
  </si>
  <si>
    <t>Anzahl</t>
  </si>
  <si>
    <t>U-Statistik I</t>
  </si>
  <si>
    <t>U-Statistik II</t>
  </si>
  <si>
    <t>Kritischer Wert&gt;U-Statistik -&gt;Signifikanter Unterschied</t>
  </si>
  <si>
    <t>Kritischer Wert&lt;U-Statistik -&gt; Kein Signifikanter Unterschied</t>
  </si>
  <si>
    <t>Levene Test</t>
  </si>
  <si>
    <t>Wenn werte mehrfach vorkommen</t>
  </si>
  <si>
    <t>Rang.MittelW- Funktion anstatt</t>
  </si>
  <si>
    <t>Rang.Gleich-Funktion</t>
  </si>
  <si>
    <t>Größere Varianz im Zähler</t>
  </si>
  <si>
    <t>SMOTE</t>
  </si>
  <si>
    <t>Effektstärke Cohen</t>
  </si>
  <si>
    <t>Mittelwert</t>
  </si>
  <si>
    <t>Standardabweichung</t>
  </si>
  <si>
    <t>Stichprobengröße</t>
  </si>
  <si>
    <t>Group1</t>
  </si>
  <si>
    <t>Group2</t>
  </si>
  <si>
    <t>Unterschied Mittelwerte</t>
  </si>
  <si>
    <t>Zusammengefasste</t>
  </si>
  <si>
    <t>Cohen's D</t>
  </si>
  <si>
    <t>Ergebnisse</t>
  </si>
  <si>
    <t>Normal-Oversampling</t>
  </si>
  <si>
    <t>U-Test</t>
  </si>
  <si>
    <t>Normal-Undersampling</t>
  </si>
  <si>
    <t>Normal-Smote</t>
  </si>
  <si>
    <t>zero</t>
  </si>
  <si>
    <t>Varainzungleichheit</t>
  </si>
  <si>
    <t>zero/1</t>
  </si>
  <si>
    <t>zero/-1</t>
  </si>
  <si>
    <t>0/1</t>
  </si>
  <si>
    <t>per class 2</t>
  </si>
  <si>
    <t>per class acc 2</t>
  </si>
  <si>
    <t>per class acc 1</t>
  </si>
  <si>
    <t>0.32222386066099096</t>
  </si>
  <si>
    <t>0.17776327451235813</t>
  </si>
  <si>
    <t>and per class accuracy</t>
  </si>
  <si>
    <t>25 epochs</t>
  </si>
  <si>
    <t>AUC</t>
  </si>
  <si>
    <t>Normal-SMOTETomek</t>
  </si>
  <si>
    <t>Avg Runtime</t>
  </si>
  <si>
    <t>SMOTETomek</t>
  </si>
  <si>
    <t>Randomised</t>
  </si>
  <si>
    <t>RandomUndersampling</t>
  </si>
  <si>
    <t>RandomOversampling</t>
  </si>
  <si>
    <t>12279,148 sec</t>
  </si>
  <si>
    <t>1218,123 sec</t>
  </si>
  <si>
    <t>234,331 sec</t>
  </si>
  <si>
    <t>2252,353 sec</t>
  </si>
  <si>
    <t>2272,626 sec</t>
  </si>
  <si>
    <t>2788,287 sec</t>
  </si>
  <si>
    <t>Standardabweichung 1</t>
  </si>
  <si>
    <t>Standardabweichung 2</t>
  </si>
  <si>
    <t>Methode</t>
  </si>
  <si>
    <t>Randomized</t>
  </si>
  <si>
    <t>NI-factors</t>
  </si>
  <si>
    <t>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</si>
</sst>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00000000000"/>
    <numFmt numFmtId="167" formatCode="0.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ourier New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0" fontId="2" fillId="0" borderId="0" xfId="0" applyFont="1"/>
    <xf numFmtId="0" fontId="3" fillId="3" borderId="1" xfId="0" applyFont="1" applyFill="1" applyBorder="1"/>
    <xf numFmtId="166" fontId="2" fillId="2" borderId="1" xfId="0" applyNumberFormat="1" applyFont="1" applyFill="1" applyBorder="1"/>
    <xf numFmtId="166" fontId="2" fillId="0" borderId="1" xfId="0" applyNumberFormat="1" applyFont="1" applyBorder="1"/>
    <xf numFmtId="164" fontId="0" fillId="2" borderId="0" xfId="0" applyNumberFormat="1" applyFill="1"/>
    <xf numFmtId="167" fontId="0" fillId="0" borderId="0" xfId="0" applyNumberFormat="1"/>
  </cellXfs>
  <cellStyles count="1">
    <cellStyle name="Standard" xfId="0" builtinId="0"/>
  </cellStyles>
  <dxfs count="312"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4" formatCode="0.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6" formatCode="0.000000000000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6" formatCode="0.00000000000000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0.000000000000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'Tabelle7 (2)'!$D$63</c:f>
              <c:strCache>
                <c:ptCount val="1"/>
                <c:pt idx="0">
                  <c:v>Avg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'Tabelle7 (2)'!$C$64:$C$69</c:f>
              <c:strCache>
                <c:ptCount val="6"/>
                <c:pt idx="0">
                  <c:v>Fixed</c:v>
                </c:pt>
                <c:pt idx="1">
                  <c:v>Randomised</c:v>
                </c:pt>
                <c:pt idx="2">
                  <c:v>RandomUndersampling</c:v>
                </c:pt>
                <c:pt idx="3">
                  <c:v>RandomOversampling</c:v>
                </c:pt>
                <c:pt idx="4">
                  <c:v>SMOTE</c:v>
                </c:pt>
                <c:pt idx="5">
                  <c:v>SMOTETomek</c:v>
                </c:pt>
              </c:strCache>
            </c:strRef>
          </c:cat>
          <c:val>
            <c:numRef>
              <c:f>'Tabelle7 (2)'!$D$64:$D$69</c:f>
              <c:numCache>
                <c:formatCode>0.000</c:formatCode>
                <c:ptCount val="6"/>
                <c:pt idx="0">
                  <c:v>12279.147499999999</c:v>
                </c:pt>
                <c:pt idx="1">
                  <c:v>1218.1228125000002</c:v>
                </c:pt>
                <c:pt idx="2">
                  <c:v>234.33100000000005</c:v>
                </c:pt>
                <c:pt idx="3">
                  <c:v>2252.3530000000001</c:v>
                </c:pt>
                <c:pt idx="4">
                  <c:v>2272.6264375000001</c:v>
                </c:pt>
                <c:pt idx="5">
                  <c:v>2788.2873749999999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0-457F-9739-07FC53335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3724544"/>
        <c:axId val="1236700288"/>
      </c:barChart>
      <c:catAx>
        <c:axId val="138372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0288"/>
        <c:crosses val="autoZero"/>
        <c:auto val="1"/>
        <c:lblAlgn val="ctr"/>
        <c:lblOffset val="100"/>
        <c:noMultiLvlLbl val="0"/>
      </c:catAx>
      <c:valAx>
        <c:axId val="1236700288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24544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'Tabelle7 (2)'!$D$53</c:f>
              <c:strCache>
                <c:ptCount val="1"/>
                <c:pt idx="0">
                  <c:v>Avg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'Tabelle7 (2)'!$C$54:$C$59</c:f>
              <c:strCache>
                <c:ptCount val="6"/>
                <c:pt idx="0">
                  <c:v>Fixed</c:v>
                </c:pt>
                <c:pt idx="1">
                  <c:v>Randomised</c:v>
                </c:pt>
                <c:pt idx="2">
                  <c:v>RandomUndersampling</c:v>
                </c:pt>
                <c:pt idx="3">
                  <c:v>RandomOversampling</c:v>
                </c:pt>
                <c:pt idx="4">
                  <c:v>SMOTE</c:v>
                </c:pt>
                <c:pt idx="5">
                  <c:v>SMOTETomek</c:v>
                </c:pt>
              </c:strCache>
            </c:strRef>
          </c:cat>
          <c:val>
            <c:numRef>
              <c:f>'Tabelle7 (2)'!$D$54:$D$59</c:f>
              <c:numCache>
                <c:formatCode>0.000</c:formatCode>
                <c:ptCount val="6"/>
                <c:pt idx="0">
                  <c:v>5467.2049999999999</c:v>
                </c:pt>
                <c:pt idx="1">
                  <c:v>565.55700000000002</c:v>
                </c:pt>
                <c:pt idx="2">
                  <c:v>164.26693749999998</c:v>
                </c:pt>
                <c:pt idx="3">
                  <c:v>974.48843749999992</c:v>
                </c:pt>
                <c:pt idx="4">
                  <c:v>989.03168749999986</c:v>
                </c:pt>
                <c:pt idx="5">
                  <c:v>1110.4184375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8-4DDB-A89E-1DC91724C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0153760"/>
        <c:axId val="1561947024"/>
      </c:barChart>
      <c:catAx>
        <c:axId val="15601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47024"/>
        <c:crosses val="autoZero"/>
        <c:auto val="1"/>
        <c:lblAlgn val="ctr"/>
        <c:lblOffset val="100"/>
        <c:noMultiLvlLbl val="0"/>
      </c:catAx>
      <c:valAx>
        <c:axId val="1561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48</xdr:row>
      <xdr:rowOff>133350</xdr:rowOff>
    </xdr:from>
    <xdr:to>
      <xdr:col>8</xdr:col>
      <xdr:colOff>1266825</xdr:colOff>
      <xdr:row>63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EB2E22-940A-3BAB-5A4A-2CF1995F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65</xdr:row>
      <xdr:rowOff>0</xdr:rowOff>
    </xdr:from>
    <xdr:to>
      <xdr:col>8</xdr:col>
      <xdr:colOff>1223962</xdr:colOff>
      <xdr:row>79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D910B-9567-98B2-FD5F-4486AC89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F2E5B4-A12A-48B0-88B8-E2B0C88C628A}" name="Tabelle165" displayName="Tabelle165" ref="E5:N22" totalsRowCount="1">
  <autoFilter ref="E5:N21" xr:uid="{A7F2E5B4-A12A-48B0-88B8-E2B0C88C628A}"/>
  <sortState xmlns:xlrd2="http://schemas.microsoft.com/office/spreadsheetml/2017/richdata2" ref="E6:N21">
    <sortCondition ref="L5:L21"/>
  </sortState>
  <tableColumns count="10">
    <tableColumn id="3" xr3:uid="{2692D7D7-99DF-4746-BBF6-E1AC6D95CC1B}" name="Versuch"/>
    <tableColumn id="2" xr3:uid="{2D926C3F-1B6F-423F-BF18-5B5EAA6436A3}" name="Laufzeit in sec" totalsRowFunction="average" dataDxfId="311" totalsRowDxfId="310"/>
    <tableColumn id="1" xr3:uid="{6E2C345B-9868-4F19-98D3-39DB6923B6ED}" name="AUC-Score" totalsRowFunction="average" dataDxfId="309" totalsRowDxfId="308"/>
    <tableColumn id="4" xr3:uid="{C904735D-A328-40C7-90FC-5657EE14FB4A}" name="Precision Score" totalsRowFunction="average" dataDxfId="307" totalsRowDxfId="306"/>
    <tableColumn id="5" xr3:uid="{499F0F0E-3F58-4059-8431-AF03AFE084F8}" name="Recall score" totalsRowFunction="average" dataDxfId="305" totalsRowDxfId="304"/>
    <tableColumn id="6" xr3:uid="{3724A085-F7FD-4878-A704-46AE603C63CC}" name="f1 score" totalsRowFunction="average" dataDxfId="303" totalsRowDxfId="302"/>
    <tableColumn id="7" xr3:uid="{51151F5C-49B1-480B-9C85-B2F979CF0EFA}" name="per class acc 1" totalsRowFunction="average" dataDxfId="301" totalsRowDxfId="300"/>
    <tableColumn id="10" xr3:uid="{77910ABF-1DC8-4672-9183-F86AD04C34DF}" name="per class acc 2" totalsRowFunction="average" dataDxfId="299" totalsRowDxfId="298"/>
    <tableColumn id="8" xr3:uid="{FD1777BC-0484-45DB-9FB3-86ED470E5071}" name="FAR" totalsRowFunction="average" dataDxfId="297" totalsRowDxfId="296"/>
    <tableColumn id="9" xr3:uid="{981623B1-66EB-45C5-A615-790543562D74}" name="distance heaven" totalsRowFunction="average" dataDxfId="295" totalsRowDxfId="2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0077BA1-F047-466E-A686-61337CEBF708}" name="Tabelle165891115" displayName="Tabelle165891115" ref="D74:L91" totalsRowCount="1">
  <autoFilter ref="D74:L90" xr:uid="{B0077BA1-F047-466E-A686-61337CEBF708}"/>
  <tableColumns count="9">
    <tableColumn id="3" xr3:uid="{F325BA87-D6C1-498B-8079-9586EEE6BC20}" name="Versuch"/>
    <tableColumn id="2" xr3:uid="{277F2D2D-764B-42A9-AC2A-2E4297941FED}" name="Laufzeit in sec" totalsRowFunction="average" dataDxfId="155" totalsRowDxfId="154"/>
    <tableColumn id="1" xr3:uid="{1AD624C3-26F5-43D7-90D9-6FE4E9AFBD6E}" name="AUC-Score" totalsRowFunction="average" dataDxfId="153" totalsRowDxfId="152"/>
    <tableColumn id="4" xr3:uid="{C1DFBB06-1B54-4DA7-A418-9C5FF2C0E628}" name="Precision Score" totalsRowFunction="average" dataDxfId="151" totalsRowDxfId="150"/>
    <tableColumn id="5" xr3:uid="{00FA5D14-8BF4-4315-A6DE-6DD79676524E}" name="Recall score" totalsRowFunction="average" dataDxfId="149" totalsRowDxfId="148"/>
    <tableColumn id="6" xr3:uid="{02F0281A-BF68-4D4E-A5AB-26BA459BAB93}" name="f1 score" totalsRowFunction="average" dataDxfId="147" totalsRowDxfId="146"/>
    <tableColumn id="7" xr3:uid="{E2073CF7-2E21-4B4E-80D6-45AE446585D8}" name="per class acc" totalsRowFunction="average" dataDxfId="145" totalsRowDxfId="144"/>
    <tableColumn id="8" xr3:uid="{6387BE44-6F0F-4384-AE74-02B5260BB41F}" name="FAR" totalsRowFunction="average" dataDxfId="143" totalsRowDxfId="142"/>
    <tableColumn id="9" xr3:uid="{AAF1FD65-FBDE-4DED-A550-B2C6FB671837}" name="distance heaven" totalsRowFunction="average" dataDxfId="141" totalsRowDxfId="1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3B0BBD3-C3FD-4BF9-8BAC-DCE9ECB063B0}" name="Tabelle165710121823" displayName="Tabelle165710121823" ref="C47:L64" totalsRowCount="1">
  <autoFilter ref="C47:L63" xr:uid="{13B0BBD3-C3FD-4BF9-8BAC-DCE9ECB063B0}"/>
  <sortState xmlns:xlrd2="http://schemas.microsoft.com/office/spreadsheetml/2017/richdata2" ref="C48:L63">
    <sortCondition ref="C47:C63"/>
  </sortState>
  <tableColumns count="10">
    <tableColumn id="3" xr3:uid="{35292E45-0795-4334-B353-0F5222D8B4C3}" name="Versuch"/>
    <tableColumn id="2" xr3:uid="{59A2DD44-E3EF-453A-9C5D-AB77EC51F2BD}" name="Laufzeit in sec" totalsRowFunction="average" dataDxfId="107" totalsRowDxfId="17"/>
    <tableColumn id="1" xr3:uid="{B2071449-8B08-48B8-96DF-59E3B21C754A}" name="AUC-Score" totalsRowFunction="average" dataDxfId="106" totalsRowDxfId="16"/>
    <tableColumn id="4" xr3:uid="{5D09E659-1C77-4EEB-9C32-EE1DE929B2F9}" name="Precision Score" totalsRowFunction="average" dataDxfId="105" totalsRowDxfId="15"/>
    <tableColumn id="5" xr3:uid="{229EEE75-376B-41A1-9007-33CF2CAB7ED4}" name="Recall score" totalsRowFunction="average" dataDxfId="104" totalsRowDxfId="14"/>
    <tableColumn id="6" xr3:uid="{05679643-04EA-4698-BD17-8E7B39788870}" name="f1 score" totalsRowFunction="average" dataDxfId="103" totalsRowDxfId="13"/>
    <tableColumn id="7" xr3:uid="{D369CD23-0AB3-4983-8434-F8C5E8CEE244}" name="per class acc" totalsRowFunction="average" dataDxfId="102" totalsRowDxfId="12"/>
    <tableColumn id="11" xr3:uid="{81FBCCB6-519D-4752-B295-A0B3579CF0C1}" name="per class acc 2" totalsRowFunction="average" dataDxfId="101" totalsRowDxfId="11"/>
    <tableColumn id="8" xr3:uid="{A273CE16-0C42-4951-8203-70D3BB651C30}" name="FAR" totalsRowFunction="average" dataDxfId="100" totalsRowDxfId="10"/>
    <tableColumn id="9" xr3:uid="{BB8A0D7F-66AB-4BB2-BBB7-1CA389BC044F}" name="distance heaven" totalsRowFunction="average" dataDxfId="99" totalsRow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975243D-86E5-42C6-96DD-AF08FFF7F179}" name="Tabelle1658911131924" displayName="Tabelle1658911131924" ref="C68:L85" totalsRowCount="1">
  <autoFilter ref="C68:L84" xr:uid="{8975243D-86E5-42C6-96DD-AF08FFF7F179}"/>
  <sortState xmlns:xlrd2="http://schemas.microsoft.com/office/spreadsheetml/2017/richdata2" ref="C69:L84">
    <sortCondition ref="C68:C84"/>
  </sortState>
  <tableColumns count="10">
    <tableColumn id="3" xr3:uid="{92FCF6CB-A0DB-41CA-A173-22505D2AD7D9}" name="Versuch"/>
    <tableColumn id="2" xr3:uid="{D1E44229-74E6-464A-B5DD-DBBDAA2984E8}" name="Laufzeit in sec" totalsRowFunction="average" dataDxfId="98" totalsRowDxfId="8"/>
    <tableColumn id="1" xr3:uid="{19B3FB4A-36B2-4F00-ACE1-57342D867D5E}" name="AUC-Score" totalsRowFunction="average" dataDxfId="97" totalsRowDxfId="7"/>
    <tableColumn id="4" xr3:uid="{B0B3B7B7-CBEE-4508-82EF-BDCF62374AA3}" name="Precision Score" totalsRowFunction="average" dataDxfId="96" totalsRowDxfId="6"/>
    <tableColumn id="5" xr3:uid="{2A747D0E-C842-4621-8C7A-07A36E11C4C3}" name="Recall score" totalsRowFunction="average" dataDxfId="95" totalsRowDxfId="5"/>
    <tableColumn id="6" xr3:uid="{D800CE3A-AC05-46FD-9A9C-143AEFA45D0A}" name="f1 score" totalsRowFunction="average" dataDxfId="94" totalsRowDxfId="4"/>
    <tableColumn id="7" xr3:uid="{639E61C4-D024-445A-AE11-DEB358FD9E44}" name="per class acc" totalsRowFunction="average" dataDxfId="93" totalsRowDxfId="3"/>
    <tableColumn id="12" xr3:uid="{89DA0E8A-E149-40B1-897B-1B0EB04E5FBA}" name="per class 2" totalsRowFunction="average" dataDxfId="92" totalsRowDxfId="2"/>
    <tableColumn id="8" xr3:uid="{7A8319AA-FE22-400F-9144-841A2FB10869}" name="FAR" totalsRowFunction="average" dataDxfId="91" totalsRowDxfId="1"/>
    <tableColumn id="9" xr3:uid="{A1DC091F-A3F1-4CCA-8F4A-1F4CC7C57CD4}" name="distance heaven" totalsRowFunction="average" dataDxfId="90" totalsRow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12B5E1-7EA2-4568-84AB-E0F5A1B1B8A5}" name="Tabelle16571012" displayName="Tabelle16571012" ref="C5:K22" totalsRowCount="1">
  <autoFilter ref="C5:K21" xr:uid="{A112B5E1-7EA2-4568-84AB-E0F5A1B1B8A5}"/>
  <tableColumns count="9">
    <tableColumn id="3" xr3:uid="{6648D6AF-6337-4A3C-9900-89D4317EDC0D}" name="Versuch"/>
    <tableColumn id="2" xr3:uid="{3F3DDC3C-7791-483B-8A44-36C4A9DF7B70}" name="Laufzeit in sec" totalsRowFunction="average" dataDxfId="139" totalsRowDxfId="138"/>
    <tableColumn id="1" xr3:uid="{9642E170-2245-43F9-A2F6-A1CA0CDFD243}" name="AUC-Score" totalsRowFunction="average" dataDxfId="137" totalsRowDxfId="136"/>
    <tableColumn id="4" xr3:uid="{6EA155D4-0A99-4CA0-A4F2-303A923B7DF4}" name="Precision Score" dataDxfId="135" totalsRowDxfId="134"/>
    <tableColumn id="5" xr3:uid="{F8B13F4B-DE8F-4B6A-A7BE-D2E043A1BC14}" name="Recall score" totalsRowFunction="average" dataDxfId="133" totalsRowDxfId="132"/>
    <tableColumn id="6" xr3:uid="{76DDAF4E-BF91-40E0-A1BD-638109E9B473}" name="f1 score" totalsRowFunction="average" dataDxfId="131" totalsRowDxfId="130"/>
    <tableColumn id="7" xr3:uid="{3398927E-D2CE-4BD2-9550-88C20FFC4FE3}" name="per class acc" totalsRowLabel="=TEILERGEBNIS(101;" dataDxfId="129" totalsRowDxfId="128"/>
    <tableColumn id="8" xr3:uid="{5DBDB943-9E7B-4B9A-9C61-0D5AE750D195}" name="FAR" totalsRowFunction="average" dataDxfId="127" totalsRowDxfId="126"/>
    <tableColumn id="9" xr3:uid="{03D71661-6D7B-4D20-84D7-73B79DDC4E94}" name="distance heaven" totalsRowFunction="average" dataDxfId="125" totalsRowDxfId="1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194D1F-6EFC-47CA-885A-83EE6654F8BF}" name="Tabelle165891113" displayName="Tabelle165891113" ref="C26:K43" totalsRowCount="1">
  <autoFilter ref="C26:K42" xr:uid="{22194D1F-6EFC-47CA-885A-83EE6654F8BF}"/>
  <tableColumns count="9">
    <tableColumn id="3" xr3:uid="{A55F79AE-4740-4E57-8832-343F9FE14A76}" name="Versuch"/>
    <tableColumn id="2" xr3:uid="{02011C4E-3437-4658-B4ED-4073313D51BC}" name="Laufzeit in sec" totalsRowFunction="average" dataDxfId="123" totalsRowDxfId="122"/>
    <tableColumn id="1" xr3:uid="{9EA728E2-861B-4799-AA80-249F512CD64E}" name="AUC-Score" totalsRowFunction="average" dataDxfId="121" totalsRowDxfId="120"/>
    <tableColumn id="4" xr3:uid="{6303E63A-A0AE-4D75-B4AB-7B04A6C1614C}" name="Precision Score" totalsRowFunction="average" dataDxfId="119" totalsRowDxfId="118"/>
    <tableColumn id="5" xr3:uid="{15DB90BB-7E9F-45B5-B5E3-470343E235FD}" name="Recall score" totalsRowFunction="average" dataDxfId="117" totalsRowDxfId="116"/>
    <tableColumn id="6" xr3:uid="{130FB46D-7ABA-473C-A812-BEC05720AA53}" name="f1 score" totalsRowFunction="average" dataDxfId="115" totalsRowDxfId="114"/>
    <tableColumn id="7" xr3:uid="{9D706624-4F9A-4810-9022-4930785A1170}" name="per class acc" totalsRowFunction="average" dataDxfId="113" totalsRowDxfId="112"/>
    <tableColumn id="8" xr3:uid="{4D073391-3BB8-4581-86BA-B79585F71489}" name="FAR" totalsRowFunction="average" dataDxfId="111" totalsRowDxfId="110"/>
    <tableColumn id="9" xr3:uid="{D424A740-116D-42F3-BE39-DF7B8E7357D9}" name="distance heaven" totalsRowFunction="average" dataDxfId="109" totalsRow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94F529-ADB0-4EB1-9F2F-180060C25B1F}" name="Tabelle19" displayName="Tabelle19" ref="C73:F77" totalsRowShown="0">
  <autoFilter ref="C73:F77" xr:uid="{C494F529-ADB0-4EB1-9F2F-180060C25B1F}"/>
  <tableColumns count="4">
    <tableColumn id="1" xr3:uid="{A65A4FE5-699E-4AF0-B0A3-09ECCADE052B}" name="Versuch"/>
    <tableColumn id="2" xr3:uid="{76C17FCE-4C54-43B3-8868-BAAAFCDE4315}" name="U-Test"/>
    <tableColumn id="3" xr3:uid="{25EB1488-5766-44EF-ABB8-E62E70074A26}" name="Cohen's D"/>
    <tableColumn id="4" xr3:uid="{91770B07-0211-479D-AAFC-91C7D328A022}" name="Levene Tes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66CFBC-9BD9-472B-BF12-CD0D50D393AF}" name="Tabelle1922" displayName="Tabelle1922" ref="C81:F85" totalsRowShown="0">
  <autoFilter ref="C81:F85" xr:uid="{7866CFBC-9BD9-472B-BF12-CD0D50D393AF}"/>
  <tableColumns count="4">
    <tableColumn id="1" xr3:uid="{AA71297B-8B2E-4629-9C56-7D0C3160B85C}" name="Versuch"/>
    <tableColumn id="2" xr3:uid="{2C3FA1B6-B849-483E-BC33-5A64CCB07FCA}" name="U-Test"/>
    <tableColumn id="3" xr3:uid="{A16BB2A0-D621-461E-BF0D-753D3CEAF275}" name="Cohen's D"/>
    <tableColumn id="4" xr3:uid="{9E7B4555-B4DF-44B5-A292-524DAA39BD86}" name="Levene Tes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CC427A9-A9B1-4A78-B860-49E1FC3DBF15}" name="Tabelle33" displayName="Tabelle33" ref="I73:J80" totalsRowShown="0">
  <autoFilter ref="I73:J80" xr:uid="{CCC427A9-A9B1-4A78-B860-49E1FC3DBF15}"/>
  <tableColumns count="2">
    <tableColumn id="1" xr3:uid="{4130CD52-C9BB-4EB2-ACBA-44602725B3C1}" name="Methode"/>
    <tableColumn id="2" xr3:uid="{9289C393-61A1-4AD4-AC0A-BA4656656A18}" name="Standardabweichung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E44C6D7-5AC3-415C-8DD7-A76B5E503D56}" name="Tabelle3335" displayName="Tabelle3335" ref="I84:J91" totalsRowShown="0">
  <autoFilter ref="I84:J91" xr:uid="{8E44C6D7-5AC3-415C-8DD7-A76B5E503D56}"/>
  <tableColumns count="2">
    <tableColumn id="1" xr3:uid="{D9610AE2-12FF-496A-904D-283293EE2F79}" name="Methode"/>
    <tableColumn id="2" xr3:uid="{2760EF9E-105B-47CD-AB3A-23517B86FDF4}" name="Standardabweich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792006-403A-4C73-941B-2078D6505186}" name="Tabelle1657101218" displayName="Tabelle1657101218" ref="B3:K20" totalsRowCount="1">
  <autoFilter ref="B3:K19" xr:uid="{82792006-403A-4C73-941B-2078D6505186}"/>
  <sortState xmlns:xlrd2="http://schemas.microsoft.com/office/spreadsheetml/2017/richdata2" ref="B4:K19">
    <sortCondition ref="I3:I19"/>
  </sortState>
  <tableColumns count="10">
    <tableColumn id="3" xr3:uid="{A6C6205A-CE19-47C3-BDA5-05B38DC93CB4}" name="Versuch"/>
    <tableColumn id="2" xr3:uid="{581E42ED-54DD-44EF-80E8-2EF5E2F438E0}" name="Laufzeit in sec" totalsRowFunction="average" dataDxfId="89" totalsRowDxfId="88"/>
    <tableColumn id="1" xr3:uid="{F9EAD323-D983-475E-8D5A-69A0CBF0F859}" name="AUC-Score" totalsRowFunction="average" dataDxfId="87" totalsRowDxfId="86"/>
    <tableColumn id="4" xr3:uid="{71F31569-FD31-4F4A-B98E-E1C345AF6B58}" name="Precision Score" totalsRowFunction="average" dataDxfId="85" totalsRowDxfId="84"/>
    <tableColumn id="5" xr3:uid="{8DC175D7-32E0-4B2C-BF7F-5024CD2D943B}" name="Recall score" totalsRowFunction="average" dataDxfId="83" totalsRowDxfId="82"/>
    <tableColumn id="6" xr3:uid="{1A40F296-D737-40EE-B599-9BE56CD46AD8}" name="f1 score" totalsRowFunction="average" dataDxfId="81" totalsRowDxfId="80"/>
    <tableColumn id="7" xr3:uid="{FE35C566-7530-46A8-A5C0-CA776BBAC054}" name="per class acc" totalsRowFunction="average" dataDxfId="79" totalsRowDxfId="78"/>
    <tableColumn id="11" xr3:uid="{1B28C758-FF60-43EE-8C7F-6F3659A6AF43}" name="per class acc 2" totalsRowFunction="average" dataDxfId="77" totalsRowDxfId="76"/>
    <tableColumn id="8" xr3:uid="{A4BD2A3B-5532-4BC4-B10A-963A9A1F7DE7}" name="FAR" totalsRowFunction="average" dataDxfId="75" totalsRowDxfId="74"/>
    <tableColumn id="9" xr3:uid="{7BCD640B-0775-4B7B-B7A4-5F975B39E12A}" name="distance heaven" totalsRowFunction="average" dataDxfId="73" totalsRow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A7A9C0-260E-4C18-B87B-0DE0C4EDDA92}" name="Tabelle1658" displayName="Tabelle1658" ref="E26:N43" totalsRowCount="1">
  <autoFilter ref="E26:N42" xr:uid="{81A7A9C0-260E-4C18-B87B-0DE0C4EDDA92}"/>
  <sortState xmlns:xlrd2="http://schemas.microsoft.com/office/spreadsheetml/2017/richdata2" ref="E27:N42">
    <sortCondition ref="G26:G42"/>
  </sortState>
  <tableColumns count="10">
    <tableColumn id="3" xr3:uid="{7FAD2978-D5F3-47F6-9369-CCDBBB475893}" name="Versuch"/>
    <tableColumn id="2" xr3:uid="{5A7883C7-2848-441F-B0DC-875E9AA1C1D1}" name="Laufzeit in sec" totalsRowFunction="average" dataDxfId="293" totalsRowDxfId="292"/>
    <tableColumn id="1" xr3:uid="{3F9DDB4D-888D-4B92-A1F6-15430526AF2C}" name="AUC-Score" totalsRowFunction="average" dataDxfId="291" totalsRowDxfId="290"/>
    <tableColumn id="4" xr3:uid="{0EFCBF93-5812-4349-BC34-D0E068B33D46}" name="Precision Score" totalsRowFunction="average" dataDxfId="289" totalsRowDxfId="288"/>
    <tableColumn id="5" xr3:uid="{4BD2F223-CD21-4488-A56D-C32E7A012749}" name="Recall score" totalsRowFunction="average" dataDxfId="287" totalsRowDxfId="286"/>
    <tableColumn id="6" xr3:uid="{170AAA0C-1472-49F5-9741-C2E37B595AAA}" name="f1 score" totalsRowFunction="average" dataDxfId="285" totalsRowDxfId="284"/>
    <tableColumn id="7" xr3:uid="{B08135DA-7A93-4B2A-9EC8-693C1033D9EE}" name="per class acc 1" totalsRowFunction="average" dataDxfId="283" totalsRowDxfId="282"/>
    <tableColumn id="10" xr3:uid="{411AA0FA-2785-490A-950E-8FD546AB4056}" name="per class acc 2" totalsRowFunction="average" dataDxfId="281" totalsRowDxfId="280"/>
    <tableColumn id="8" xr3:uid="{D18AE2C3-A4C6-4AB7-B45A-DED46A1E9F60}" name="FAR" totalsRowFunction="average" dataDxfId="279" totalsRowDxfId="278"/>
    <tableColumn id="9" xr3:uid="{64B69EBD-1069-4179-B2A4-DE1EF954FD91}" name="distance heaven" totalsRowFunction="average" dataDxfId="277" totalsRowDxfId="2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F00BDE6-BDE4-412A-8BDB-5A5231A3A32E}" name="Tabelle16589111319" displayName="Tabelle16589111319" ref="B24:K41" totalsRowCount="1">
  <autoFilter ref="B24:K40" xr:uid="{CF00BDE6-BDE4-412A-8BDB-5A5231A3A32E}"/>
  <sortState xmlns:xlrd2="http://schemas.microsoft.com/office/spreadsheetml/2017/richdata2" ref="B25:K40">
    <sortCondition ref="D24:D40"/>
  </sortState>
  <tableColumns count="10">
    <tableColumn id="3" xr3:uid="{2BF7CFC7-BCCE-4E55-BE23-20F69CABEB2C}" name="Versuch"/>
    <tableColumn id="2" xr3:uid="{8B9A6718-E123-4110-AFA0-20EB928BE481}" name="Laufzeit in sec" totalsRowFunction="average" dataDxfId="71" totalsRowDxfId="70"/>
    <tableColumn id="1" xr3:uid="{87C592C9-AD7D-4ECF-96B1-6789C6F02D1A}" name="AUC-Score" totalsRowFunction="average" dataDxfId="69" totalsRowDxfId="68"/>
    <tableColumn id="4" xr3:uid="{86990F29-7436-4F73-B330-8ADCBF187229}" name="Precision Score" totalsRowFunction="average" dataDxfId="67" totalsRowDxfId="66"/>
    <tableColumn id="5" xr3:uid="{F85CB061-60FC-4567-9CF5-3E80B9963279}" name="Recall score" totalsRowFunction="average" dataDxfId="65" totalsRowDxfId="64"/>
    <tableColumn id="6" xr3:uid="{BFAD7677-7CFC-4455-837C-57B32B651E89}" name="f1 score" totalsRowFunction="average" dataDxfId="63" totalsRowDxfId="62"/>
    <tableColumn id="7" xr3:uid="{8C5677C9-DECC-4231-87E7-F4016FD35019}" name="per class acc" totalsRowFunction="average" dataDxfId="61" totalsRowDxfId="60"/>
    <tableColumn id="12" xr3:uid="{8AD69CD7-495E-4870-A756-FF059812257E}" name="per class 2" totalsRowFunction="average" dataDxfId="59" totalsRowDxfId="58"/>
    <tableColumn id="8" xr3:uid="{98BDA722-F0A8-44F6-B790-9C3741DE53D7}" name="FAR" totalsRowFunction="average" dataDxfId="57" totalsRowDxfId="56"/>
    <tableColumn id="9" xr3:uid="{C50310EB-7FD4-4459-A60F-39F957BE00D3}" name="distance heaven" totalsRowFunction="average" dataDxfId="55" totalsRowDxfId="5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8B1B563-0E6B-47DD-B40A-A958F7C26221}" name="Tabelle16571012182126" displayName="Tabelle16571012182126" ref="C4:L21" totalsRowCount="1">
  <autoFilter ref="C4:L20" xr:uid="{66F23023-5D0A-4ED9-ABEE-BABB6DDD611E}"/>
  <sortState xmlns:xlrd2="http://schemas.microsoft.com/office/spreadsheetml/2017/richdata2" ref="C5:L20">
    <sortCondition ref="J4:J20"/>
  </sortState>
  <tableColumns count="10">
    <tableColumn id="3" xr3:uid="{DF8EEC07-2A9B-4761-A9C1-D54835CE27D6}" name="Versuch"/>
    <tableColumn id="2" xr3:uid="{7B607DB3-574F-40F7-B17C-4438725D7808}" name="Laufzeit in sec" totalsRowFunction="average" dataDxfId="53" totalsRowDxfId="52"/>
    <tableColumn id="1" xr3:uid="{1476EFCE-F497-4C00-9845-0C1CFF89725A}" name="AUC-Score" totalsRowFunction="average" dataDxfId="51" totalsRowDxfId="50"/>
    <tableColumn id="4" xr3:uid="{F5EB8FDB-7A77-4965-B5CE-82ECF51590D2}" name="Precision Score" totalsRowFunction="average" dataDxfId="49" totalsRowDxfId="48"/>
    <tableColumn id="5" xr3:uid="{68BB6FBE-A4AC-4486-B2A1-8557101AE7B4}" name="Recall score" totalsRowFunction="average" dataDxfId="47" totalsRowDxfId="46"/>
    <tableColumn id="6" xr3:uid="{2F747713-783F-4B7A-BA22-CB8A235746B0}" name="f1 score" totalsRowFunction="average" dataDxfId="45" totalsRowDxfId="44"/>
    <tableColumn id="7" xr3:uid="{93F65979-C623-4C90-B91B-17BD12F28EEA}" name="per class acc" totalsRowFunction="average" dataDxfId="43" totalsRowDxfId="42"/>
    <tableColumn id="11" xr3:uid="{4E841678-2623-475A-8742-A2B3DE37BE3C}" name="per class acc 2" totalsRowFunction="average" dataDxfId="41" totalsRowDxfId="40"/>
    <tableColumn id="8" xr3:uid="{1F63FDBF-CEE6-4612-A072-BEA0F46F46C9}" name="FAR" totalsRowFunction="average" dataDxfId="39" totalsRowDxfId="38"/>
    <tableColumn id="9" xr3:uid="{4FFB0580-8479-408A-8F43-96EC73788238}" name="distance heaven" totalsRowFunction="average" dataDxfId="37" totalsRowDxfId="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A35E304-EF46-40EC-BB37-0EDADA79D892}" name="Tabelle165891113192527" displayName="Tabelle165891113192527" ref="C25:L42" totalsRowCount="1">
  <autoFilter ref="C25:L41" xr:uid="{264BA957-7CE8-49B5-8FD6-8AEE5FFAB501}"/>
  <sortState xmlns:xlrd2="http://schemas.microsoft.com/office/spreadsheetml/2017/richdata2" ref="C26:L41">
    <sortCondition ref="J25:J41"/>
  </sortState>
  <tableColumns count="10">
    <tableColumn id="3" xr3:uid="{99FE8827-39F1-4114-B3B1-B72591B4D57A}" name="Versuch"/>
    <tableColumn id="2" xr3:uid="{2E6D8359-A608-44C9-B427-9DD0DC2C4E63}" name="Laufzeit in sec" totalsRowFunction="average" dataDxfId="35" totalsRowDxfId="34"/>
    <tableColumn id="1" xr3:uid="{1C79D43D-290C-466E-B8AD-8D0E4722EC88}" name="AUC-Score" totalsRowFunction="average" dataDxfId="33" totalsRowDxfId="32"/>
    <tableColumn id="4" xr3:uid="{D954ED55-838A-4FB8-BDB9-12090829CE5A}" name="Precision Score" totalsRowFunction="average" dataDxfId="31" totalsRowDxfId="30"/>
    <tableColumn id="5" xr3:uid="{142B0B55-1724-41E8-BFD9-D405B1A93A3A}" name="Recall score" totalsRowFunction="average" dataDxfId="29" totalsRowDxfId="28"/>
    <tableColumn id="6" xr3:uid="{B0044C6B-966F-4A4D-9681-8B22079C4800}" name="f1 score" totalsRowFunction="average" dataDxfId="27" totalsRowDxfId="26"/>
    <tableColumn id="7" xr3:uid="{DC702124-2D7A-4CE9-BC60-7D45BF62F39F}" name="per class acc" totalsRowFunction="average" dataDxfId="25" totalsRowDxfId="24"/>
    <tableColumn id="12" xr3:uid="{1F3CB066-E0B7-4FF0-B578-AD496141B9AE}" name="per class 2" totalsRowFunction="average" dataDxfId="23" totalsRowDxfId="22"/>
    <tableColumn id="8" xr3:uid="{8DF84A84-8B0B-4D49-8E54-D3EFDC931968}" name="FAR" totalsRowFunction="average" dataDxfId="21" totalsRowDxfId="20"/>
    <tableColumn id="9" xr3:uid="{BEB4843C-E086-44F0-A465-00A6A827D68E}" name="distance heaven" totalsRowFunction="average" dataDxfId="19" totalsRowDxfId="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40D9B12-9BB3-4826-99C2-3E092183A731}" name="Tabelle31" displayName="Tabelle31" ref="C53:D59" totalsRowShown="0">
  <autoFilter ref="C53:D59" xr:uid="{F40D9B12-9BB3-4826-99C2-3E092183A731}"/>
  <tableColumns count="2">
    <tableColumn id="1" xr3:uid="{EC678045-DFA0-468D-963D-B453D99907FA}" name="Versuch"/>
    <tableColumn id="2" xr3:uid="{F0DD6D24-2D2F-4CE7-B3C6-3FE24A172F4E}" name="Avg Runti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BF4714F-2439-4A03-8001-FA995BD08E93}" name="Tabelle3133" displayName="Tabelle3133" ref="C63:D69" totalsRowShown="0">
  <autoFilter ref="C63:D69" xr:uid="{1BF4714F-2439-4A03-8001-FA995BD08E93}"/>
  <tableColumns count="2">
    <tableColumn id="1" xr3:uid="{6129E09E-E939-4BB0-9E52-ED6397969D05}" name="Versuch"/>
    <tableColumn id="2" xr3:uid="{B6C2AA30-19E2-468C-AC54-EDD6DFF780DB}" name="Avg Run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B46DE1-BA31-4EFB-8B6B-965F7CF01B12}" name="Tabelle1657" displayName="Tabelle1657" ref="D17:M34" totalsRowCount="1">
  <autoFilter ref="D17:M33" xr:uid="{C3B46DE1-BA31-4EFB-8B6B-965F7CF01B12}"/>
  <sortState xmlns:xlrd2="http://schemas.microsoft.com/office/spreadsheetml/2017/richdata2" ref="D18:M33">
    <sortCondition ref="F17:F33"/>
  </sortState>
  <tableColumns count="10">
    <tableColumn id="3" xr3:uid="{BD48E8F3-054C-4C5F-9AEC-2D6C20C54C65}" name="Versuch"/>
    <tableColumn id="2" xr3:uid="{236AF171-4984-487E-8491-0E8AB92F806F}" name="Laufzeit in sec" totalsRowFunction="average" dataDxfId="275" totalsRowDxfId="274"/>
    <tableColumn id="1" xr3:uid="{46EDCB8B-8AF4-41D5-9F3C-AF595E10143F}" name="AUC-Score" totalsRowFunction="average" dataDxfId="273" totalsRowDxfId="272"/>
    <tableColumn id="4" xr3:uid="{4A7128CF-8E8E-4589-B325-02BBA39FEFD6}" name="Precision Score" dataDxfId="271" totalsRowDxfId="270"/>
    <tableColumn id="5" xr3:uid="{F7D070A4-0142-4F3E-B0F1-5553976B6B02}" name="Recall score" totalsRowFunction="average" dataDxfId="269" totalsRowDxfId="268"/>
    <tableColumn id="6" xr3:uid="{D03408F4-506F-4214-9A80-A1A08C9B4DBA}" name="f1 score" totalsRowFunction="average" dataDxfId="267" totalsRowDxfId="266"/>
    <tableColumn id="7" xr3:uid="{7894FFB0-4149-485A-9340-D4201B2AA6C5}" name="per class acc 1" totalsRowFunction="average" dataDxfId="265" totalsRowDxfId="264"/>
    <tableColumn id="10" xr3:uid="{3142908E-92C1-4AF8-9B30-202BC382EE04}" name="per class acc 2" totalsRowFunction="average" dataDxfId="263" totalsRowDxfId="262"/>
    <tableColumn id="8" xr3:uid="{ADE42288-C83B-46A2-9502-765445644091}" name="FAR" totalsRowFunction="average" dataDxfId="261" totalsRowDxfId="260"/>
    <tableColumn id="9" xr3:uid="{8DAE647C-1E37-4A6E-A37F-86A7B8426C33}" name="distance heaven" totalsRowFunction="average" dataDxfId="259" totalsRowDxfId="2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1F7195-5A91-4222-8666-94DDD713C6F1}" name="Tabelle16589" displayName="Tabelle16589" ref="D38:M55" totalsRowCount="1">
  <autoFilter ref="D38:M54" xr:uid="{291F7195-5A91-4222-8666-94DDD713C6F1}"/>
  <sortState xmlns:xlrd2="http://schemas.microsoft.com/office/spreadsheetml/2017/richdata2" ref="D39:M54">
    <sortCondition ref="K38:K54"/>
  </sortState>
  <tableColumns count="10">
    <tableColumn id="3" xr3:uid="{03F3F4D8-BCE2-45B5-9E6F-41D59690C3C3}" name="Versuch"/>
    <tableColumn id="2" xr3:uid="{8551DF3D-8F65-4343-BB75-D6DAE5D8EF26}" name="Laufzeit in sec" totalsRowFunction="average" dataDxfId="257" totalsRowDxfId="256"/>
    <tableColumn id="1" xr3:uid="{23531A46-02E4-42DD-B418-866DD12F7B4C}" name="AUC-Score" totalsRowFunction="average" dataDxfId="255" totalsRowDxfId="254"/>
    <tableColumn id="4" xr3:uid="{C6731649-BE84-4A9E-B1D0-1CCE4B6F9EB2}" name="Precision Score" totalsRowFunction="average" dataDxfId="253" totalsRowDxfId="252"/>
    <tableColumn id="5" xr3:uid="{236DF153-59BA-4A55-9393-763488EF69B9}" name="Recall score" totalsRowFunction="average" dataDxfId="251" totalsRowDxfId="250"/>
    <tableColumn id="6" xr3:uid="{155774DE-3F00-4440-A471-8C9BF95EA6DE}" name="f1 score" totalsRowFunction="average" dataDxfId="249" totalsRowDxfId="248"/>
    <tableColumn id="7" xr3:uid="{EF506208-2AAB-46A4-95A9-296487E5F46B}" name="per class acc 1" totalsRowFunction="average" dataDxfId="247" totalsRowDxfId="246"/>
    <tableColumn id="10" xr3:uid="{ACE420CE-1679-49BD-A47B-C1B3768190D1}" name="per class acc 2" totalsRowFunction="average" dataDxfId="245" totalsRowDxfId="244"/>
    <tableColumn id="8" xr3:uid="{1B8B6576-BD81-406A-AD80-2904ADD9E0E6}" name="FAR" totalsRowFunction="average" dataDxfId="243" totalsRowDxfId="242"/>
    <tableColumn id="9" xr3:uid="{B9522C8B-EE5B-47F9-A22A-36FC9AB49460}" name="distance heaven" totalsRowFunction="average" dataDxfId="241" totalsRowDxfId="2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FBDFB6-3C86-439D-BAE3-BCE3E4D64758}" name="Tabelle1657101416" displayName="Tabelle1657101416" ref="D60:L77" totalsRowCount="1">
  <autoFilter ref="D60:L76" xr:uid="{79FBDFB6-3C86-439D-BAE3-BCE3E4D64758}"/>
  <tableColumns count="9">
    <tableColumn id="3" xr3:uid="{C8224DB3-9FE0-41B7-8691-E79195F34B31}" name="Versuch"/>
    <tableColumn id="2" xr3:uid="{F28234E3-6BEC-4B0B-9E28-540295CA0EBF}" name="Laufzeit in sec" totalsRowFunction="average" dataDxfId="239" totalsRowDxfId="238"/>
    <tableColumn id="1" xr3:uid="{775EF88C-8A03-42A7-A044-14D59DAF52F5}" name="AUC-Score" totalsRowFunction="average" dataDxfId="237" totalsRowDxfId="236"/>
    <tableColumn id="4" xr3:uid="{A3F9C38F-65FA-4C5C-B089-FDC530800040}" name="Precision Score" dataDxfId="235" totalsRowDxfId="234"/>
    <tableColumn id="5" xr3:uid="{9908B1B2-5BEB-4467-A97C-34E7E55C9E75}" name="Recall score" totalsRowFunction="average" dataDxfId="233" totalsRowDxfId="232"/>
    <tableColumn id="6" xr3:uid="{E006978F-8EC0-4054-8A1E-CAD518A1FFFC}" name="f1 score" totalsRowFunction="average" dataDxfId="231" totalsRowDxfId="230"/>
    <tableColumn id="7" xr3:uid="{70EECF7A-7C87-405A-B4F0-C11BFD506DF0}" name="per class acc" totalsRowLabel="=TEILERGEBNIS(101;" dataDxfId="229" totalsRowDxfId="228"/>
    <tableColumn id="8" xr3:uid="{DFABF9DD-BC32-4C6E-9A51-55303457FE91}" name="FAR" totalsRowFunction="average" dataDxfId="227" totalsRowDxfId="226"/>
    <tableColumn id="9" xr3:uid="{72E317E2-21B5-43C9-8E2D-698A72E839D7}" name="distance heaven" totalsRowFunction="average" dataDxfId="225" totalsRowDxfId="2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1D9635-CF86-4F26-97A8-0574CC699C74}" name="Tabelle16589111517" displayName="Tabelle16589111517" ref="D81:L98" totalsRowCount="1">
  <autoFilter ref="D81:L97" xr:uid="{AD1D9635-CF86-4F26-97A8-0574CC699C74}"/>
  <tableColumns count="9">
    <tableColumn id="3" xr3:uid="{52691FC8-352C-4BC6-8A5A-15199B7C9DA0}" name="Versuch"/>
    <tableColumn id="2" xr3:uid="{DE9110FC-580E-4E7D-ACBB-016651EE6682}" name="Laufzeit in sec" totalsRowFunction="average" dataDxfId="223" totalsRowDxfId="222"/>
    <tableColumn id="1" xr3:uid="{73823106-50D7-4B2A-A2DA-CF8373244E6C}" name="AUC-Score" totalsRowFunction="average" dataDxfId="221" totalsRowDxfId="220"/>
    <tableColumn id="4" xr3:uid="{36D4BBF0-F5A5-4B43-9422-5B08EA9CAD3A}" name="Precision Score" totalsRowFunction="average" dataDxfId="219" totalsRowDxfId="218"/>
    <tableColumn id="5" xr3:uid="{A33BF6A3-9FFC-40B9-93DB-35C3BF6C09F9}" name="Recall score" totalsRowFunction="average" dataDxfId="217" totalsRowDxfId="216"/>
    <tableColumn id="6" xr3:uid="{27F17B76-69D4-4EE5-8D58-A08909718A55}" name="f1 score" totalsRowFunction="average" dataDxfId="215" totalsRowDxfId="214"/>
    <tableColumn id="7" xr3:uid="{EC0DB6A5-60B8-4F4A-83CC-225F8EC48943}" name="per class acc" totalsRowFunction="average" dataDxfId="213" totalsRowDxfId="212"/>
    <tableColumn id="8" xr3:uid="{6412FA09-2D16-400F-9DEE-C1DE2E3C1323}" name="FAR" totalsRowFunction="average" dataDxfId="211" totalsRowDxfId="210"/>
    <tableColumn id="9" xr3:uid="{731BDF93-F146-42FE-9155-95DA11751701}" name="distance heaven" totalsRowFunction="average" dataDxfId="209" totalsRowDxfId="2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1F3C7D-3B17-4407-BCBB-AFD0AF9E8649}" name="Tabelle165710" displayName="Tabelle165710" ref="D10:M27" totalsRowCount="1">
  <autoFilter ref="D10:M26" xr:uid="{2D1F3C7D-3B17-4407-BCBB-AFD0AF9E8649}"/>
  <sortState xmlns:xlrd2="http://schemas.microsoft.com/office/spreadsheetml/2017/richdata2" ref="D11:M26">
    <sortCondition ref="K10:K26"/>
  </sortState>
  <tableColumns count="10">
    <tableColumn id="3" xr3:uid="{C3FEA5B2-DF74-4975-85DE-28BE3918F965}" name="Versuch"/>
    <tableColumn id="2" xr3:uid="{9653924B-7A49-4C90-8996-CB51BE0044FA}" name="Laufzeit in sec" totalsRowFunction="average" dataDxfId="207" totalsRowDxfId="206"/>
    <tableColumn id="1" xr3:uid="{0D804ADF-DC52-48A2-B0F3-ED9C41F3A059}" name="AUC-Score" totalsRowFunction="average" dataDxfId="205" totalsRowDxfId="204"/>
    <tableColumn id="4" xr3:uid="{DFF2ED94-1291-476A-AC05-B997615C9CA2}" name="Precision Score" totalsRowFunction="average" dataDxfId="203" totalsRowDxfId="202"/>
    <tableColumn id="5" xr3:uid="{06CDEF78-A9E2-4A43-BF4D-E838FA41C418}" name="Recall score" totalsRowFunction="average" dataDxfId="201" totalsRowDxfId="200"/>
    <tableColumn id="6" xr3:uid="{30E7B690-8D05-4892-99C6-DF356FFAE66E}" name="f1 score" totalsRowFunction="average" dataDxfId="199" totalsRowDxfId="198"/>
    <tableColumn id="7" xr3:uid="{F9835227-E1B8-48FE-836A-C4BAE235CA02}" name="per class acc" totalsRowFunction="average" dataDxfId="197" totalsRowDxfId="196"/>
    <tableColumn id="10" xr3:uid="{E3F319C3-2672-4915-A20D-F79EC10BC10F}" name="per class acc 2" totalsRowFunction="average" dataDxfId="195" totalsRowDxfId="194"/>
    <tableColumn id="8" xr3:uid="{A819FA22-17AC-484A-A7B3-0D3E43B481EC}" name="FAR" totalsRowFunction="average" dataDxfId="193" totalsRowDxfId="192"/>
    <tableColumn id="9" xr3:uid="{27D72999-6081-42DD-BBF2-168CF87FEC0D}" name="distance heaven" totalsRowFunction="average" dataDxfId="191" totalsRow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6016D7-EBA3-41AA-8434-A19F8812AF5B}" name="Tabelle1658911" displayName="Tabelle1658911" ref="D31:M48" totalsRowCount="1">
  <autoFilter ref="D31:M47" xr:uid="{BC6016D7-EBA3-41AA-8434-A19F8812AF5B}"/>
  <sortState xmlns:xlrd2="http://schemas.microsoft.com/office/spreadsheetml/2017/richdata2" ref="D32:M47">
    <sortCondition ref="K31:K47"/>
  </sortState>
  <tableColumns count="10">
    <tableColumn id="3" xr3:uid="{11F8B4B2-D9FB-4EE0-9F35-9D3DC819A166}" name="Versuch"/>
    <tableColumn id="2" xr3:uid="{3523A6F4-3449-49EB-9E53-C992806FA321}" name="Laufzeit in sec" totalsRowFunction="average" dataDxfId="189" totalsRowDxfId="188"/>
    <tableColumn id="1" xr3:uid="{D6B5F2EA-26A2-4DAC-9B87-EA76F3DA192F}" name="AUC-Score" totalsRowFunction="average" dataDxfId="187" totalsRowDxfId="186"/>
    <tableColumn id="4" xr3:uid="{049C72A8-572A-40B5-8ED8-B0C3BE8424DD}" name="Precision Score" totalsRowFunction="average" dataDxfId="185" totalsRowDxfId="184"/>
    <tableColumn id="5" xr3:uid="{5683F1EA-C4DD-49FD-962E-70C374AF038C}" name="Recall score" totalsRowFunction="average" dataDxfId="183" totalsRowDxfId="182"/>
    <tableColumn id="6" xr3:uid="{F9910FBC-C476-4806-81CC-C20AEEF1CB8F}" name="f1 score" totalsRowFunction="average" dataDxfId="181" totalsRowDxfId="180"/>
    <tableColumn id="7" xr3:uid="{E23719F4-1C95-470F-BF15-D7B3318ED1AA}" name="per class acc 1" totalsRowFunction="average" dataDxfId="179" totalsRowDxfId="178"/>
    <tableColumn id="10" xr3:uid="{A432D62E-0B4F-4FCD-8453-7CF223AB36D3}" name="per class acc 2" totalsRowFunction="average" dataDxfId="177" totalsRowDxfId="176"/>
    <tableColumn id="8" xr3:uid="{E4D8F50F-63DA-4E61-8019-DB45557F61BD}" name="FAR" totalsRowFunction="average" dataDxfId="175" totalsRowDxfId="174"/>
    <tableColumn id="9" xr3:uid="{B63996F7-5F41-49C6-94E8-813C79A3C578}" name="distance heaven" totalsRowFunction="average" dataDxfId="173" totalsRow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314FB3C-1CE6-45F5-B44D-28922DCD7C3F}" name="Tabelle16571014" displayName="Tabelle16571014" ref="D53:L70" totalsRowCount="1">
  <autoFilter ref="D53:L69" xr:uid="{B314FB3C-1CE6-45F5-B44D-28922DCD7C3F}"/>
  <tableColumns count="9">
    <tableColumn id="3" xr3:uid="{505FF41C-8D84-4CD2-A032-E1B5404E6821}" name="Versuch"/>
    <tableColumn id="2" xr3:uid="{DA2E81D0-47BE-4A52-8D1B-0895D5764292}" name="Laufzeit in sec" totalsRowFunction="average" dataDxfId="171" totalsRowDxfId="170"/>
    <tableColumn id="1" xr3:uid="{7DE80DAF-530B-4F22-96A0-6E4B5A4402D1}" name="AUC-Score" totalsRowFunction="average" dataDxfId="169" totalsRowDxfId="168"/>
    <tableColumn id="4" xr3:uid="{C2E53674-0337-4C56-BBB6-1E2BDF102188}" name="Precision Score" dataDxfId="167" totalsRowDxfId="166"/>
    <tableColumn id="5" xr3:uid="{AD0CE3D9-6D75-4D52-9E33-E085A238FF6A}" name="Recall score" totalsRowFunction="average" dataDxfId="165" totalsRowDxfId="164"/>
    <tableColumn id="6" xr3:uid="{ABE556ED-AE06-4E50-94E6-9CE2D62AFA8D}" name="f1 score" totalsRowFunction="average" dataDxfId="163" totalsRowDxfId="162"/>
    <tableColumn id="7" xr3:uid="{A996C09B-BF44-4229-9267-1C435358E965}" name="per class acc" totalsRowLabel="=TEILERGEBNIS(101;" dataDxfId="161" totalsRowDxfId="160"/>
    <tableColumn id="8" xr3:uid="{D81CEEEE-3D3C-486F-973F-F569C1FE7620}" name="FAR" totalsRowFunction="average" dataDxfId="159" totalsRowDxfId="158"/>
    <tableColumn id="9" xr3:uid="{1C71B2B0-81D4-4C33-BAB4-A01D284BE4AE}" name="distance heaven" totalsRowFunction="average" dataDxfId="157" totalsRow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41C8-EA01-44F4-995E-45D415FC6260}">
  <dimension ref="B2:P122"/>
  <sheetViews>
    <sheetView workbookViewId="0">
      <selection activeCell="G100" sqref="G100"/>
    </sheetView>
  </sheetViews>
  <sheetFormatPr baseColWidth="10" defaultRowHeight="15" x14ac:dyDescent="0.25"/>
  <cols>
    <col min="4" max="4" width="8.28515625" customWidth="1"/>
    <col min="6" max="6" width="20" customWidth="1"/>
    <col min="7" max="7" width="26.140625" customWidth="1"/>
    <col min="8" max="8" width="25.5703125" customWidth="1"/>
    <col min="9" max="9" width="28.85546875" customWidth="1"/>
    <col min="10" max="10" width="26.28515625" customWidth="1"/>
    <col min="11" max="11" width="32" customWidth="1"/>
    <col min="12" max="12" width="25.42578125" customWidth="1"/>
    <col min="13" max="13" width="28.5703125" customWidth="1"/>
    <col min="14" max="14" width="26.140625" customWidth="1"/>
    <col min="15" max="15" width="28" customWidth="1"/>
  </cols>
  <sheetData>
    <row r="2" spans="2:16" x14ac:dyDescent="0.25">
      <c r="E2" t="s">
        <v>21</v>
      </c>
    </row>
    <row r="3" spans="2:16" x14ac:dyDescent="0.25">
      <c r="P3" s="2"/>
    </row>
    <row r="4" spans="2:16" x14ac:dyDescent="0.25">
      <c r="E4" t="s">
        <v>13</v>
      </c>
      <c r="P4" s="3"/>
    </row>
    <row r="5" spans="2:16" x14ac:dyDescent="0.25">
      <c r="E5" t="s">
        <v>1</v>
      </c>
      <c r="F5" t="s">
        <v>3</v>
      </c>
      <c r="G5" t="s">
        <v>0</v>
      </c>
      <c r="H5" t="s">
        <v>10</v>
      </c>
      <c r="I5" t="s">
        <v>7</v>
      </c>
      <c r="J5" t="s">
        <v>8</v>
      </c>
      <c r="K5" t="s">
        <v>97</v>
      </c>
      <c r="L5" t="s">
        <v>96</v>
      </c>
      <c r="M5" t="s">
        <v>11</v>
      </c>
      <c r="N5" t="s">
        <v>12</v>
      </c>
      <c r="P5" s="2"/>
    </row>
    <row r="6" spans="2:16" x14ac:dyDescent="0.25">
      <c r="B6" t="s">
        <v>6</v>
      </c>
      <c r="E6">
        <v>11</v>
      </c>
      <c r="F6" s="1">
        <v>563.33000000000004</v>
      </c>
      <c r="G6" s="4">
        <v>0.74093936465249099</v>
      </c>
      <c r="H6" s="4">
        <v>0.86356411154977297</v>
      </c>
      <c r="I6" s="4">
        <v>0.63335837716002996</v>
      </c>
      <c r="J6" s="4">
        <v>0.696401049038885</v>
      </c>
      <c r="K6" s="4">
        <v>0.61215752999999995</v>
      </c>
      <c r="L6" s="4">
        <v>0.78527606999999999</v>
      </c>
      <c r="M6" s="4">
        <v>0.38784246575342401</v>
      </c>
      <c r="N6" s="4">
        <v>0.37739094970628401</v>
      </c>
    </row>
    <row r="7" spans="2:16" x14ac:dyDescent="0.25">
      <c r="E7">
        <v>4</v>
      </c>
      <c r="F7" s="1">
        <v>566.62800000000004</v>
      </c>
      <c r="G7" s="4">
        <v>0.74084481899999999</v>
      </c>
      <c r="H7" s="4">
        <v>0.86228672525092798</v>
      </c>
      <c r="I7" s="4">
        <v>0.60555972952667103</v>
      </c>
      <c r="J7" s="4">
        <v>0.672648934718859</v>
      </c>
      <c r="K7" s="4">
        <v>0.57876711999999997</v>
      </c>
      <c r="L7" s="4">
        <v>0.79754601000000003</v>
      </c>
      <c r="M7" s="4">
        <v>0.42123287671232801</v>
      </c>
      <c r="N7" s="4">
        <v>0.408056530026426</v>
      </c>
    </row>
    <row r="8" spans="2:16" x14ac:dyDescent="0.25">
      <c r="E8">
        <v>8</v>
      </c>
      <c r="F8" s="1">
        <v>566.18100000000004</v>
      </c>
      <c r="G8" s="4">
        <v>0.74722140516009705</v>
      </c>
      <c r="H8" s="4">
        <v>0.86716779322216497</v>
      </c>
      <c r="I8" s="4">
        <v>0.62434259954921101</v>
      </c>
      <c r="J8" s="4">
        <v>0.68867941370213004</v>
      </c>
      <c r="K8" s="4">
        <v>0.59845890000000002</v>
      </c>
      <c r="L8" s="4">
        <v>0.80981594999999995</v>
      </c>
      <c r="M8" s="4">
        <v>0.40154109589041098</v>
      </c>
      <c r="N8" s="4">
        <v>0.38881469506843203</v>
      </c>
    </row>
    <row r="9" spans="2:16" x14ac:dyDescent="0.25">
      <c r="E9">
        <v>1</v>
      </c>
      <c r="F9" s="1">
        <v>563.46299999999997</v>
      </c>
      <c r="G9" s="4">
        <v>0.74345008000000001</v>
      </c>
      <c r="H9" s="4">
        <v>0.86700098316719398</v>
      </c>
      <c r="I9" s="4">
        <v>0.60330578512396604</v>
      </c>
      <c r="J9" s="4">
        <v>0.67046147267922596</v>
      </c>
      <c r="K9" s="4">
        <v>0.57277396999999997</v>
      </c>
      <c r="L9" s="4">
        <v>0.82208588999999999</v>
      </c>
      <c r="M9" s="4">
        <v>0.42722602739726001</v>
      </c>
      <c r="N9" s="4">
        <v>0.41224287659203801</v>
      </c>
    </row>
    <row r="10" spans="2:16" x14ac:dyDescent="0.25">
      <c r="E10">
        <v>2</v>
      </c>
      <c r="F10" s="1">
        <v>567.86800000000005</v>
      </c>
      <c r="G10" s="4">
        <v>0.744180183</v>
      </c>
      <c r="H10" s="4">
        <v>0.86644144009595003</v>
      </c>
      <c r="I10" s="4">
        <v>0.59879789631855695</v>
      </c>
      <c r="J10" s="4">
        <v>0.666521258957257</v>
      </c>
      <c r="K10" s="4">
        <v>0.56763699000000001</v>
      </c>
      <c r="L10" s="4">
        <v>0.82208588999999999</v>
      </c>
      <c r="M10" s="4">
        <v>0.43236301369863001</v>
      </c>
      <c r="N10" s="4">
        <v>0.417073676712506</v>
      </c>
    </row>
    <row r="11" spans="2:16" x14ac:dyDescent="0.25">
      <c r="E11">
        <v>10</v>
      </c>
      <c r="F11" s="1">
        <v>569.21799999999996</v>
      </c>
      <c r="G11" s="4">
        <v>0.74345007983864098</v>
      </c>
      <c r="H11" s="4">
        <v>0.87279784183486797</v>
      </c>
      <c r="I11" s="4">
        <v>0.598046581517655</v>
      </c>
      <c r="J11" s="4">
        <v>0.66550047007073598</v>
      </c>
      <c r="K11" s="4">
        <v>0.5625</v>
      </c>
      <c r="L11" s="4">
        <v>0.85276074000000002</v>
      </c>
      <c r="M11" s="4">
        <v>0.4375</v>
      </c>
      <c r="N11" s="4">
        <v>0.42010284492588301</v>
      </c>
    </row>
    <row r="12" spans="2:16" x14ac:dyDescent="0.25">
      <c r="E12">
        <v>9</v>
      </c>
      <c r="F12" s="1">
        <v>568.98400000000004</v>
      </c>
      <c r="G12" s="4">
        <v>0.74420119337759405</v>
      </c>
      <c r="H12" s="4">
        <v>0.871745363277033</v>
      </c>
      <c r="I12" s="4">
        <v>0.57700976709241103</v>
      </c>
      <c r="J12" s="4">
        <v>0.646605150345403</v>
      </c>
      <c r="K12" s="4">
        <v>0.53767122999999994</v>
      </c>
      <c r="L12" s="4">
        <v>0.85889570999999998</v>
      </c>
      <c r="M12" s="4">
        <v>0.46232876712328702</v>
      </c>
      <c r="N12" s="4">
        <v>0.443096279630598</v>
      </c>
    </row>
    <row r="13" spans="2:16" x14ac:dyDescent="0.25">
      <c r="E13">
        <v>12</v>
      </c>
      <c r="F13" s="1">
        <v>562.76400000000001</v>
      </c>
      <c r="G13" s="4">
        <v>0.75214828977224901</v>
      </c>
      <c r="H13" s="4">
        <v>0.87318086951295004</v>
      </c>
      <c r="I13" s="4">
        <v>0.589782118707738</v>
      </c>
      <c r="J13" s="4">
        <v>0.65808251845182297</v>
      </c>
      <c r="K13" s="4">
        <v>0.55222603000000003</v>
      </c>
      <c r="L13" s="4">
        <v>0.85889570999999998</v>
      </c>
      <c r="M13" s="4">
        <v>0.44777397260273899</v>
      </c>
      <c r="N13" s="4">
        <v>0.42940670737213099</v>
      </c>
    </row>
    <row r="14" spans="2:16" x14ac:dyDescent="0.25">
      <c r="E14">
        <v>15</v>
      </c>
      <c r="F14" s="1">
        <v>561.96699999999998</v>
      </c>
      <c r="G14" s="4">
        <v>0.74300886629128504</v>
      </c>
      <c r="H14" s="4">
        <v>0.87418373412464101</v>
      </c>
      <c r="I14" s="4">
        <v>0.58677685950413205</v>
      </c>
      <c r="J14" s="4">
        <v>0.65530379022368601</v>
      </c>
      <c r="K14" s="4">
        <v>0.54794520999999996</v>
      </c>
      <c r="L14" s="4">
        <v>0.86503067</v>
      </c>
      <c r="M14" s="4">
        <v>0.45205479452054698</v>
      </c>
      <c r="N14" s="4">
        <v>0.43307441686751802</v>
      </c>
    </row>
    <row r="15" spans="2:16" x14ac:dyDescent="0.25">
      <c r="E15">
        <v>5</v>
      </c>
      <c r="F15" s="1">
        <v>568.423</v>
      </c>
      <c r="G15" s="4">
        <v>0.74821413599999997</v>
      </c>
      <c r="H15" s="4">
        <v>0.872928087136424</v>
      </c>
      <c r="I15" s="4">
        <v>0.56273478587528103</v>
      </c>
      <c r="J15" s="4">
        <v>0.63332872523418304</v>
      </c>
      <c r="K15" s="4">
        <v>0.51969178000000005</v>
      </c>
      <c r="L15" s="4">
        <v>0.87116563999999996</v>
      </c>
      <c r="M15" s="4">
        <v>0.48030821917808197</v>
      </c>
      <c r="N15" s="4">
        <v>0.45929122182638998</v>
      </c>
    </row>
    <row r="16" spans="2:16" x14ac:dyDescent="0.25">
      <c r="E16">
        <v>7</v>
      </c>
      <c r="F16" s="1">
        <v>569.03700000000003</v>
      </c>
      <c r="G16" s="4">
        <v>0.74870787500000002</v>
      </c>
      <c r="H16" s="4">
        <v>0.87374498146797897</v>
      </c>
      <c r="I16" s="4">
        <v>0.57024793388429695</v>
      </c>
      <c r="J16" s="4">
        <v>0.64023147954506698</v>
      </c>
      <c r="K16" s="4">
        <v>0.52825341999999997</v>
      </c>
      <c r="L16" s="4">
        <v>0.87116563999999996</v>
      </c>
      <c r="M16" s="4">
        <v>0.471746575342465</v>
      </c>
      <c r="N16" s="4">
        <v>0.451238113238487</v>
      </c>
    </row>
    <row r="17" spans="5:16" x14ac:dyDescent="0.25">
      <c r="E17">
        <v>14</v>
      </c>
      <c r="F17" s="1">
        <v>560.85799999999995</v>
      </c>
      <c r="G17" s="4">
        <v>0.74311391713589303</v>
      </c>
      <c r="H17" s="4">
        <v>0.87457955591159298</v>
      </c>
      <c r="I17" s="4">
        <v>0.56498873027798602</v>
      </c>
      <c r="J17" s="4">
        <v>0.63528155657560903</v>
      </c>
      <c r="K17" s="4">
        <v>0.52140410999999998</v>
      </c>
      <c r="L17" s="4">
        <v>0.87730061000000004</v>
      </c>
      <c r="M17" s="4">
        <v>0.47859589041095801</v>
      </c>
      <c r="N17" s="4">
        <v>0.457323097548886</v>
      </c>
    </row>
    <row r="18" spans="5:16" x14ac:dyDescent="0.25">
      <c r="E18">
        <v>6</v>
      </c>
      <c r="F18" s="1">
        <v>567.83000000000004</v>
      </c>
      <c r="G18" s="4">
        <v>0.74850302499999999</v>
      </c>
      <c r="H18" s="4">
        <v>0.87305306398017501</v>
      </c>
      <c r="I18" s="4">
        <v>0.55071374906085602</v>
      </c>
      <c r="J18" s="4">
        <v>0.62201232060824196</v>
      </c>
      <c r="K18" s="4">
        <v>0.50513699000000001</v>
      </c>
      <c r="L18" s="4">
        <v>0.87730061000000004</v>
      </c>
      <c r="M18" s="4">
        <v>0.49486301369863001</v>
      </c>
      <c r="N18" s="4">
        <v>0.472624342162907</v>
      </c>
    </row>
    <row r="19" spans="5:16" x14ac:dyDescent="0.25">
      <c r="E19">
        <v>3</v>
      </c>
      <c r="F19" s="1">
        <v>567.81799999999998</v>
      </c>
      <c r="G19" s="4">
        <v>0.75135515600000002</v>
      </c>
      <c r="H19" s="4">
        <v>0.87585355360422301</v>
      </c>
      <c r="I19" s="4">
        <v>0.57700976709241103</v>
      </c>
      <c r="J19" s="4">
        <v>0.64628429457111802</v>
      </c>
      <c r="K19" s="4">
        <v>0.53510274000000002</v>
      </c>
      <c r="L19" s="4">
        <v>0.87730061000000004</v>
      </c>
      <c r="M19" s="4">
        <v>0.46489726027397199</v>
      </c>
      <c r="N19" s="4">
        <v>0.44443795953173298</v>
      </c>
    </row>
    <row r="20" spans="5:16" x14ac:dyDescent="0.25">
      <c r="E20">
        <v>16</v>
      </c>
      <c r="F20" s="1">
        <v>563.95500000000004</v>
      </c>
      <c r="G20" s="4">
        <v>0.75000525254223005</v>
      </c>
      <c r="H20" s="4">
        <v>0.87496027019164102</v>
      </c>
      <c r="I20" s="4">
        <v>0.54094665664913599</v>
      </c>
      <c r="J20" s="4">
        <v>0.61248111747189504</v>
      </c>
      <c r="K20" s="4">
        <v>0.49229452000000001</v>
      </c>
      <c r="L20" s="4">
        <v>0.88957054999999996</v>
      </c>
      <c r="M20" s="4">
        <v>0.50770547945205402</v>
      </c>
      <c r="N20" s="4">
        <v>0.48399112900302499</v>
      </c>
    </row>
    <row r="21" spans="5:16" x14ac:dyDescent="0.25">
      <c r="E21">
        <v>13</v>
      </c>
      <c r="F21" s="1">
        <v>560.58799999999997</v>
      </c>
      <c r="G21" s="4">
        <v>0.74725817295570995</v>
      </c>
      <c r="H21" s="4">
        <v>0.87984830347780896</v>
      </c>
      <c r="I21" s="4">
        <v>0.56048084147257704</v>
      </c>
      <c r="J21" s="4">
        <v>0.63057812021427695</v>
      </c>
      <c r="K21" s="4">
        <v>0.51284247000000005</v>
      </c>
      <c r="L21" s="4">
        <v>0.90184048999999999</v>
      </c>
      <c r="M21" s="4">
        <v>0.48715753424657499</v>
      </c>
      <c r="N21" s="4">
        <v>0.46395018799751397</v>
      </c>
    </row>
    <row r="22" spans="5:16" x14ac:dyDescent="0.25">
      <c r="F22" s="1">
        <f>SUBTOTAL(101,Tabelle165[Laufzeit in sec])</f>
        <v>565.55700000000002</v>
      </c>
      <c r="G22" s="5">
        <f>SUBTOTAL(101,Tabelle165[AUC-Score])</f>
        <v>0.746037613482887</v>
      </c>
      <c r="H22" s="5">
        <f>SUBTOTAL(101,Tabelle165[Precision Score])</f>
        <v>0.87145854236283415</v>
      </c>
      <c r="I22" s="5">
        <f>SUBTOTAL(101,Tabelle165[Recall score])</f>
        <v>0.58400638617580725</v>
      </c>
      <c r="J22" s="5">
        <f>SUBTOTAL(101,Tabelle165[f1 score])</f>
        <v>0.6525251045255247</v>
      </c>
      <c r="K22" s="5">
        <f>SUBTOTAL(101,Tabelle165[per class acc 1])</f>
        <v>0.54655393812500008</v>
      </c>
      <c r="L22" s="5">
        <f>SUBTOTAL(101,Tabelle165[per class acc 2])</f>
        <v>0.85237729937500006</v>
      </c>
      <c r="M22" s="5">
        <f>SUBTOTAL(101,Tabelle165[FAR])</f>
        <v>0.45344606164383505</v>
      </c>
      <c r="N22" s="5">
        <f>SUBTOTAL(101,Tabelle165[distance heaven])</f>
        <v>0.43513218926317232</v>
      </c>
    </row>
    <row r="23" spans="5:16" x14ac:dyDescent="0.25">
      <c r="P23" s="2"/>
    </row>
    <row r="24" spans="5:16" x14ac:dyDescent="0.25">
      <c r="P24" s="3"/>
    </row>
    <row r="25" spans="5:16" x14ac:dyDescent="0.25">
      <c r="E25" t="s">
        <v>2</v>
      </c>
      <c r="P25" s="2"/>
    </row>
    <row r="26" spans="5:16" x14ac:dyDescent="0.25">
      <c r="E26" t="s">
        <v>1</v>
      </c>
      <c r="F26" t="s">
        <v>3</v>
      </c>
      <c r="G26" t="s">
        <v>0</v>
      </c>
      <c r="H26" t="s">
        <v>10</v>
      </c>
      <c r="I26" t="s">
        <v>7</v>
      </c>
      <c r="J26" t="s">
        <v>8</v>
      </c>
      <c r="K26" t="s">
        <v>97</v>
      </c>
      <c r="L26" t="s">
        <v>96</v>
      </c>
      <c r="M26" t="s">
        <v>11</v>
      </c>
      <c r="N26" t="s">
        <v>12</v>
      </c>
    </row>
    <row r="27" spans="5:16" x14ac:dyDescent="0.25">
      <c r="E27">
        <v>5</v>
      </c>
      <c r="F27" s="1">
        <v>1218.92</v>
      </c>
      <c r="G27" s="4">
        <v>0.762345424755837</v>
      </c>
      <c r="H27" s="4">
        <v>0.90977347376611595</v>
      </c>
      <c r="I27" s="4">
        <v>0.71800855698171895</v>
      </c>
      <c r="J27" s="4">
        <v>0.78547036764839095</v>
      </c>
      <c r="K27" s="4">
        <v>0.72068677000000003</v>
      </c>
      <c r="L27" s="4">
        <v>0.68306011</v>
      </c>
      <c r="M27" s="4">
        <v>0.27931323283081999</v>
      </c>
      <c r="N27" s="4">
        <v>0.28065553261065102</v>
      </c>
    </row>
    <row r="28" spans="5:16" x14ac:dyDescent="0.25">
      <c r="E28">
        <v>10</v>
      </c>
      <c r="F28" s="1">
        <v>1222.5719999999999</v>
      </c>
      <c r="G28" s="4">
        <v>0.76302505240226604</v>
      </c>
      <c r="H28" s="4">
        <v>0.91020099382033803</v>
      </c>
      <c r="I28" s="4">
        <v>0.70945157526254299</v>
      </c>
      <c r="J28" s="4">
        <v>0.77933152676286799</v>
      </c>
      <c r="K28" s="4">
        <v>0.71063651999999999</v>
      </c>
      <c r="L28" s="4">
        <v>0.69398906999999999</v>
      </c>
      <c r="M28" s="4">
        <v>0.289363484087102</v>
      </c>
      <c r="N28" s="4">
        <v>0.28995655971235001</v>
      </c>
    </row>
    <row r="29" spans="5:16" x14ac:dyDescent="0.25">
      <c r="E29">
        <v>12</v>
      </c>
      <c r="F29" s="1">
        <v>1220.116</v>
      </c>
      <c r="G29" s="4">
        <v>0.76319667554530402</v>
      </c>
      <c r="H29" s="4">
        <v>0.90844017859776605</v>
      </c>
      <c r="I29" s="4">
        <v>0.75301439128743597</v>
      </c>
      <c r="J29" s="4">
        <v>0.80995820110417505</v>
      </c>
      <c r="K29" s="4">
        <v>0.76172529</v>
      </c>
      <c r="L29" s="4">
        <v>0.63934426</v>
      </c>
      <c r="M29" s="4">
        <v>0.23827470686767099</v>
      </c>
      <c r="N29" s="4">
        <v>0.24266924696383499</v>
      </c>
    </row>
    <row r="30" spans="5:16" x14ac:dyDescent="0.25">
      <c r="E30">
        <v>8</v>
      </c>
      <c r="F30" s="1">
        <v>1217.6210000000001</v>
      </c>
      <c r="G30" s="4">
        <v>0.76561084109069899</v>
      </c>
      <c r="H30" s="4">
        <v>0.90940015221659198</v>
      </c>
      <c r="I30" s="4">
        <v>0.71334111240762299</v>
      </c>
      <c r="J30" s="4">
        <v>0.78209923466475595</v>
      </c>
      <c r="K30" s="4">
        <v>0.71566163999999999</v>
      </c>
      <c r="L30" s="4">
        <v>0.68306011</v>
      </c>
      <c r="M30" s="4">
        <v>0.28433835845896099</v>
      </c>
      <c r="N30" s="4">
        <v>0.28550098066980001</v>
      </c>
    </row>
    <row r="31" spans="5:16" x14ac:dyDescent="0.25">
      <c r="E31">
        <v>16</v>
      </c>
      <c r="F31" s="1">
        <v>1210.9870000000001</v>
      </c>
      <c r="G31" s="4">
        <v>0.76604561971972795</v>
      </c>
      <c r="H31" s="4">
        <v>0.91022131235906001</v>
      </c>
      <c r="I31" s="4">
        <v>0.66394399066511001</v>
      </c>
      <c r="J31" s="4">
        <v>0.74555140868119596</v>
      </c>
      <c r="K31" s="4">
        <v>0.65912897999999998</v>
      </c>
      <c r="L31" s="4">
        <v>0.72677596</v>
      </c>
      <c r="M31" s="4">
        <v>0.34087102177554401</v>
      </c>
      <c r="N31" s="4">
        <v>0.33847207779696797</v>
      </c>
    </row>
    <row r="32" spans="5:16" x14ac:dyDescent="0.25">
      <c r="E32">
        <v>14</v>
      </c>
      <c r="F32" s="1">
        <v>1211.796</v>
      </c>
      <c r="G32" s="4">
        <v>0.76633394660003096</v>
      </c>
      <c r="H32" s="4">
        <v>0.90958413168576302</v>
      </c>
      <c r="I32" s="4">
        <v>0.70867366783352703</v>
      </c>
      <c r="J32" s="4">
        <v>0.778740714250854</v>
      </c>
      <c r="K32" s="4">
        <v>0.71021776000000003</v>
      </c>
      <c r="L32" s="4">
        <v>0.68852458999999999</v>
      </c>
      <c r="M32" s="4">
        <v>0.28978224455611301</v>
      </c>
      <c r="N32" s="4">
        <v>0.29055531407423002</v>
      </c>
    </row>
    <row r="33" spans="5:14" x14ac:dyDescent="0.25">
      <c r="E33">
        <v>15</v>
      </c>
      <c r="F33" s="1">
        <v>1212.1300000000001</v>
      </c>
      <c r="G33" s="4">
        <v>0.76633394660003096</v>
      </c>
      <c r="H33" s="4">
        <v>0.907298788804352</v>
      </c>
      <c r="I33" s="4">
        <v>0.73395565927654605</v>
      </c>
      <c r="J33" s="4">
        <v>0.79660331246483196</v>
      </c>
      <c r="K33" s="4">
        <v>0.74078727</v>
      </c>
      <c r="L33" s="4">
        <v>0.64480873999999999</v>
      </c>
      <c r="M33" s="4">
        <v>0.25921273031825798</v>
      </c>
      <c r="N33" s="4">
        <v>0.26265074794298898</v>
      </c>
    </row>
    <row r="34" spans="5:14" x14ac:dyDescent="0.25">
      <c r="E34">
        <v>4</v>
      </c>
      <c r="F34" s="1">
        <v>1220.2550000000001</v>
      </c>
      <c r="G34" s="4">
        <v>0.76705476380078896</v>
      </c>
      <c r="H34" s="4">
        <v>0.910940992134606</v>
      </c>
      <c r="I34" s="4">
        <v>0.73239984441851402</v>
      </c>
      <c r="J34" s="4">
        <v>0.79578725769659098</v>
      </c>
      <c r="K34" s="4">
        <v>0.73618090000000003</v>
      </c>
      <c r="L34" s="4">
        <v>0.68306011</v>
      </c>
      <c r="M34" s="4">
        <v>0.26381909547738602</v>
      </c>
      <c r="N34" s="4">
        <v>0.26571635102656099</v>
      </c>
    </row>
    <row r="35" spans="5:14" x14ac:dyDescent="0.25">
      <c r="E35">
        <v>6</v>
      </c>
      <c r="F35" s="1">
        <v>1217.2950000000001</v>
      </c>
      <c r="G35" s="4">
        <v>0.76724469341241697</v>
      </c>
      <c r="H35" s="4">
        <v>0.90970100288619105</v>
      </c>
      <c r="I35" s="4">
        <v>0.68066900038895295</v>
      </c>
      <c r="J35" s="4">
        <v>0.75816418322526702</v>
      </c>
      <c r="K35" s="4">
        <v>0.67839196000000002</v>
      </c>
      <c r="L35" s="4">
        <v>0.71038250999999997</v>
      </c>
      <c r="M35" s="4">
        <v>0.32160804020100497</v>
      </c>
      <c r="N35" s="4">
        <v>0.320471542289265</v>
      </c>
    </row>
    <row r="36" spans="5:14" x14ac:dyDescent="0.25">
      <c r="E36">
        <v>9</v>
      </c>
      <c r="F36" s="1">
        <v>1220.5999999999999</v>
      </c>
      <c r="G36" s="4">
        <v>0.76806619619042305</v>
      </c>
      <c r="H36" s="4">
        <v>0.90810183901563601</v>
      </c>
      <c r="I36" s="4">
        <v>0.73706728899260898</v>
      </c>
      <c r="J36" s="4">
        <v>0.79884993608749699</v>
      </c>
      <c r="K36" s="4">
        <v>0.74371858999999996</v>
      </c>
      <c r="L36" s="4">
        <v>0.65027321999999999</v>
      </c>
      <c r="M36" s="4">
        <v>0.25628140703517499</v>
      </c>
      <c r="N36" s="4">
        <v>0.25962835949643898</v>
      </c>
    </row>
    <row r="37" spans="5:14" x14ac:dyDescent="0.25">
      <c r="E37">
        <v>1</v>
      </c>
      <c r="F37" s="1">
        <v>1220.713</v>
      </c>
      <c r="G37" s="4">
        <v>0.76883735617980598</v>
      </c>
      <c r="H37" s="4">
        <v>0.91216655998586804</v>
      </c>
      <c r="I37" s="4">
        <v>0.70595099183197196</v>
      </c>
      <c r="J37" s="4">
        <v>0.77687158114542199</v>
      </c>
      <c r="K37" s="4">
        <v>0.70519262999999999</v>
      </c>
      <c r="L37" s="4">
        <v>0.71584698999999996</v>
      </c>
      <c r="M37" s="4">
        <v>0.29480737018425401</v>
      </c>
      <c r="N37" s="4">
        <v>0.29442843334124202</v>
      </c>
    </row>
    <row r="38" spans="5:14" x14ac:dyDescent="0.25">
      <c r="E38">
        <v>7</v>
      </c>
      <c r="F38" s="1">
        <v>1224.8820000000001</v>
      </c>
      <c r="G38" s="4">
        <v>0.76920577386019295</v>
      </c>
      <c r="H38" s="4">
        <v>0.91021207377604796</v>
      </c>
      <c r="I38" s="4">
        <v>0.72345390898482997</v>
      </c>
      <c r="J38" s="4">
        <v>0.78938751226272397</v>
      </c>
      <c r="K38" s="4">
        <v>0.72654940999999995</v>
      </c>
      <c r="L38" s="4">
        <v>0.68306011</v>
      </c>
      <c r="M38" s="4">
        <v>0.27345058626465601</v>
      </c>
      <c r="N38" s="4">
        <v>0.275002694154307</v>
      </c>
    </row>
    <row r="39" spans="5:14" x14ac:dyDescent="0.25">
      <c r="E39">
        <v>3</v>
      </c>
      <c r="F39" s="1">
        <v>1220.3699999999999</v>
      </c>
      <c r="G39" s="4">
        <v>0.76969776020356795</v>
      </c>
      <c r="H39" s="4">
        <v>0.90982961795291895</v>
      </c>
      <c r="I39" s="4">
        <v>0.71178529754959097</v>
      </c>
      <c r="J39" s="4">
        <v>0.78099994126860295</v>
      </c>
      <c r="K39" s="4">
        <v>0.71356783999999995</v>
      </c>
      <c r="L39" s="4">
        <v>0.68852458999999999</v>
      </c>
      <c r="M39" s="4">
        <v>0.28643216080402001</v>
      </c>
      <c r="N39" s="4">
        <v>0.287324813974913</v>
      </c>
    </row>
    <row r="40" spans="5:14" x14ac:dyDescent="0.25">
      <c r="E40">
        <v>11</v>
      </c>
      <c r="F40" s="1">
        <v>1218.337</v>
      </c>
      <c r="G40" s="4">
        <v>0.77070919259320203</v>
      </c>
      <c r="H40" s="4">
        <v>0.91038386113171699</v>
      </c>
      <c r="I40" s="4">
        <v>0.71178529754959097</v>
      </c>
      <c r="J40" s="4">
        <v>0.78102670288780895</v>
      </c>
      <c r="K40" s="4">
        <v>0.71314907999999999</v>
      </c>
      <c r="L40" s="4">
        <v>0.69398906999999999</v>
      </c>
      <c r="M40" s="4">
        <v>0.28685092127303102</v>
      </c>
      <c r="N40" s="4">
        <v>0.28753362042008601</v>
      </c>
    </row>
    <row r="41" spans="5:14" x14ac:dyDescent="0.25">
      <c r="E41">
        <v>13</v>
      </c>
      <c r="F41" s="1">
        <v>1214.095</v>
      </c>
      <c r="G41" s="4">
        <v>0.77126067495949602</v>
      </c>
      <c r="H41" s="4">
        <v>0.908581097744523</v>
      </c>
      <c r="I41" s="4">
        <v>0.71684169583819501</v>
      </c>
      <c r="J41" s="4">
        <v>0.78456702600157202</v>
      </c>
      <c r="K41" s="4">
        <v>0.72026800999999996</v>
      </c>
      <c r="L41" s="4">
        <v>0.67213115000000001</v>
      </c>
      <c r="M41" s="4">
        <v>0.279731993299832</v>
      </c>
      <c r="N41" s="4">
        <v>0.28145036266745699</v>
      </c>
    </row>
    <row r="42" spans="5:14" x14ac:dyDescent="0.25">
      <c r="E42">
        <v>2</v>
      </c>
      <c r="F42" s="1">
        <v>1219.2760000000001</v>
      </c>
      <c r="G42" s="4">
        <v>0.77224693595481897</v>
      </c>
      <c r="H42" s="4">
        <v>0.90847085662905502</v>
      </c>
      <c r="I42" s="4">
        <v>0.74134577985219696</v>
      </c>
      <c r="J42" s="4">
        <v>0.80187132834469499</v>
      </c>
      <c r="K42" s="4">
        <v>0.74832496000000004</v>
      </c>
      <c r="L42" s="4">
        <v>0.65027321999999999</v>
      </c>
      <c r="M42" s="4">
        <v>0.251675041876046</v>
      </c>
      <c r="N42" s="4">
        <v>0.25518849141720401</v>
      </c>
    </row>
    <row r="43" spans="5:14" x14ac:dyDescent="0.25">
      <c r="F43" s="1">
        <f>SUBTOTAL(101,Tabelle1658[Laufzeit in sec])</f>
        <v>1218.1228125000002</v>
      </c>
      <c r="G43" s="5">
        <f>SUBTOTAL(101,Tabelle1658[AUC-Score])</f>
        <v>0.76732592836678803</v>
      </c>
      <c r="H43" s="5">
        <f>SUBTOTAL(101,Tabelle1658[Precision Score])</f>
        <v>0.90958168328165945</v>
      </c>
      <c r="I43" s="5">
        <f>SUBTOTAL(101,Tabelle1658[Recall score])</f>
        <v>0.71635550369505974</v>
      </c>
      <c r="J43" s="5">
        <f>SUBTOTAL(101,Tabelle1658[f1 score])</f>
        <v>0.78408001465607813</v>
      </c>
      <c r="K43" s="5">
        <f>SUBTOTAL(101,Tabelle1658[per class acc 1])</f>
        <v>0.71901172562499993</v>
      </c>
      <c r="L43" s="5">
        <f>SUBTOTAL(101,Tabelle1658[per class acc 2])</f>
        <v>0.68169398812500015</v>
      </c>
      <c r="M43" s="5">
        <f>SUBTOTAL(101,Tabelle1658[FAR])</f>
        <v>0.2809882747068671</v>
      </c>
      <c r="N43" s="5">
        <f>SUBTOTAL(101,Tabelle1658[distance heaven])</f>
        <v>0.28232532053489362</v>
      </c>
    </row>
    <row r="85" spans="6:7" x14ac:dyDescent="0.25">
      <c r="F85" s="1"/>
    </row>
    <row r="90" spans="6:7" x14ac:dyDescent="0.25">
      <c r="G90" s="7"/>
    </row>
    <row r="91" spans="6:7" x14ac:dyDescent="0.25">
      <c r="G91" s="8"/>
    </row>
    <row r="92" spans="6:7" x14ac:dyDescent="0.25">
      <c r="G92" s="9"/>
    </row>
    <row r="93" spans="6:7" x14ac:dyDescent="0.25">
      <c r="G93" s="8"/>
    </row>
    <row r="94" spans="6:7" x14ac:dyDescent="0.25">
      <c r="G94" s="9"/>
    </row>
    <row r="95" spans="6:7" x14ac:dyDescent="0.25">
      <c r="G95" s="8"/>
    </row>
    <row r="96" spans="6:7" x14ac:dyDescent="0.25">
      <c r="G96" s="9"/>
    </row>
    <row r="97" spans="7:7" x14ac:dyDescent="0.25">
      <c r="G97" s="8"/>
    </row>
    <row r="98" spans="7:7" x14ac:dyDescent="0.25">
      <c r="G98" s="9"/>
    </row>
    <row r="99" spans="7:7" x14ac:dyDescent="0.25">
      <c r="G99" s="8"/>
    </row>
    <row r="100" spans="7:7" x14ac:dyDescent="0.25">
      <c r="G100" s="9"/>
    </row>
    <row r="101" spans="7:7" x14ac:dyDescent="0.25">
      <c r="G101" s="8"/>
    </row>
    <row r="102" spans="7:7" x14ac:dyDescent="0.25">
      <c r="G102" s="9"/>
    </row>
    <row r="103" spans="7:7" x14ac:dyDescent="0.25">
      <c r="G103" s="8"/>
    </row>
    <row r="104" spans="7:7" x14ac:dyDescent="0.25">
      <c r="G104" s="9"/>
    </row>
    <row r="105" spans="7:7" x14ac:dyDescent="0.25">
      <c r="G105" s="8"/>
    </row>
    <row r="106" spans="7:7" x14ac:dyDescent="0.25">
      <c r="G106" s="9"/>
    </row>
    <row r="107" spans="7:7" x14ac:dyDescent="0.25">
      <c r="G107" s="8"/>
    </row>
    <row r="108" spans="7:7" x14ac:dyDescent="0.25">
      <c r="G108" s="9"/>
    </row>
    <row r="109" spans="7:7" x14ac:dyDescent="0.25">
      <c r="G109" s="8"/>
    </row>
    <row r="110" spans="7:7" x14ac:dyDescent="0.25">
      <c r="G110" s="9"/>
    </row>
    <row r="111" spans="7:7" x14ac:dyDescent="0.25">
      <c r="G111" s="8"/>
    </row>
    <row r="112" spans="7:7" x14ac:dyDescent="0.25">
      <c r="G112" s="9"/>
    </row>
    <row r="113" spans="7:7" x14ac:dyDescent="0.25">
      <c r="G113" s="8"/>
    </row>
    <row r="114" spans="7:7" x14ac:dyDescent="0.25">
      <c r="G114" s="9"/>
    </row>
    <row r="115" spans="7:7" x14ac:dyDescent="0.25">
      <c r="G115" s="8"/>
    </row>
    <row r="116" spans="7:7" x14ac:dyDescent="0.25">
      <c r="G116" s="9"/>
    </row>
    <row r="117" spans="7:7" x14ac:dyDescent="0.25">
      <c r="G117" s="8"/>
    </row>
    <row r="118" spans="7:7" x14ac:dyDescent="0.25">
      <c r="G118" s="9"/>
    </row>
    <row r="119" spans="7:7" x14ac:dyDescent="0.25">
      <c r="G119" s="8"/>
    </row>
    <row r="120" spans="7:7" x14ac:dyDescent="0.25">
      <c r="G120" s="9"/>
    </row>
    <row r="121" spans="7:7" x14ac:dyDescent="0.25">
      <c r="G121" s="8"/>
    </row>
    <row r="122" spans="7:7" x14ac:dyDescent="0.25">
      <c r="G122" s="9"/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AD9F-98C8-4586-9293-A1DE90921C67}">
  <dimension ref="B10:M98"/>
  <sheetViews>
    <sheetView topLeftCell="A25" workbookViewId="0">
      <selection activeCell="C10" sqref="C10"/>
    </sheetView>
  </sheetViews>
  <sheetFormatPr baseColWidth="10" defaultRowHeight="15" x14ac:dyDescent="0.25"/>
  <cols>
    <col min="3" max="3" width="14.42578125" customWidth="1"/>
    <col min="5" max="5" width="18.5703125" customWidth="1"/>
    <col min="6" max="6" width="24.5703125" customWidth="1"/>
    <col min="7" max="8" width="25" customWidth="1"/>
    <col min="9" max="9" width="24.85546875" customWidth="1"/>
    <col min="10" max="10" width="31.5703125" customWidth="1"/>
    <col min="11" max="11" width="25.42578125" customWidth="1"/>
    <col min="12" max="12" width="27.5703125" customWidth="1"/>
    <col min="13" max="13" width="24.140625" customWidth="1"/>
    <col min="14" max="14" width="29" customWidth="1"/>
  </cols>
  <sheetData>
    <row r="10" spans="3:11" x14ac:dyDescent="0.25">
      <c r="C10" t="s">
        <v>120</v>
      </c>
    </row>
    <row r="15" spans="3:11" x14ac:dyDescent="0.25">
      <c r="J15">
        <v>0.57709999999999995</v>
      </c>
      <c r="K15">
        <v>0.71779999999999999</v>
      </c>
    </row>
    <row r="16" spans="3:11" x14ac:dyDescent="0.25">
      <c r="D16" t="s">
        <v>13</v>
      </c>
      <c r="J16">
        <v>0.625</v>
      </c>
      <c r="K16">
        <v>0.82210000000000005</v>
      </c>
    </row>
    <row r="17" spans="4:13" x14ac:dyDescent="0.25">
      <c r="D17" t="s">
        <v>1</v>
      </c>
      <c r="E17" t="s">
        <v>3</v>
      </c>
      <c r="F17" t="s">
        <v>0</v>
      </c>
      <c r="G17" t="s">
        <v>10</v>
      </c>
      <c r="H17" t="s">
        <v>7</v>
      </c>
      <c r="I17" t="s">
        <v>8</v>
      </c>
      <c r="J17" t="s">
        <v>97</v>
      </c>
      <c r="K17" t="s">
        <v>96</v>
      </c>
      <c r="L17" t="s">
        <v>11</v>
      </c>
      <c r="M17" t="s">
        <v>12</v>
      </c>
    </row>
    <row r="18" spans="4:13" x14ac:dyDescent="0.25">
      <c r="D18">
        <v>4</v>
      </c>
      <c r="E18" s="1">
        <v>161.04900000000001</v>
      </c>
      <c r="F18" s="4">
        <v>0.72860114295318901</v>
      </c>
      <c r="G18" s="4">
        <v>0.85110650526094001</v>
      </c>
      <c r="H18" s="4">
        <v>0.63486100676183299</v>
      </c>
      <c r="I18" s="4">
        <v>0.69772673109971195</v>
      </c>
      <c r="J18" s="4">
        <v>0.62328766999999996</v>
      </c>
      <c r="K18" s="4">
        <v>0.71779141000000002</v>
      </c>
      <c r="L18" s="4">
        <v>0.37671232876712302</v>
      </c>
      <c r="M18" s="4">
        <v>0.37097079603934502</v>
      </c>
    </row>
    <row r="19" spans="4:13" x14ac:dyDescent="0.25">
      <c r="D19">
        <v>7</v>
      </c>
      <c r="E19" s="1">
        <v>167.828</v>
      </c>
      <c r="F19" s="4">
        <v>0.72860376922430403</v>
      </c>
      <c r="G19" s="4">
        <v>0.85099293604813298</v>
      </c>
      <c r="H19" s="4">
        <v>0.63410969196093103</v>
      </c>
      <c r="I19" s="4">
        <v>0.69710628116349804</v>
      </c>
      <c r="J19" s="4">
        <v>0.62243150999999997</v>
      </c>
      <c r="K19" s="4">
        <v>0.71779141000000002</v>
      </c>
      <c r="L19" s="4">
        <v>0.37756849315068403</v>
      </c>
      <c r="M19" s="4">
        <v>0.371775257741154</v>
      </c>
    </row>
    <row r="20" spans="4:13" x14ac:dyDescent="0.25">
      <c r="D20">
        <v>3</v>
      </c>
      <c r="E20" s="1">
        <v>161.96100000000001</v>
      </c>
      <c r="F20" s="4">
        <v>0.72888478023363201</v>
      </c>
      <c r="G20" s="4">
        <v>0.85592819870936998</v>
      </c>
      <c r="H20" s="4">
        <v>0.62885048835461999</v>
      </c>
      <c r="I20" s="4">
        <v>0.69271202631412199</v>
      </c>
      <c r="J20" s="4">
        <v>0.61215752999999995</v>
      </c>
      <c r="K20" s="4">
        <v>0.74846626000000005</v>
      </c>
      <c r="L20" s="4">
        <v>0.38784246575342401</v>
      </c>
      <c r="M20" s="4">
        <v>0.37958776207637401</v>
      </c>
    </row>
    <row r="21" spans="4:13" x14ac:dyDescent="0.25">
      <c r="D21">
        <v>6</v>
      </c>
      <c r="E21" s="1">
        <v>163.09800000000001</v>
      </c>
      <c r="F21" s="4">
        <v>0.73030296663585104</v>
      </c>
      <c r="G21" s="4">
        <v>0.85336806944620602</v>
      </c>
      <c r="H21" s="4">
        <v>0.63486100676183299</v>
      </c>
      <c r="I21" s="4">
        <v>0.69773016390711795</v>
      </c>
      <c r="J21" s="4">
        <v>0.62157534000000003</v>
      </c>
      <c r="K21" s="4">
        <v>0.73006135000000005</v>
      </c>
      <c r="L21" s="4">
        <v>0.37842465753424598</v>
      </c>
      <c r="M21" s="4">
        <v>0.37184116623424901</v>
      </c>
    </row>
    <row r="22" spans="4:13" x14ac:dyDescent="0.25">
      <c r="D22">
        <v>15</v>
      </c>
      <c r="E22" s="1">
        <v>165.077</v>
      </c>
      <c r="F22" s="4">
        <v>0.73098054458357797</v>
      </c>
      <c r="G22" s="4">
        <v>0.85110650526094001</v>
      </c>
      <c r="H22" s="4">
        <v>0.63486100676183299</v>
      </c>
      <c r="I22" s="4">
        <v>0.69772673109971195</v>
      </c>
      <c r="J22" s="4">
        <v>0.62328766999999996</v>
      </c>
      <c r="K22" s="4">
        <v>0.71779141000000002</v>
      </c>
      <c r="L22" s="4">
        <v>0.37671232876712302</v>
      </c>
      <c r="M22" s="4">
        <v>0.37097079603934502</v>
      </c>
    </row>
    <row r="23" spans="4:13" x14ac:dyDescent="0.25">
      <c r="D23">
        <v>5</v>
      </c>
      <c r="E23" s="1">
        <v>162.60900000000001</v>
      </c>
      <c r="F23" s="4">
        <v>0.73102781746365197</v>
      </c>
      <c r="G23" s="4">
        <v>0.859561080765055</v>
      </c>
      <c r="H23" s="4">
        <v>0.62133734034560395</v>
      </c>
      <c r="I23" s="4">
        <v>0.68631201139244402</v>
      </c>
      <c r="J23" s="4">
        <v>0.60017122999999994</v>
      </c>
      <c r="K23" s="4">
        <v>0.77300612999999996</v>
      </c>
      <c r="L23" s="4">
        <v>0.39982876712328702</v>
      </c>
      <c r="M23" s="4">
        <v>0.38938955612334297</v>
      </c>
    </row>
    <row r="24" spans="4:13" x14ac:dyDescent="0.25">
      <c r="D24">
        <v>2</v>
      </c>
      <c r="E24" s="1">
        <v>161.51</v>
      </c>
      <c r="F24" s="4">
        <v>0.73125892932179104</v>
      </c>
      <c r="G24" s="4">
        <v>0.85110650526094001</v>
      </c>
      <c r="H24" s="4">
        <v>0.63486100676183299</v>
      </c>
      <c r="I24" s="4">
        <v>0.69772673109971195</v>
      </c>
      <c r="J24" s="4">
        <v>0.62328766999999996</v>
      </c>
      <c r="K24" s="4">
        <v>0.71779141000000002</v>
      </c>
      <c r="L24" s="4">
        <v>0.37671232876712302</v>
      </c>
      <c r="M24" s="4">
        <v>0.37097079603934502</v>
      </c>
    </row>
    <row r="25" spans="4:13" x14ac:dyDescent="0.25">
      <c r="D25">
        <v>9</v>
      </c>
      <c r="E25" s="1">
        <v>165.14099999999999</v>
      </c>
      <c r="F25" s="4">
        <v>0.731290444575174</v>
      </c>
      <c r="G25" s="4">
        <v>0.85110650526094001</v>
      </c>
      <c r="H25" s="4">
        <v>0.63486100676183299</v>
      </c>
      <c r="I25" s="4">
        <v>0.69772673109971195</v>
      </c>
      <c r="J25" s="4">
        <v>0.62328766999999996</v>
      </c>
      <c r="K25" s="4">
        <v>0.71779141000000002</v>
      </c>
      <c r="L25" s="4">
        <v>0.37671232876712302</v>
      </c>
      <c r="M25" s="4">
        <v>0.37097079603934502</v>
      </c>
    </row>
    <row r="26" spans="4:13" x14ac:dyDescent="0.25">
      <c r="D26">
        <v>8</v>
      </c>
      <c r="E26" s="1">
        <v>165.42599999999999</v>
      </c>
      <c r="F26" s="4">
        <v>0.73213610387427497</v>
      </c>
      <c r="G26" s="4">
        <v>0.85110650526094001</v>
      </c>
      <c r="H26" s="4">
        <v>0.63486100676183299</v>
      </c>
      <c r="I26" s="4">
        <v>0.69772673109971195</v>
      </c>
      <c r="J26" s="4">
        <v>0.62328766999999996</v>
      </c>
      <c r="K26" s="4">
        <v>0.71779141000000002</v>
      </c>
      <c r="L26" s="4">
        <v>0.37671232876712302</v>
      </c>
      <c r="M26" s="4">
        <v>0.37097079603934502</v>
      </c>
    </row>
    <row r="27" spans="4:13" x14ac:dyDescent="0.25">
      <c r="D27">
        <v>12</v>
      </c>
      <c r="E27" s="1">
        <v>166.34100000000001</v>
      </c>
      <c r="F27" s="4">
        <v>0.73240398352802705</v>
      </c>
      <c r="G27" s="4">
        <v>0.86746670019790695</v>
      </c>
      <c r="H27" s="4">
        <v>0.60706235912847395</v>
      </c>
      <c r="I27" s="4">
        <v>0.67373076567624202</v>
      </c>
      <c r="J27" s="4">
        <v>0.57705479000000004</v>
      </c>
      <c r="K27" s="4">
        <v>0.82208588999999999</v>
      </c>
      <c r="L27" s="4">
        <v>0.42294520547945202</v>
      </c>
      <c r="M27" s="4">
        <v>0.40821724391047898</v>
      </c>
    </row>
    <row r="28" spans="4:13" x14ac:dyDescent="0.25">
      <c r="D28">
        <v>16</v>
      </c>
      <c r="E28" s="1">
        <v>165.089</v>
      </c>
      <c r="F28" s="4">
        <v>0.73274014623077499</v>
      </c>
      <c r="G28" s="4">
        <v>0.85110650526094001</v>
      </c>
      <c r="H28" s="4">
        <v>0.63486100676183299</v>
      </c>
      <c r="I28" s="4">
        <v>0.69772673109971195</v>
      </c>
      <c r="J28" s="4">
        <v>0.62328766999999996</v>
      </c>
      <c r="K28" s="4">
        <v>0.71779141000000002</v>
      </c>
      <c r="L28" s="4">
        <v>0.37671232876712302</v>
      </c>
      <c r="M28" s="4">
        <v>0.37097079603934502</v>
      </c>
    </row>
    <row r="29" spans="4:13" x14ac:dyDescent="0.25">
      <c r="D29">
        <v>1</v>
      </c>
      <c r="E29" s="1">
        <v>161.99</v>
      </c>
      <c r="F29" s="4">
        <v>0.73304479368014097</v>
      </c>
      <c r="G29" s="4">
        <v>0.85099293604813298</v>
      </c>
      <c r="H29" s="4">
        <v>0.63410969196093103</v>
      </c>
      <c r="I29" s="4">
        <v>0.69710628116349804</v>
      </c>
      <c r="J29" s="4">
        <v>0.62243150999999997</v>
      </c>
      <c r="K29" s="4">
        <v>0.71779141000000002</v>
      </c>
      <c r="L29" s="4">
        <v>0.37756849315068403</v>
      </c>
      <c r="M29" s="4">
        <v>0.371775257741154</v>
      </c>
    </row>
    <row r="30" spans="4:13" x14ac:dyDescent="0.25">
      <c r="D30">
        <v>11</v>
      </c>
      <c r="E30" s="1">
        <v>163.96</v>
      </c>
      <c r="F30" s="4">
        <v>0.733212875031515</v>
      </c>
      <c r="G30" s="4">
        <v>0.85359092046644702</v>
      </c>
      <c r="H30" s="4">
        <v>0.63636363636363602</v>
      </c>
      <c r="I30" s="4">
        <v>0.698973225991531</v>
      </c>
      <c r="J30" s="4">
        <v>0.62328766999999996</v>
      </c>
      <c r="K30" s="4">
        <v>0.73006135000000005</v>
      </c>
      <c r="L30" s="4">
        <v>0.37671232876712302</v>
      </c>
      <c r="M30" s="4">
        <v>0.370232078299427</v>
      </c>
    </row>
    <row r="31" spans="4:13" x14ac:dyDescent="0.25">
      <c r="D31">
        <v>10</v>
      </c>
      <c r="E31" s="1">
        <v>164.964</v>
      </c>
      <c r="F31" s="4">
        <v>0.73358055298764602</v>
      </c>
      <c r="G31" s="4">
        <v>0.85133362040578497</v>
      </c>
      <c r="H31" s="4">
        <v>0.63636363636363602</v>
      </c>
      <c r="I31" s="4">
        <v>0.69896634768191501</v>
      </c>
      <c r="J31" s="4">
        <v>0.625</v>
      </c>
      <c r="K31" s="4">
        <v>0.71779141000000002</v>
      </c>
      <c r="L31" s="4">
        <v>0.375</v>
      </c>
      <c r="M31" s="4">
        <v>0.369361885526022</v>
      </c>
    </row>
    <row r="32" spans="4:13" x14ac:dyDescent="0.25">
      <c r="D32">
        <v>13</v>
      </c>
      <c r="E32" s="1">
        <v>166.339</v>
      </c>
      <c r="F32" s="4">
        <v>0.73370661400117598</v>
      </c>
      <c r="G32" s="4">
        <v>0.85212263136419797</v>
      </c>
      <c r="H32" s="4">
        <v>0.63410969196093103</v>
      </c>
      <c r="I32" s="4">
        <v>0.69710799996304396</v>
      </c>
      <c r="J32" s="4">
        <v>0.62157534000000003</v>
      </c>
      <c r="K32" s="4">
        <v>0.72392637999999998</v>
      </c>
      <c r="L32" s="4">
        <v>0.37842465753424598</v>
      </c>
      <c r="M32" s="4">
        <v>0.37221024901716199</v>
      </c>
    </row>
    <row r="33" spans="2:13" x14ac:dyDescent="0.25">
      <c r="B33" t="s">
        <v>16</v>
      </c>
      <c r="D33">
        <v>14</v>
      </c>
      <c r="E33" s="1">
        <v>165.88900000000001</v>
      </c>
      <c r="F33" s="4">
        <v>0.73680561391713495</v>
      </c>
      <c r="G33" s="4">
        <v>0.85417431728416704</v>
      </c>
      <c r="H33" s="4">
        <v>0.632607062359128</v>
      </c>
      <c r="I33" s="4">
        <v>0.69585887250469802</v>
      </c>
      <c r="J33" s="4">
        <v>0.61815067999999995</v>
      </c>
      <c r="K33" s="4">
        <v>0.73619632000000002</v>
      </c>
      <c r="L33" s="4">
        <v>0.38184931506849301</v>
      </c>
      <c r="M33" s="4">
        <v>0.37469085260162499</v>
      </c>
    </row>
    <row r="34" spans="2:13" x14ac:dyDescent="0.25">
      <c r="E34" s="1">
        <f>SUBTOTAL(101,Tabelle1657[Laufzeit in sec])</f>
        <v>164.26693749999998</v>
      </c>
      <c r="F34" s="5">
        <f>SUBTOTAL(101,Tabelle1657[AUC-Score])</f>
        <v>0.73178631739011646</v>
      </c>
      <c r="G34" s="5"/>
      <c r="H34" s="5">
        <f>SUBTOTAL(101,Tabelle1657[Recall score])</f>
        <v>0.63180879038317006</v>
      </c>
      <c r="I34" s="5">
        <f>SUBTOTAL(101,Tabelle1657[f1 score])</f>
        <v>0.69512277264727396</v>
      </c>
      <c r="J34" s="5">
        <f>SUBTOTAL(101,Tabelle1657[per class acc 1])</f>
        <v>0.61772260124999989</v>
      </c>
      <c r="K34" s="5">
        <f>SUBTOTAL(101,Tabelle1657[per class acc 2])</f>
        <v>0.73274539812500006</v>
      </c>
      <c r="L34" s="5">
        <f>SUBTOTAL(101,Tabelle1657[FAR])</f>
        <v>0.3822773972602736</v>
      </c>
      <c r="M34" s="5">
        <f>SUBTOTAL(101,Tabelle1657[distance heaven])</f>
        <v>0.37530663034419121</v>
      </c>
    </row>
    <row r="36" spans="2:13" x14ac:dyDescent="0.25">
      <c r="J36">
        <v>0.67169999999999996</v>
      </c>
      <c r="K36">
        <v>0.65569999999999995</v>
      </c>
    </row>
    <row r="37" spans="2:13" x14ac:dyDescent="0.25">
      <c r="D37" t="s">
        <v>2</v>
      </c>
      <c r="J37">
        <v>0.69850000000000001</v>
      </c>
      <c r="K37">
        <v>0.67759999999999998</v>
      </c>
    </row>
    <row r="38" spans="2:13" x14ac:dyDescent="0.25">
      <c r="D38" t="s">
        <v>1</v>
      </c>
      <c r="E38" t="s">
        <v>3</v>
      </c>
      <c r="F38" t="s">
        <v>0</v>
      </c>
      <c r="G38" t="s">
        <v>10</v>
      </c>
      <c r="H38" t="s">
        <v>7</v>
      </c>
      <c r="I38" t="s">
        <v>8</v>
      </c>
      <c r="J38" t="s">
        <v>97</v>
      </c>
      <c r="K38" t="s">
        <v>96</v>
      </c>
      <c r="L38" t="s">
        <v>11</v>
      </c>
      <c r="M38" t="s">
        <v>12</v>
      </c>
    </row>
    <row r="39" spans="2:13" x14ac:dyDescent="0.25">
      <c r="B39">
        <f>239.91-230.16</f>
        <v>9.75</v>
      </c>
      <c r="D39">
        <v>16</v>
      </c>
      <c r="E39" s="1">
        <v>235.667</v>
      </c>
      <c r="F39" s="4">
        <v>0.73483995569834504</v>
      </c>
      <c r="G39" s="4">
        <v>0.90493235255441995</v>
      </c>
      <c r="H39" s="4">
        <v>0.69233761182419296</v>
      </c>
      <c r="I39" s="4">
        <v>0.76667557045823898</v>
      </c>
      <c r="J39" s="4">
        <v>0.69514237999999995</v>
      </c>
      <c r="K39" s="4">
        <v>0.65573769999999998</v>
      </c>
      <c r="L39" s="4">
        <v>0.30485762144053602</v>
      </c>
      <c r="M39" s="4">
        <v>0.30626321559111702</v>
      </c>
    </row>
    <row r="40" spans="2:13" x14ac:dyDescent="0.25">
      <c r="D40">
        <v>14</v>
      </c>
      <c r="E40" s="1">
        <v>233.221</v>
      </c>
      <c r="F40" s="4">
        <v>0.74321516507857999</v>
      </c>
      <c r="G40" s="4">
        <v>0.90509036252977704</v>
      </c>
      <c r="H40" s="4">
        <v>0.69428238039673196</v>
      </c>
      <c r="I40" s="4">
        <v>0.76810172105503205</v>
      </c>
      <c r="J40" s="4">
        <v>0.69723617999999998</v>
      </c>
      <c r="K40" s="4">
        <v>0.65573769999999998</v>
      </c>
      <c r="L40" s="4">
        <v>0.302763819095477</v>
      </c>
      <c r="M40" s="4">
        <v>0.30424430404624397</v>
      </c>
    </row>
    <row r="41" spans="2:13" x14ac:dyDescent="0.25">
      <c r="D41">
        <v>9</v>
      </c>
      <c r="E41" s="1">
        <v>232.626</v>
      </c>
      <c r="F41" s="4">
        <v>0.73711796688359799</v>
      </c>
      <c r="G41" s="4">
        <v>0.90518523740091805</v>
      </c>
      <c r="H41" s="4">
        <v>0.695449241540256</v>
      </c>
      <c r="I41" s="4">
        <v>0.76895622244126305</v>
      </c>
      <c r="J41" s="4">
        <v>0.69849245999999998</v>
      </c>
      <c r="K41" s="4">
        <v>0.65573769999999998</v>
      </c>
      <c r="L41" s="4">
        <v>0.30150753768844202</v>
      </c>
      <c r="M41" s="4">
        <v>0.30303296830654602</v>
      </c>
    </row>
    <row r="42" spans="2:13" x14ac:dyDescent="0.25">
      <c r="D42">
        <v>12</v>
      </c>
      <c r="E42" s="1">
        <v>235.04300000000001</v>
      </c>
      <c r="F42" s="4">
        <v>0.73686510878618905</v>
      </c>
      <c r="G42" s="4">
        <v>0.90499141206857303</v>
      </c>
      <c r="H42" s="4">
        <v>0.68611435239206497</v>
      </c>
      <c r="I42" s="4">
        <v>0.76211015068128896</v>
      </c>
      <c r="J42" s="4">
        <v>0.68802344999999998</v>
      </c>
      <c r="K42" s="4">
        <v>0.66120219000000002</v>
      </c>
      <c r="L42" s="4">
        <v>0.31197654941373498</v>
      </c>
      <c r="M42" s="4">
        <v>0.31293255436144102</v>
      </c>
    </row>
    <row r="43" spans="2:13" x14ac:dyDescent="0.25">
      <c r="D43">
        <v>8</v>
      </c>
      <c r="E43" s="1">
        <v>235.40199999999999</v>
      </c>
      <c r="F43" s="4">
        <v>0.73606877740249499</v>
      </c>
      <c r="G43" s="4">
        <v>0.90502270745201197</v>
      </c>
      <c r="H43" s="4">
        <v>0.68650330610657295</v>
      </c>
      <c r="I43" s="4">
        <v>0.762397424802288</v>
      </c>
      <c r="J43" s="4">
        <v>0.68844221000000005</v>
      </c>
      <c r="K43" s="4">
        <v>0.66120219000000002</v>
      </c>
      <c r="L43" s="4">
        <v>0.31155778894472302</v>
      </c>
      <c r="M43" s="4">
        <v>0.312528745025344</v>
      </c>
    </row>
    <row r="44" spans="2:13" x14ac:dyDescent="0.25">
      <c r="D44">
        <v>4</v>
      </c>
      <c r="E44" s="1">
        <v>236.84800000000001</v>
      </c>
      <c r="F44" s="4">
        <v>0.73552873657907003</v>
      </c>
      <c r="G44" s="4">
        <v>0.90505400625363996</v>
      </c>
      <c r="H44" s="4">
        <v>0.68689225982108104</v>
      </c>
      <c r="I44" s="4">
        <v>0.76268459620126094</v>
      </c>
      <c r="J44" s="4">
        <v>0.68886097000000002</v>
      </c>
      <c r="K44" s="4">
        <v>0.66120219000000002</v>
      </c>
      <c r="L44" s="4">
        <v>0.31113902847571101</v>
      </c>
      <c r="M44" s="4">
        <v>0.31212493652443002</v>
      </c>
    </row>
    <row r="45" spans="2:13" x14ac:dyDescent="0.25">
      <c r="D45">
        <v>3</v>
      </c>
      <c r="E45" s="1">
        <v>230.16300000000001</v>
      </c>
      <c r="F45" s="4">
        <v>0.73757448444407803</v>
      </c>
      <c r="G45" s="4">
        <v>0.90505400625363996</v>
      </c>
      <c r="H45" s="4">
        <v>0.68689225982108104</v>
      </c>
      <c r="I45" s="4">
        <v>0.76268459620126094</v>
      </c>
      <c r="J45" s="4">
        <v>0.68886097000000002</v>
      </c>
      <c r="K45" s="4">
        <v>0.66120219000000002</v>
      </c>
      <c r="L45" s="4">
        <v>0.31113902847571101</v>
      </c>
      <c r="M45" s="4">
        <v>0.31212493652443002</v>
      </c>
    </row>
    <row r="46" spans="2:13" x14ac:dyDescent="0.25">
      <c r="D46">
        <v>15</v>
      </c>
      <c r="E46" s="1">
        <v>235.066</v>
      </c>
      <c r="F46" s="4">
        <v>0.74122433661934395</v>
      </c>
      <c r="G46" s="4">
        <v>0.90505400625363996</v>
      </c>
      <c r="H46" s="4">
        <v>0.68689225982108104</v>
      </c>
      <c r="I46" s="4">
        <v>0.76268459620126094</v>
      </c>
      <c r="J46" s="4">
        <v>0.68886097000000002</v>
      </c>
      <c r="K46" s="4">
        <v>0.66120219000000002</v>
      </c>
      <c r="L46" s="4">
        <v>0.31113902847571101</v>
      </c>
      <c r="M46" s="4">
        <v>0.31212493652443002</v>
      </c>
    </row>
    <row r="47" spans="2:13" x14ac:dyDescent="0.25">
      <c r="D47">
        <v>1</v>
      </c>
      <c r="E47" s="1">
        <v>234.58799999999999</v>
      </c>
      <c r="F47" s="4">
        <v>0.74604580278441301</v>
      </c>
      <c r="G47" s="4">
        <v>0.90505400625363996</v>
      </c>
      <c r="H47" s="4">
        <v>0.68689225982108104</v>
      </c>
      <c r="I47" s="4">
        <v>0.76268459620126094</v>
      </c>
      <c r="J47" s="4">
        <v>0.68886097000000002</v>
      </c>
      <c r="K47" s="4">
        <v>0.66120219000000002</v>
      </c>
      <c r="L47" s="4">
        <v>0.31113902847571101</v>
      </c>
      <c r="M47" s="4">
        <v>0.31212493652443002</v>
      </c>
    </row>
    <row r="48" spans="2:13" x14ac:dyDescent="0.25">
      <c r="D48">
        <v>5</v>
      </c>
      <c r="E48" s="1">
        <v>235.48699999999999</v>
      </c>
      <c r="F48" s="4">
        <v>0.736396005528553</v>
      </c>
      <c r="G48" s="4">
        <v>0.90511661464484205</v>
      </c>
      <c r="H48" s="4">
        <v>0.687670167250097</v>
      </c>
      <c r="I48" s="4">
        <v>0.763258631565366</v>
      </c>
      <c r="J48" s="4">
        <v>0.68969849000000005</v>
      </c>
      <c r="K48" s="4">
        <v>0.66120219000000002</v>
      </c>
      <c r="L48" s="4">
        <v>0.31030150753768798</v>
      </c>
      <c r="M48" s="4">
        <v>0.31131732204114798</v>
      </c>
    </row>
    <row r="49" spans="2:13" x14ac:dyDescent="0.25">
      <c r="D49">
        <v>6</v>
      </c>
      <c r="E49" s="1">
        <v>230.506</v>
      </c>
      <c r="F49" s="4">
        <v>0.73959506091477401</v>
      </c>
      <c r="G49" s="4">
        <v>0.90511661464484205</v>
      </c>
      <c r="H49" s="4">
        <v>0.687670167250097</v>
      </c>
      <c r="I49" s="4">
        <v>0.763258631565366</v>
      </c>
      <c r="J49" s="4">
        <v>0.68969849000000005</v>
      </c>
      <c r="K49" s="4">
        <v>0.66120219000000002</v>
      </c>
      <c r="L49" s="4">
        <v>0.31030150753768798</v>
      </c>
      <c r="M49" s="4">
        <v>0.31131732204114798</v>
      </c>
    </row>
    <row r="50" spans="2:13" x14ac:dyDescent="0.25">
      <c r="D50">
        <v>11</v>
      </c>
      <c r="E50" s="1">
        <v>235.483</v>
      </c>
      <c r="F50" s="4">
        <v>0.74267741256372899</v>
      </c>
      <c r="G50" s="4">
        <v>0.90514792450194104</v>
      </c>
      <c r="H50" s="4">
        <v>0.68805912096460498</v>
      </c>
      <c r="I50" s="4">
        <v>0.763545495897199</v>
      </c>
      <c r="J50" s="4">
        <v>0.69011725000000002</v>
      </c>
      <c r="K50" s="4">
        <v>0.66120219000000002</v>
      </c>
      <c r="L50" s="4">
        <v>0.30988274706867602</v>
      </c>
      <c r="M50" s="4">
        <v>0.31091351606532303</v>
      </c>
    </row>
    <row r="51" spans="2:13" x14ac:dyDescent="0.25">
      <c r="D51">
        <v>7</v>
      </c>
      <c r="E51" s="1">
        <v>239.90600000000001</v>
      </c>
      <c r="F51" s="4">
        <v>0.73590516333946598</v>
      </c>
      <c r="G51" s="4">
        <v>0.90527320481068096</v>
      </c>
      <c r="H51" s="4">
        <v>0.689614935822637</v>
      </c>
      <c r="I51" s="4">
        <v>0.76469193517901002</v>
      </c>
      <c r="J51" s="4">
        <v>0.69179228999999998</v>
      </c>
      <c r="K51" s="4">
        <v>0.66120219000000002</v>
      </c>
      <c r="L51" s="4">
        <v>0.30820770519262902</v>
      </c>
      <c r="M51" s="4">
        <v>0.30929830067791497</v>
      </c>
    </row>
    <row r="52" spans="2:13" x14ac:dyDescent="0.25">
      <c r="D52">
        <v>2</v>
      </c>
      <c r="E52" s="1">
        <v>231.11699999999999</v>
      </c>
      <c r="F52" s="4">
        <v>0.73774839589568897</v>
      </c>
      <c r="G52" s="4">
        <v>0.90571159310638305</v>
      </c>
      <c r="H52" s="4">
        <v>0.68805912096460498</v>
      </c>
      <c r="I52" s="4">
        <v>0.76356128778493804</v>
      </c>
      <c r="J52" s="4">
        <v>0.68969849000000005</v>
      </c>
      <c r="K52" s="4">
        <v>0.66666667000000002</v>
      </c>
      <c r="L52" s="4">
        <v>0.31030150753768798</v>
      </c>
      <c r="M52" s="4">
        <v>0.31112227306441498</v>
      </c>
    </row>
    <row r="53" spans="2:13" x14ac:dyDescent="0.25">
      <c r="D53">
        <v>13</v>
      </c>
      <c r="E53" s="1">
        <v>233.45400000000001</v>
      </c>
      <c r="F53" s="4">
        <v>0.73590173087660504</v>
      </c>
      <c r="G53" s="4">
        <v>0.90501373660321704</v>
      </c>
      <c r="H53" s="4">
        <v>0.67211201866977799</v>
      </c>
      <c r="I53" s="4">
        <v>0.75171100101585797</v>
      </c>
      <c r="J53" s="4">
        <v>0.67211054999999997</v>
      </c>
      <c r="K53" s="4">
        <v>0.67213115000000001</v>
      </c>
      <c r="L53" s="4">
        <v>0.32788944723618002</v>
      </c>
      <c r="M53" s="4">
        <v>0.32788871428402</v>
      </c>
    </row>
    <row r="54" spans="2:13" x14ac:dyDescent="0.25">
      <c r="D54">
        <v>10</v>
      </c>
      <c r="E54" s="1">
        <v>234.71899999999999</v>
      </c>
      <c r="F54" s="4">
        <v>0.73844861831928299</v>
      </c>
      <c r="G54" s="4">
        <v>0.90558911004855203</v>
      </c>
      <c r="H54" s="4">
        <v>0.67211201866977799</v>
      </c>
      <c r="I54" s="4">
        <v>0.75171662998715105</v>
      </c>
      <c r="J54" s="4">
        <v>0.67169179000000001</v>
      </c>
      <c r="K54" s="4">
        <v>0.67759563</v>
      </c>
      <c r="L54" s="4">
        <v>0.32830820770519198</v>
      </c>
      <c r="M54" s="4">
        <v>0.32809816179567602</v>
      </c>
    </row>
    <row r="55" spans="2:13" x14ac:dyDescent="0.25">
      <c r="E55" s="1">
        <f>SUBTOTAL(101,Tabelle16589[Laufzeit in sec])</f>
        <v>234.33100000000005</v>
      </c>
      <c r="F55" s="5">
        <f>SUBTOTAL(101,Tabelle16589[AUC-Score])</f>
        <v>0.73844704510713821</v>
      </c>
      <c r="G55" s="5">
        <f>SUBTOTAL(101,Tabelle16589[Precision Score])</f>
        <v>0.90515043096129499</v>
      </c>
      <c r="H55" s="5">
        <f>SUBTOTAL(101,Tabelle16589[Recall score])</f>
        <v>0.68672209257098382</v>
      </c>
      <c r="I55" s="5">
        <f>SUBTOTAL(101,Tabelle16589[f1 score])</f>
        <v>0.76254519295237766</v>
      </c>
      <c r="J55" s="5">
        <f>SUBTOTAL(101,Tabelle16589[per class acc 1])</f>
        <v>0.68859924437500009</v>
      </c>
      <c r="K55" s="5">
        <f>SUBTOTAL(101,Tabelle16589[per class acc 2])</f>
        <v>0.66222677812500008</v>
      </c>
      <c r="L55" s="5">
        <f>SUBTOTAL(101,Tabelle16589[FAR])</f>
        <v>0.31140075376884369</v>
      </c>
      <c r="M55" s="5">
        <f>SUBTOTAL(101,Tabelle16589[distance heaven])</f>
        <v>0.31234107146237855</v>
      </c>
    </row>
    <row r="59" spans="2:13" x14ac:dyDescent="0.25">
      <c r="B59" t="s">
        <v>22</v>
      </c>
      <c r="D59" t="s">
        <v>13</v>
      </c>
    </row>
    <row r="60" spans="2:13" x14ac:dyDescent="0.25">
      <c r="D60" t="s">
        <v>1</v>
      </c>
      <c r="E60" t="s">
        <v>3</v>
      </c>
      <c r="F60" t="s">
        <v>0</v>
      </c>
      <c r="G60" t="s">
        <v>10</v>
      </c>
      <c r="H60" t="s">
        <v>7</v>
      </c>
      <c r="I60" t="s">
        <v>8</v>
      </c>
      <c r="J60" t="s">
        <v>9</v>
      </c>
      <c r="K60" t="s">
        <v>11</v>
      </c>
      <c r="L60" t="s">
        <v>12</v>
      </c>
    </row>
    <row r="61" spans="2:13" x14ac:dyDescent="0.25">
      <c r="D61">
        <v>1</v>
      </c>
      <c r="E61" s="1">
        <v>203.011</v>
      </c>
      <c r="F61" s="6" t="s">
        <v>46</v>
      </c>
      <c r="G61" s="6" t="s">
        <v>47</v>
      </c>
      <c r="H61" s="6" t="s">
        <v>48</v>
      </c>
      <c r="I61" s="6" t="s">
        <v>49</v>
      </c>
      <c r="J61" s="6" t="s">
        <v>50</v>
      </c>
      <c r="K61" s="6" t="s">
        <v>51</v>
      </c>
      <c r="L61" s="6" t="s">
        <v>52</v>
      </c>
    </row>
    <row r="62" spans="2:13" x14ac:dyDescent="0.25">
      <c r="D62">
        <v>2</v>
      </c>
      <c r="E62" s="1">
        <v>200.59100000000001</v>
      </c>
      <c r="F62" s="6" t="s">
        <v>46</v>
      </c>
      <c r="G62" s="6" t="s">
        <v>47</v>
      </c>
      <c r="H62" s="6" t="s">
        <v>48</v>
      </c>
      <c r="I62" s="6" t="s">
        <v>49</v>
      </c>
      <c r="J62" s="6" t="s">
        <v>50</v>
      </c>
      <c r="K62" s="6" t="s">
        <v>51</v>
      </c>
      <c r="L62" s="6" t="s">
        <v>52</v>
      </c>
    </row>
    <row r="63" spans="2:13" x14ac:dyDescent="0.25">
      <c r="D63">
        <v>3</v>
      </c>
      <c r="E63" s="1"/>
      <c r="F63" s="4"/>
      <c r="G63" s="4"/>
      <c r="H63" s="4"/>
      <c r="I63" s="4"/>
      <c r="J63" s="4"/>
      <c r="K63" s="4"/>
      <c r="L63" s="4"/>
    </row>
    <row r="64" spans="2:13" x14ac:dyDescent="0.25">
      <c r="D64">
        <v>4</v>
      </c>
      <c r="E64" s="1"/>
      <c r="F64" s="4"/>
      <c r="G64" s="4"/>
      <c r="H64" s="4"/>
      <c r="I64" s="4"/>
      <c r="J64" s="4"/>
      <c r="K64" s="4"/>
      <c r="L64" s="4"/>
    </row>
    <row r="65" spans="4:12" x14ac:dyDescent="0.25">
      <c r="D65">
        <v>5</v>
      </c>
      <c r="E65" s="1"/>
      <c r="F65" s="4"/>
      <c r="G65" s="4"/>
      <c r="H65" s="4"/>
      <c r="I65" s="4"/>
      <c r="J65" s="4"/>
      <c r="K65" s="4"/>
      <c r="L65" s="4"/>
    </row>
    <row r="66" spans="4:12" x14ac:dyDescent="0.25">
      <c r="D66">
        <v>6</v>
      </c>
      <c r="E66" s="1"/>
      <c r="F66" s="4"/>
      <c r="G66" s="4"/>
      <c r="H66" s="4"/>
      <c r="I66" s="4"/>
      <c r="J66" s="4"/>
      <c r="K66" s="4"/>
      <c r="L66" s="4"/>
    </row>
    <row r="67" spans="4:12" x14ac:dyDescent="0.25">
      <c r="D67">
        <v>7</v>
      </c>
      <c r="E67" s="1"/>
      <c r="F67" s="4"/>
      <c r="G67" s="4"/>
      <c r="H67" s="4"/>
      <c r="I67" s="4"/>
      <c r="J67" s="4"/>
      <c r="K67" s="4"/>
      <c r="L67" s="4"/>
    </row>
    <row r="68" spans="4:12" x14ac:dyDescent="0.25">
      <c r="D68">
        <v>8</v>
      </c>
      <c r="E68" s="1"/>
      <c r="F68" s="4"/>
      <c r="G68" s="4"/>
      <c r="H68" s="4"/>
      <c r="I68" s="4"/>
      <c r="J68" s="4"/>
      <c r="K68" s="4"/>
      <c r="L68" s="4"/>
    </row>
    <row r="69" spans="4:12" x14ac:dyDescent="0.25">
      <c r="D69">
        <v>9</v>
      </c>
      <c r="E69" s="1"/>
      <c r="F69" s="4"/>
      <c r="G69" s="4"/>
      <c r="H69" s="4"/>
      <c r="I69" s="4"/>
      <c r="J69" s="4"/>
      <c r="K69" s="4"/>
      <c r="L69" s="4"/>
    </row>
    <row r="70" spans="4:12" x14ac:dyDescent="0.25">
      <c r="D70">
        <v>10</v>
      </c>
      <c r="E70" s="1"/>
      <c r="F70" s="4"/>
      <c r="G70" s="4"/>
      <c r="H70" s="4"/>
      <c r="I70" s="4"/>
      <c r="J70" s="4"/>
      <c r="K70" s="4"/>
      <c r="L70" s="4"/>
    </row>
    <row r="71" spans="4:12" x14ac:dyDescent="0.25">
      <c r="D71">
        <v>11</v>
      </c>
      <c r="E71" s="1"/>
      <c r="F71" s="4"/>
      <c r="G71" s="4"/>
      <c r="H71" s="4"/>
      <c r="I71" s="4"/>
      <c r="J71" s="4"/>
      <c r="K71" s="4"/>
      <c r="L71" s="4"/>
    </row>
    <row r="72" spans="4:12" x14ac:dyDescent="0.25">
      <c r="D72">
        <v>12</v>
      </c>
      <c r="E72" s="1"/>
      <c r="F72" s="4"/>
      <c r="G72" s="4"/>
      <c r="H72" s="4"/>
      <c r="I72" s="4"/>
      <c r="J72" s="4"/>
      <c r="K72" s="4"/>
      <c r="L72" s="4"/>
    </row>
    <row r="73" spans="4:12" x14ac:dyDescent="0.25">
      <c r="D73">
        <v>13</v>
      </c>
      <c r="E73" s="1"/>
      <c r="F73" s="4"/>
      <c r="G73" s="4"/>
      <c r="H73" s="4"/>
      <c r="I73" s="4"/>
      <c r="J73" s="4"/>
      <c r="K73" s="4"/>
      <c r="L73" s="4"/>
    </row>
    <row r="74" spans="4:12" x14ac:dyDescent="0.25">
      <c r="D74">
        <v>14</v>
      </c>
      <c r="E74" s="1"/>
      <c r="F74" s="4"/>
      <c r="G74" s="4"/>
      <c r="H74" s="4"/>
      <c r="I74" s="4"/>
      <c r="J74" s="4"/>
      <c r="K74" s="4"/>
      <c r="L74" s="4"/>
    </row>
    <row r="75" spans="4:12" x14ac:dyDescent="0.25">
      <c r="D75">
        <v>15</v>
      </c>
      <c r="E75" s="1"/>
      <c r="F75" s="4"/>
      <c r="G75" s="4"/>
      <c r="H75" s="4"/>
      <c r="I75" s="4"/>
      <c r="J75" s="4"/>
      <c r="K75" s="4"/>
      <c r="L75" s="4"/>
    </row>
    <row r="76" spans="4:12" x14ac:dyDescent="0.25">
      <c r="D76">
        <v>16</v>
      </c>
      <c r="E76" s="1"/>
      <c r="F76" s="4"/>
      <c r="G76" s="4"/>
      <c r="H76" s="4"/>
      <c r="I76" s="4"/>
      <c r="J76" s="4"/>
      <c r="K76" s="4"/>
      <c r="L76" s="4"/>
    </row>
    <row r="77" spans="4:12" x14ac:dyDescent="0.25">
      <c r="E77" s="1">
        <f>SUBTOTAL(101,Tabelle1657101416[Laufzeit in sec])</f>
        <v>201.80099999999999</v>
      </c>
      <c r="F77" s="5" t="e">
        <f>SUBTOTAL(101,Tabelle1657101416[AUC-Score])</f>
        <v>#DIV/0!</v>
      </c>
      <c r="G77" s="5"/>
      <c r="H77" s="5" t="e">
        <f>SUBTOTAL(101,Tabelle1657101416[Recall score])</f>
        <v>#DIV/0!</v>
      </c>
      <c r="I77" s="5" t="e">
        <f>SUBTOTAL(101,Tabelle1657101416[f1 score])</f>
        <v>#DIV/0!</v>
      </c>
      <c r="J77" s="5" t="s">
        <v>14</v>
      </c>
      <c r="K77" s="5" t="e">
        <f>SUBTOTAL(101,Tabelle1657101416[FAR])</f>
        <v>#DIV/0!</v>
      </c>
      <c r="L77" s="5" t="e">
        <f>SUBTOTAL(101,Tabelle1657101416[distance heaven])</f>
        <v>#DIV/0!</v>
      </c>
    </row>
    <row r="80" spans="4:12" x14ac:dyDescent="0.25">
      <c r="D80" t="s">
        <v>2</v>
      </c>
    </row>
    <row r="81" spans="4:12" x14ac:dyDescent="0.25">
      <c r="D81" t="s">
        <v>1</v>
      </c>
      <c r="E81" t="s">
        <v>3</v>
      </c>
      <c r="F81" t="s">
        <v>0</v>
      </c>
      <c r="G81" t="s">
        <v>10</v>
      </c>
      <c r="H81" t="s">
        <v>7</v>
      </c>
      <c r="I81" t="s">
        <v>8</v>
      </c>
      <c r="J81" t="s">
        <v>9</v>
      </c>
      <c r="K81" t="s">
        <v>11</v>
      </c>
      <c r="L81" t="s">
        <v>12</v>
      </c>
    </row>
    <row r="82" spans="4:12" x14ac:dyDescent="0.25">
      <c r="D82">
        <v>1</v>
      </c>
      <c r="E82" s="1">
        <v>280.63799999999998</v>
      </c>
      <c r="F82" s="6" t="s">
        <v>53</v>
      </c>
      <c r="G82" s="6" t="s">
        <v>54</v>
      </c>
      <c r="H82" s="6" t="s">
        <v>55</v>
      </c>
      <c r="I82" s="6" t="s">
        <v>56</v>
      </c>
      <c r="J82" s="6" t="s">
        <v>57</v>
      </c>
      <c r="K82" s="6" t="s">
        <v>58</v>
      </c>
      <c r="L82" s="6" t="s">
        <v>59</v>
      </c>
    </row>
    <row r="83" spans="4:12" x14ac:dyDescent="0.25">
      <c r="D83">
        <v>2</v>
      </c>
      <c r="E83" s="1">
        <v>273.20499999999998</v>
      </c>
      <c r="F83" s="6" t="s">
        <v>53</v>
      </c>
      <c r="G83" s="6" t="s">
        <v>54</v>
      </c>
      <c r="H83" s="6" t="s">
        <v>55</v>
      </c>
      <c r="I83" s="6" t="s">
        <v>56</v>
      </c>
      <c r="J83" s="6" t="s">
        <v>57</v>
      </c>
      <c r="K83" s="6" t="s">
        <v>58</v>
      </c>
      <c r="L83" s="6" t="s">
        <v>59</v>
      </c>
    </row>
    <row r="84" spans="4:12" x14ac:dyDescent="0.25">
      <c r="D84">
        <v>3</v>
      </c>
      <c r="E84" s="1"/>
      <c r="F84" s="4"/>
      <c r="G84" s="4"/>
      <c r="H84" s="4"/>
      <c r="I84" s="4"/>
      <c r="J84" s="4"/>
      <c r="K84" s="4"/>
      <c r="L84" s="4"/>
    </row>
    <row r="85" spans="4:12" x14ac:dyDescent="0.25">
      <c r="D85">
        <v>4</v>
      </c>
      <c r="E85" s="1"/>
      <c r="F85" s="4"/>
      <c r="G85" s="4"/>
      <c r="H85" s="4"/>
      <c r="I85" s="4"/>
      <c r="J85" s="4"/>
      <c r="K85" s="4"/>
      <c r="L85" s="4"/>
    </row>
    <row r="86" spans="4:12" x14ac:dyDescent="0.25">
      <c r="D86">
        <v>5</v>
      </c>
      <c r="E86" s="1"/>
      <c r="F86" s="4"/>
      <c r="G86" s="4"/>
      <c r="H86" s="4"/>
      <c r="I86" s="4"/>
      <c r="J86" s="4"/>
      <c r="K86" s="4"/>
      <c r="L86" s="4"/>
    </row>
    <row r="87" spans="4:12" x14ac:dyDescent="0.25">
      <c r="D87">
        <v>6</v>
      </c>
      <c r="E87" s="1"/>
      <c r="F87" s="4"/>
      <c r="G87" s="4"/>
      <c r="H87" s="4"/>
      <c r="I87" s="4"/>
      <c r="J87" s="4"/>
      <c r="K87" s="4"/>
      <c r="L87" s="4"/>
    </row>
    <row r="88" spans="4:12" x14ac:dyDescent="0.25">
      <c r="D88">
        <v>7</v>
      </c>
      <c r="E88" s="1"/>
      <c r="F88" s="4"/>
      <c r="G88" s="4"/>
      <c r="H88" s="4"/>
      <c r="I88" s="4"/>
      <c r="J88" s="4"/>
      <c r="K88" s="4"/>
      <c r="L88" s="4"/>
    </row>
    <row r="89" spans="4:12" x14ac:dyDescent="0.25">
      <c r="D89">
        <v>8</v>
      </c>
      <c r="E89" s="1"/>
      <c r="F89" s="4"/>
      <c r="G89" s="4"/>
      <c r="H89" s="4"/>
      <c r="I89" s="4"/>
      <c r="J89" s="4"/>
      <c r="K89" s="4"/>
      <c r="L89" s="4"/>
    </row>
    <row r="90" spans="4:12" x14ac:dyDescent="0.25">
      <c r="D90">
        <v>9</v>
      </c>
      <c r="E90" s="1"/>
      <c r="F90" s="4"/>
      <c r="G90" s="4"/>
      <c r="H90" s="4"/>
      <c r="I90" s="4"/>
      <c r="J90" s="4"/>
      <c r="K90" s="4"/>
      <c r="L90" s="4"/>
    </row>
    <row r="91" spans="4:12" x14ac:dyDescent="0.25">
      <c r="D91">
        <v>10</v>
      </c>
      <c r="E91" s="1"/>
      <c r="F91" s="4"/>
      <c r="G91" s="4"/>
      <c r="H91" s="4"/>
      <c r="I91" s="4"/>
      <c r="J91" s="4"/>
      <c r="K91" s="4"/>
      <c r="L91" s="4"/>
    </row>
    <row r="92" spans="4:12" x14ac:dyDescent="0.25">
      <c r="D92">
        <v>11</v>
      </c>
      <c r="E92" s="1"/>
      <c r="F92" s="4"/>
      <c r="G92" s="4"/>
      <c r="H92" s="4"/>
      <c r="I92" s="4"/>
      <c r="J92" s="4"/>
      <c r="K92" s="4"/>
      <c r="L92" s="4"/>
    </row>
    <row r="93" spans="4:12" x14ac:dyDescent="0.25">
      <c r="D93">
        <v>12</v>
      </c>
      <c r="E93" s="1"/>
      <c r="F93" s="4"/>
      <c r="G93" s="4"/>
      <c r="H93" s="4"/>
      <c r="I93" s="4"/>
      <c r="J93" s="4"/>
      <c r="K93" s="4"/>
      <c r="L93" s="4"/>
    </row>
    <row r="94" spans="4:12" x14ac:dyDescent="0.25">
      <c r="D94">
        <v>13</v>
      </c>
      <c r="E94" s="1"/>
      <c r="F94" s="4"/>
      <c r="G94" s="4"/>
      <c r="H94" s="4"/>
      <c r="I94" s="4"/>
      <c r="J94" s="4"/>
      <c r="K94" s="4"/>
      <c r="L94" s="4"/>
    </row>
    <row r="95" spans="4:12" x14ac:dyDescent="0.25">
      <c r="D95">
        <v>14</v>
      </c>
      <c r="E95" s="1"/>
      <c r="F95" s="4"/>
      <c r="G95" s="4"/>
      <c r="H95" s="4"/>
      <c r="I95" s="4"/>
      <c r="J95" s="4"/>
      <c r="K95" s="4"/>
      <c r="L95" s="4"/>
    </row>
    <row r="96" spans="4:12" x14ac:dyDescent="0.25">
      <c r="D96">
        <v>15</v>
      </c>
      <c r="E96" s="1"/>
      <c r="F96" s="4"/>
      <c r="G96" s="4"/>
      <c r="H96" s="4"/>
      <c r="I96" s="4"/>
      <c r="J96" s="4"/>
      <c r="K96" s="4"/>
      <c r="L96" s="4"/>
    </row>
    <row r="97" spans="4:12" x14ac:dyDescent="0.25">
      <c r="D97">
        <v>16</v>
      </c>
      <c r="E97" s="1"/>
      <c r="F97" s="4"/>
      <c r="G97" s="4"/>
      <c r="H97" s="4"/>
      <c r="I97" s="4"/>
      <c r="J97" s="4"/>
      <c r="K97" s="4"/>
      <c r="L97" s="4"/>
    </row>
    <row r="98" spans="4:12" x14ac:dyDescent="0.25">
      <c r="E98" s="1">
        <f>SUBTOTAL(101,Tabelle16589111517[Laufzeit in sec])</f>
        <v>276.92149999999998</v>
      </c>
      <c r="F98" s="5" t="e">
        <f>SUBTOTAL(101,Tabelle16589111517[AUC-Score])</f>
        <v>#DIV/0!</v>
      </c>
      <c r="G98" s="5" t="e">
        <f>SUBTOTAL(101,Tabelle16589111517[Precision Score])</f>
        <v>#DIV/0!</v>
      </c>
      <c r="H98" s="5" t="e">
        <f>SUBTOTAL(101,Tabelle16589111517[Recall score])</f>
        <v>#DIV/0!</v>
      </c>
      <c r="I98" s="5" t="e">
        <f>SUBTOTAL(101,Tabelle16589111517[f1 score])</f>
        <v>#DIV/0!</v>
      </c>
      <c r="J98" s="5" t="e">
        <f>SUBTOTAL(101,Tabelle16589111517[per class acc])</f>
        <v>#DIV/0!</v>
      </c>
      <c r="K98" s="5" t="e">
        <f>SUBTOTAL(101,Tabelle16589111517[FAR])</f>
        <v>#DIV/0!</v>
      </c>
      <c r="L98" s="5" t="e">
        <f>SUBTOTAL(101,Tabelle16589111517[distance heaven])</f>
        <v>#DIV/0!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091-C552-4520-A907-36895ECE6409}">
  <dimension ref="B4:M91"/>
  <sheetViews>
    <sheetView topLeftCell="B13" workbookViewId="0">
      <selection activeCell="K31" sqref="K31"/>
    </sheetView>
  </sheetViews>
  <sheetFormatPr baseColWidth="10" defaultRowHeight="15" x14ac:dyDescent="0.25"/>
  <cols>
    <col min="2" max="2" width="14.28515625" bestFit="1" customWidth="1"/>
    <col min="5" max="5" width="22.140625" customWidth="1"/>
    <col min="6" max="6" width="24.7109375" customWidth="1"/>
    <col min="7" max="7" width="25.42578125" customWidth="1"/>
    <col min="8" max="8" width="25.7109375" customWidth="1"/>
    <col min="9" max="9" width="27.140625" customWidth="1"/>
    <col min="10" max="10" width="29.85546875" customWidth="1"/>
    <col min="11" max="11" width="30.140625" customWidth="1"/>
    <col min="12" max="12" width="28.28515625" customWidth="1"/>
    <col min="13" max="13" width="23.85546875" customWidth="1"/>
  </cols>
  <sheetData>
    <row r="4" spans="2:13" x14ac:dyDescent="0.25">
      <c r="B4" t="s">
        <v>15</v>
      </c>
      <c r="E4">
        <f>981.34-966.89</f>
        <v>14.450000000000045</v>
      </c>
      <c r="G4">
        <f>88.29-87.44</f>
        <v>0.85000000000000853</v>
      </c>
    </row>
    <row r="6" spans="2:13" x14ac:dyDescent="0.25">
      <c r="J6">
        <v>0.4889</v>
      </c>
      <c r="K6">
        <v>0.8589</v>
      </c>
    </row>
    <row r="7" spans="2:13" x14ac:dyDescent="0.25">
      <c r="J7">
        <v>0.56510000000000005</v>
      </c>
      <c r="K7">
        <v>0.92020000000000002</v>
      </c>
    </row>
    <row r="9" spans="2:13" x14ac:dyDescent="0.25">
      <c r="D9" t="s">
        <v>13</v>
      </c>
    </row>
    <row r="10" spans="2:13" x14ac:dyDescent="0.25">
      <c r="D10" t="s">
        <v>1</v>
      </c>
      <c r="E10" t="s">
        <v>3</v>
      </c>
      <c r="F10" t="s">
        <v>0</v>
      </c>
      <c r="G10" t="s">
        <v>10</v>
      </c>
      <c r="H10" t="s">
        <v>7</v>
      </c>
      <c r="I10" t="s">
        <v>8</v>
      </c>
      <c r="J10" t="s">
        <v>9</v>
      </c>
      <c r="K10" t="s">
        <v>96</v>
      </c>
      <c r="L10" t="s">
        <v>11</v>
      </c>
      <c r="M10" t="s">
        <v>12</v>
      </c>
    </row>
    <row r="11" spans="2:13" x14ac:dyDescent="0.25">
      <c r="D11">
        <v>10</v>
      </c>
      <c r="E11" s="1">
        <v>980.44</v>
      </c>
      <c r="F11" s="4">
        <v>0.76148205731574004</v>
      </c>
      <c r="G11" s="4">
        <v>0.87444304442920895</v>
      </c>
      <c r="H11" s="4">
        <v>0.60105184072126205</v>
      </c>
      <c r="I11" s="4">
        <v>0.66807644752232997</v>
      </c>
      <c r="J11" s="4">
        <v>0.56506849000000003</v>
      </c>
      <c r="K11" s="4">
        <v>0.85889570999999998</v>
      </c>
      <c r="L11" s="4">
        <v>0.43493150684931497</v>
      </c>
      <c r="M11" s="4">
        <v>0.41732783842089199</v>
      </c>
    </row>
    <row r="12" spans="2:13" x14ac:dyDescent="0.25">
      <c r="D12">
        <v>15</v>
      </c>
      <c r="E12" s="1">
        <v>973.77700000000004</v>
      </c>
      <c r="F12" s="4">
        <v>0.76382469115051599</v>
      </c>
      <c r="G12" s="4">
        <v>0.87476180025651395</v>
      </c>
      <c r="H12" s="4">
        <v>0.59203606311044299</v>
      </c>
      <c r="I12" s="4">
        <v>0.66000488334171004</v>
      </c>
      <c r="J12" s="4">
        <v>0.55393835999999996</v>
      </c>
      <c r="K12" s="4">
        <v>0.86503067</v>
      </c>
      <c r="L12" s="4">
        <v>0.44606164383561597</v>
      </c>
      <c r="M12" s="4">
        <v>0.42743745969659602</v>
      </c>
    </row>
    <row r="13" spans="2:13" x14ac:dyDescent="0.25">
      <c r="D13">
        <v>6</v>
      </c>
      <c r="E13" s="1">
        <v>972.64499999999998</v>
      </c>
      <c r="F13" s="4">
        <v>0.76263236406420698</v>
      </c>
      <c r="G13" s="4">
        <v>0.87561524856826001</v>
      </c>
      <c r="H13" s="4">
        <v>0.57475582268970704</v>
      </c>
      <c r="I13" s="4">
        <v>0.64423288767170395</v>
      </c>
      <c r="J13" s="4">
        <v>0.53253424999999999</v>
      </c>
      <c r="K13" s="4">
        <v>0.87730061000000004</v>
      </c>
      <c r="L13" s="4">
        <v>0.46746575342465702</v>
      </c>
      <c r="M13" s="4">
        <v>0.44685391402626701</v>
      </c>
    </row>
    <row r="14" spans="2:13" x14ac:dyDescent="0.25">
      <c r="D14">
        <v>2</v>
      </c>
      <c r="E14" s="1">
        <v>974.45299999999997</v>
      </c>
      <c r="F14" s="4">
        <v>0.76046831666526504</v>
      </c>
      <c r="G14" s="4">
        <v>0.876646616899597</v>
      </c>
      <c r="H14" s="4">
        <v>0.58452291510142695</v>
      </c>
      <c r="I14" s="4">
        <v>0.65308451039717497</v>
      </c>
      <c r="J14" s="4">
        <v>0.54366437999999995</v>
      </c>
      <c r="K14" s="4">
        <v>0.87730061000000004</v>
      </c>
      <c r="L14" s="4">
        <v>0.45633561643835602</v>
      </c>
      <c r="M14" s="4">
        <v>0.43638480891639098</v>
      </c>
    </row>
    <row r="15" spans="2:13" x14ac:dyDescent="0.25">
      <c r="D15">
        <v>7</v>
      </c>
      <c r="E15" s="1">
        <v>969.77599999999995</v>
      </c>
      <c r="F15" s="4">
        <v>0.75694386082864096</v>
      </c>
      <c r="G15" s="4">
        <v>0.87735935694585998</v>
      </c>
      <c r="H15" s="4">
        <v>0.59128474830954103</v>
      </c>
      <c r="I15" s="4">
        <v>0.65915595096701496</v>
      </c>
      <c r="J15" s="4">
        <v>0.55136985999999999</v>
      </c>
      <c r="K15" s="4">
        <v>0.87730061000000004</v>
      </c>
      <c r="L15" s="4">
        <v>0.448630136986301</v>
      </c>
      <c r="M15" s="4">
        <v>0.42913701586832498</v>
      </c>
    </row>
    <row r="16" spans="2:13" x14ac:dyDescent="0.25">
      <c r="D16">
        <v>4</v>
      </c>
      <c r="E16" s="1">
        <v>966.88499999999999</v>
      </c>
      <c r="F16" s="4">
        <v>0.75980124380199998</v>
      </c>
      <c r="G16" s="4">
        <v>0.87770268779051597</v>
      </c>
      <c r="H16" s="4">
        <v>0.58151765589782101</v>
      </c>
      <c r="I16" s="4">
        <v>0.65026709045069198</v>
      </c>
      <c r="J16" s="4">
        <v>0.53938355999999998</v>
      </c>
      <c r="K16" s="4">
        <v>0.88343558</v>
      </c>
      <c r="L16" s="4">
        <v>0.460616438356164</v>
      </c>
      <c r="M16" s="4">
        <v>0.44005396010556003</v>
      </c>
    </row>
    <row r="17" spans="2:13" x14ac:dyDescent="0.25">
      <c r="D17">
        <v>1</v>
      </c>
      <c r="E17" s="1">
        <v>971.52800000000002</v>
      </c>
      <c r="F17" s="4">
        <v>0.75546264391965701</v>
      </c>
      <c r="G17" s="4">
        <v>0.87785766593300196</v>
      </c>
      <c r="H17" s="4">
        <v>0.58302028549962404</v>
      </c>
      <c r="I17" s="4">
        <v>0.65162674678809696</v>
      </c>
      <c r="J17" s="4">
        <v>0.54109589000000002</v>
      </c>
      <c r="K17" s="4">
        <v>0.88343558</v>
      </c>
      <c r="L17" s="4">
        <v>0.45890410958904099</v>
      </c>
      <c r="M17" s="4">
        <v>0.43844330540135101</v>
      </c>
    </row>
    <row r="18" spans="2:13" x14ac:dyDescent="0.25">
      <c r="C18" t="s">
        <v>17</v>
      </c>
      <c r="D18">
        <v>12</v>
      </c>
      <c r="E18" s="1">
        <v>971.553</v>
      </c>
      <c r="F18" s="4">
        <v>0.75444365072695196</v>
      </c>
      <c r="G18" s="4">
        <v>0.87720640905278002</v>
      </c>
      <c r="H18" s="4">
        <v>0.54845980465815103</v>
      </c>
      <c r="I18" s="4">
        <v>0.61944606444542105</v>
      </c>
      <c r="J18" s="4">
        <v>0.5</v>
      </c>
      <c r="K18" s="4">
        <v>0.89570552000000003</v>
      </c>
      <c r="L18" s="4">
        <v>0.5</v>
      </c>
      <c r="M18" s="4">
        <v>0.47638668537720102</v>
      </c>
    </row>
    <row r="19" spans="2:13" x14ac:dyDescent="0.25">
      <c r="D19">
        <v>13</v>
      </c>
      <c r="E19" s="1">
        <v>973.14</v>
      </c>
      <c r="F19" s="4">
        <v>0.75679153710395797</v>
      </c>
      <c r="G19" s="4">
        <v>0.87965804660824398</v>
      </c>
      <c r="H19" s="4">
        <v>0.57325319308790301</v>
      </c>
      <c r="I19" s="4">
        <v>0.64251266989254496</v>
      </c>
      <c r="J19" s="4">
        <v>0.52825341999999997</v>
      </c>
      <c r="K19" s="4">
        <v>0.89570552000000003</v>
      </c>
      <c r="L19" s="4">
        <v>0.471746575342465</v>
      </c>
      <c r="M19" s="4">
        <v>0.449809775659119</v>
      </c>
    </row>
    <row r="20" spans="2:13" x14ac:dyDescent="0.25">
      <c r="D20">
        <v>9</v>
      </c>
      <c r="E20" s="1">
        <v>980.12300000000005</v>
      </c>
      <c r="F20" s="4">
        <v>0.76065740818556105</v>
      </c>
      <c r="G20" s="4">
        <v>0.87973195897599499</v>
      </c>
      <c r="H20" s="4">
        <v>0.57400450788880497</v>
      </c>
      <c r="I20" s="4">
        <v>0.64320119787281504</v>
      </c>
      <c r="J20" s="4">
        <v>0.52910959000000002</v>
      </c>
      <c r="K20" s="4">
        <v>0.89570552000000003</v>
      </c>
      <c r="L20" s="4">
        <v>0.47089041095890399</v>
      </c>
      <c r="M20" s="4">
        <v>0.44900442004066299</v>
      </c>
    </row>
    <row r="21" spans="2:13" x14ac:dyDescent="0.25">
      <c r="D21">
        <v>16</v>
      </c>
      <c r="E21" s="1">
        <v>973.58299999999997</v>
      </c>
      <c r="F21" s="4">
        <v>0.76397701487519898</v>
      </c>
      <c r="G21" s="4">
        <v>0.87995363733077103</v>
      </c>
      <c r="H21" s="4">
        <v>0.57625845229150996</v>
      </c>
      <c r="I21" s="4">
        <v>0.64526320710387697</v>
      </c>
      <c r="J21" s="4">
        <v>0.53167808000000005</v>
      </c>
      <c r="K21" s="4">
        <v>0.89570552000000003</v>
      </c>
      <c r="L21" s="4">
        <v>0.46832191780821902</v>
      </c>
      <c r="M21" s="4">
        <v>0.44658835517395301</v>
      </c>
    </row>
    <row r="22" spans="2:13" x14ac:dyDescent="0.25">
      <c r="D22">
        <v>5</v>
      </c>
      <c r="E22" s="1">
        <v>972.60299999999995</v>
      </c>
      <c r="F22" s="4">
        <v>0.762091352214471</v>
      </c>
      <c r="G22" s="4">
        <v>0.88061837886302896</v>
      </c>
      <c r="H22" s="4">
        <v>0.58302028549962404</v>
      </c>
      <c r="I22" s="4">
        <v>0.65141743032597399</v>
      </c>
      <c r="J22" s="4">
        <v>0.53938355999999998</v>
      </c>
      <c r="K22" s="4">
        <v>0.89570552000000003</v>
      </c>
      <c r="L22" s="4">
        <v>0.460616438356164</v>
      </c>
      <c r="M22" s="4">
        <v>0.43934017889827298</v>
      </c>
    </row>
    <row r="23" spans="2:13" x14ac:dyDescent="0.25">
      <c r="D23">
        <v>3</v>
      </c>
      <c r="E23" s="1">
        <v>972.96100000000001</v>
      </c>
      <c r="F23" s="4">
        <v>0.75885578620052097</v>
      </c>
      <c r="G23" s="4">
        <v>0.87905209404541895</v>
      </c>
      <c r="H23" s="4">
        <v>0.55221637866265905</v>
      </c>
      <c r="I23" s="4">
        <v>0.62283710394831904</v>
      </c>
      <c r="J23" s="4">
        <v>0.50342465999999997</v>
      </c>
      <c r="K23" s="4">
        <v>0.90184048999999999</v>
      </c>
      <c r="L23" s="4">
        <v>0.49657534246575302</v>
      </c>
      <c r="M23" s="4">
        <v>0.47280928622593799</v>
      </c>
    </row>
    <row r="24" spans="2:13" x14ac:dyDescent="0.25">
      <c r="D24">
        <v>11</v>
      </c>
      <c r="E24" s="1">
        <v>981.33699999999999</v>
      </c>
      <c r="F24" s="4">
        <v>0.75463274224724697</v>
      </c>
      <c r="G24" s="4">
        <v>0.88010953835696504</v>
      </c>
      <c r="H24" s="4">
        <v>0.54770848985724996</v>
      </c>
      <c r="I24" s="4">
        <v>0.618426078493445</v>
      </c>
      <c r="J24" s="4">
        <v>0.49743151000000002</v>
      </c>
      <c r="K24" s="4">
        <v>0.90797545999999996</v>
      </c>
      <c r="L24" s="4">
        <v>0.50256849315068497</v>
      </c>
      <c r="M24" s="4">
        <v>0.47809136179968698</v>
      </c>
    </row>
    <row r="25" spans="2:13" x14ac:dyDescent="0.25">
      <c r="B25">
        <v>0</v>
      </c>
      <c r="D25">
        <v>14</v>
      </c>
      <c r="E25" s="1">
        <v>979.00400000000002</v>
      </c>
      <c r="F25" s="4">
        <v>0.76492247247667799</v>
      </c>
      <c r="G25" s="4">
        <v>0.88259273004866901</v>
      </c>
      <c r="H25" s="4">
        <v>0.54169797145003695</v>
      </c>
      <c r="I25" s="4">
        <v>0.61237385204327299</v>
      </c>
      <c r="J25" s="4">
        <v>0.48886985999999999</v>
      </c>
      <c r="K25" s="4">
        <v>0.92024539999999999</v>
      </c>
      <c r="L25" s="4">
        <v>0.51113013698630105</v>
      </c>
      <c r="M25" s="4">
        <v>0.48543525124811698</v>
      </c>
    </row>
    <row r="26" spans="2:13" x14ac:dyDescent="0.25">
      <c r="D26">
        <v>8</v>
      </c>
      <c r="E26" s="1">
        <v>978.00699999999995</v>
      </c>
      <c r="F26" s="4">
        <v>0.76433418774686901</v>
      </c>
      <c r="G26" s="4">
        <v>0.88292426412681402</v>
      </c>
      <c r="H26" s="4">
        <v>0.54545454545454497</v>
      </c>
      <c r="I26" s="4">
        <v>0.61596364059439901</v>
      </c>
      <c r="J26" s="4">
        <v>0.49315068000000001</v>
      </c>
      <c r="K26" s="4">
        <v>0.92024539999999999</v>
      </c>
      <c r="L26" s="4">
        <v>0.50684931506849296</v>
      </c>
      <c r="M26" s="4">
        <v>0.48140824589600301</v>
      </c>
    </row>
    <row r="27" spans="2:13" x14ac:dyDescent="0.25">
      <c r="E27" s="1">
        <f>SUBTOTAL(101,Tabelle165710[Laufzeit in sec])</f>
        <v>974.48843749999992</v>
      </c>
      <c r="F27" s="5">
        <f>SUBTOTAL(101,Tabelle165710[AUC-Score])</f>
        <v>0.76008258309521759</v>
      </c>
      <c r="G27" s="5">
        <f>SUBTOTAL(101,Tabelle165710[Precision Score])</f>
        <v>0.87851459238947771</v>
      </c>
      <c r="H27" s="5">
        <f>SUBTOTAL(101,Tabelle165710[Recall score])</f>
        <v>0.57189143501126949</v>
      </c>
      <c r="I27" s="5">
        <f>SUBTOTAL(101,Tabelle165710[f1 score])</f>
        <v>0.64111811011617459</v>
      </c>
      <c r="J27" s="5">
        <f>SUBTOTAL(101,Tabelle165710[per class acc])</f>
        <v>0.52739725937500004</v>
      </c>
      <c r="K27" s="5">
        <f>SUBTOTAL(101,Tabelle165710[per class acc 2])</f>
        <v>0.89072085749999996</v>
      </c>
      <c r="L27" s="5">
        <f>SUBTOTAL(101,Tabelle165710[FAR])</f>
        <v>0.47260273972602712</v>
      </c>
      <c r="M27" s="5">
        <f>SUBTOTAL(101,Tabelle165710[distance heaven])</f>
        <v>0.45090699142214596</v>
      </c>
    </row>
    <row r="29" spans="2:13" x14ac:dyDescent="0.25">
      <c r="J29">
        <v>0.66790000000000005</v>
      </c>
      <c r="K29">
        <v>0.68310000000000004</v>
      </c>
    </row>
    <row r="30" spans="2:13" x14ac:dyDescent="0.25">
      <c r="D30" t="s">
        <v>2</v>
      </c>
      <c r="J30">
        <v>0.73660000000000003</v>
      </c>
      <c r="K30">
        <v>0.76500000000000001</v>
      </c>
    </row>
    <row r="31" spans="2:13" x14ac:dyDescent="0.25">
      <c r="D31" t="s">
        <v>1</v>
      </c>
      <c r="E31" t="s">
        <v>3</v>
      </c>
      <c r="F31" t="s">
        <v>0</v>
      </c>
      <c r="G31" t="s">
        <v>10</v>
      </c>
      <c r="H31" t="s">
        <v>7</v>
      </c>
      <c r="I31" t="s">
        <v>8</v>
      </c>
      <c r="J31" t="s">
        <v>97</v>
      </c>
      <c r="K31" t="s">
        <v>96</v>
      </c>
      <c r="L31" t="s">
        <v>11</v>
      </c>
      <c r="M31" t="s">
        <v>12</v>
      </c>
    </row>
    <row r="32" spans="2:13" x14ac:dyDescent="0.25">
      <c r="D32">
        <v>1</v>
      </c>
      <c r="E32" s="1">
        <v>2223.375</v>
      </c>
      <c r="F32" s="4">
        <v>0.77267484965812605</v>
      </c>
      <c r="G32" s="4">
        <v>0.91074974164090905</v>
      </c>
      <c r="H32" s="4">
        <v>0.73006612213146604</v>
      </c>
      <c r="I32" s="4">
        <v>0.79412190695606899</v>
      </c>
      <c r="J32" s="4">
        <v>0.73366834000000003</v>
      </c>
      <c r="K32" s="4">
        <v>0.68306011</v>
      </c>
      <c r="L32" s="4">
        <v>0.266331658291457</v>
      </c>
      <c r="M32" s="4">
        <v>0.26813881724716898</v>
      </c>
    </row>
    <row r="33" spans="2:13" x14ac:dyDescent="0.25">
      <c r="B33" s="1">
        <f>2306.05-2223.38</f>
        <v>82.670000000000073</v>
      </c>
      <c r="D33">
        <v>9</v>
      </c>
      <c r="E33" s="1">
        <v>2237.3009999999999</v>
      </c>
      <c r="F33" s="4">
        <v>0.77543683810674402</v>
      </c>
      <c r="G33" s="4">
        <v>0.91019959674758599</v>
      </c>
      <c r="H33" s="4">
        <v>0.71645274212368704</v>
      </c>
      <c r="I33" s="4">
        <v>0.78437794881196399</v>
      </c>
      <c r="J33" s="4">
        <v>0.71859295999999995</v>
      </c>
      <c r="K33" s="4">
        <v>0.68852458999999999</v>
      </c>
      <c r="L33" s="4">
        <v>0.28140703517587901</v>
      </c>
      <c r="M33" s="4">
        <v>0.28247917347625301</v>
      </c>
    </row>
    <row r="34" spans="2:13" x14ac:dyDescent="0.25">
      <c r="B34">
        <f>91.51-91.02</f>
        <v>0.49000000000000909</v>
      </c>
      <c r="D34">
        <v>7</v>
      </c>
      <c r="E34" s="1">
        <v>2257.0639999999999</v>
      </c>
      <c r="F34" s="4">
        <v>0.77875946215595204</v>
      </c>
      <c r="G34" s="4">
        <v>0.91154673390027197</v>
      </c>
      <c r="H34" s="4">
        <v>0.73317775184752998</v>
      </c>
      <c r="I34" s="4">
        <v>0.79638089938933299</v>
      </c>
      <c r="J34" s="4">
        <v>0.73659965999999999</v>
      </c>
      <c r="K34" s="4">
        <v>0.68852458999999999</v>
      </c>
      <c r="L34" s="4">
        <v>0.26340033500837501</v>
      </c>
      <c r="M34" s="4">
        <v>0.26511681254841402</v>
      </c>
    </row>
    <row r="35" spans="2:13" x14ac:dyDescent="0.25">
      <c r="D35">
        <v>2</v>
      </c>
      <c r="E35" s="1">
        <v>2267.875</v>
      </c>
      <c r="F35" s="4">
        <v>0.77379612085930505</v>
      </c>
      <c r="G35" s="4">
        <v>0.91231997492279804</v>
      </c>
      <c r="H35" s="4">
        <v>0.72928821470244998</v>
      </c>
      <c r="I35" s="4">
        <v>0.79367558030695196</v>
      </c>
      <c r="J35" s="4">
        <v>0.73157454</v>
      </c>
      <c r="K35" s="4">
        <v>0.69945354999999998</v>
      </c>
      <c r="L35" s="4">
        <v>0.26842546063651501</v>
      </c>
      <c r="M35" s="4">
        <v>0.26957104686604599</v>
      </c>
    </row>
    <row r="36" spans="2:13" x14ac:dyDescent="0.25">
      <c r="D36">
        <v>4</v>
      </c>
      <c r="E36" s="1">
        <v>2306.0479999999998</v>
      </c>
      <c r="F36" s="4">
        <v>0.77472975075743</v>
      </c>
      <c r="G36" s="4">
        <v>0.91240464190521797</v>
      </c>
      <c r="H36" s="4">
        <v>0.72345390898482997</v>
      </c>
      <c r="I36" s="4">
        <v>0.78951947896482599</v>
      </c>
      <c r="J36" s="4">
        <v>0.72487436999999999</v>
      </c>
      <c r="K36" s="4">
        <v>0.70491802999999997</v>
      </c>
      <c r="L36" s="4">
        <v>0.27512562814070302</v>
      </c>
      <c r="M36" s="4">
        <v>0.27583677394030198</v>
      </c>
    </row>
    <row r="37" spans="2:13" x14ac:dyDescent="0.25">
      <c r="D37">
        <v>12</v>
      </c>
      <c r="E37" s="1">
        <v>2236.7289999999998</v>
      </c>
      <c r="F37" s="4">
        <v>0.78191732798784397</v>
      </c>
      <c r="G37" s="4">
        <v>0.91277339582566297</v>
      </c>
      <c r="H37" s="4">
        <v>0.72812135355892604</v>
      </c>
      <c r="I37" s="4">
        <v>0.79287417705912</v>
      </c>
      <c r="J37" s="4">
        <v>0.72989950000000003</v>
      </c>
      <c r="K37" s="4">
        <v>0.70491802999999997</v>
      </c>
      <c r="L37" s="4">
        <v>0.27010050251256201</v>
      </c>
      <c r="M37" s="4">
        <v>0.27099103292191101</v>
      </c>
    </row>
    <row r="38" spans="2:13" x14ac:dyDescent="0.25">
      <c r="D38">
        <v>13</v>
      </c>
      <c r="E38" s="1">
        <v>2239.4899999999998</v>
      </c>
      <c r="F38" s="4">
        <v>0.78708661705613603</v>
      </c>
      <c r="G38" s="4">
        <v>0.91325965171661505</v>
      </c>
      <c r="H38" s="4">
        <v>0.72734344612990998</v>
      </c>
      <c r="I38" s="4">
        <v>0.79234971321542802</v>
      </c>
      <c r="J38" s="4">
        <v>0.72864322000000004</v>
      </c>
      <c r="K38" s="4">
        <v>0.71038250999999997</v>
      </c>
      <c r="L38" s="4">
        <v>0.271356783919598</v>
      </c>
      <c r="M38" s="4">
        <v>0.27200744525426102</v>
      </c>
    </row>
    <row r="39" spans="2:13" x14ac:dyDescent="0.25">
      <c r="D39">
        <v>10</v>
      </c>
      <c r="E39" s="1">
        <v>2224.7260000000001</v>
      </c>
      <c r="F39" s="4">
        <v>0.77692881529688496</v>
      </c>
      <c r="G39" s="4">
        <v>0.91329026279054104</v>
      </c>
      <c r="H39" s="4">
        <v>0.72773239984441795</v>
      </c>
      <c r="I39" s="4">
        <v>0.79262911086966503</v>
      </c>
      <c r="J39" s="4">
        <v>0.72906198</v>
      </c>
      <c r="K39" s="4">
        <v>0.71038250999999997</v>
      </c>
      <c r="L39" s="4">
        <v>0.27093802345058599</v>
      </c>
      <c r="M39" s="4">
        <v>0.27160362538614002</v>
      </c>
    </row>
    <row r="40" spans="2:13" x14ac:dyDescent="0.25">
      <c r="D40">
        <v>15</v>
      </c>
      <c r="E40" s="1">
        <v>2235.5450000000001</v>
      </c>
      <c r="F40" s="4">
        <v>0.77874344399593598</v>
      </c>
      <c r="G40" s="4">
        <v>0.91140632505455599</v>
      </c>
      <c r="H40" s="4">
        <v>0.69583819525476398</v>
      </c>
      <c r="I40" s="4">
        <v>0.76944211694714404</v>
      </c>
      <c r="J40" s="4">
        <v>0.69430486000000002</v>
      </c>
      <c r="K40" s="4">
        <v>0.71584698999999996</v>
      </c>
      <c r="L40" s="4">
        <v>0.30569514237855899</v>
      </c>
      <c r="M40" s="4">
        <v>0.30492943736193001</v>
      </c>
    </row>
    <row r="41" spans="2:13" x14ac:dyDescent="0.25">
      <c r="C41">
        <v>24.1</v>
      </c>
      <c r="D41">
        <v>3</v>
      </c>
      <c r="E41" s="1">
        <v>2260.6950000000002</v>
      </c>
      <c r="F41" s="4">
        <v>0.77655353269077598</v>
      </c>
      <c r="G41" s="4">
        <v>0.91210778697531103</v>
      </c>
      <c r="H41" s="4">
        <v>0.70517308440295601</v>
      </c>
      <c r="I41" s="4">
        <v>0.77630238132324103</v>
      </c>
      <c r="J41" s="4">
        <v>0.70435510999999995</v>
      </c>
      <c r="K41" s="4">
        <v>0.71584698999999996</v>
      </c>
      <c r="L41" s="4">
        <v>0.29564489112227799</v>
      </c>
      <c r="M41" s="4">
        <v>0.29523618664314299</v>
      </c>
    </row>
    <row r="42" spans="2:13" x14ac:dyDescent="0.25">
      <c r="D42">
        <v>16</v>
      </c>
      <c r="E42" s="1">
        <v>2239.1529999999998</v>
      </c>
      <c r="F42" s="4">
        <v>0.77691050882829404</v>
      </c>
      <c r="G42" s="4">
        <v>0.91191675198627198</v>
      </c>
      <c r="H42" s="4">
        <v>0.69506028782574802</v>
      </c>
      <c r="I42" s="4">
        <v>0.76888285489453301</v>
      </c>
      <c r="J42" s="4">
        <v>0.69304858000000003</v>
      </c>
      <c r="K42" s="4">
        <v>0.72131148</v>
      </c>
      <c r="L42" s="4">
        <v>0.30695142378559398</v>
      </c>
      <c r="M42" s="4">
        <v>0.30594722144915598</v>
      </c>
    </row>
    <row r="43" spans="2:13" x14ac:dyDescent="0.25">
      <c r="D43">
        <v>6</v>
      </c>
      <c r="E43" s="1">
        <v>2282.6860000000001</v>
      </c>
      <c r="F43" s="4">
        <v>0.78029491720899502</v>
      </c>
      <c r="G43" s="4">
        <v>0.91325585642332496</v>
      </c>
      <c r="H43" s="4">
        <v>0.71295215869311501</v>
      </c>
      <c r="I43" s="4">
        <v>0.78200257189441302</v>
      </c>
      <c r="J43" s="4">
        <v>0.71231155999999995</v>
      </c>
      <c r="K43" s="4">
        <v>0.72131148</v>
      </c>
      <c r="L43" s="4">
        <v>0.287688442211055</v>
      </c>
      <c r="M43" s="4">
        <v>0.28736832026231202</v>
      </c>
    </row>
    <row r="44" spans="2:13" x14ac:dyDescent="0.25">
      <c r="D44">
        <v>14</v>
      </c>
      <c r="E44" s="1">
        <v>2263.6689999999999</v>
      </c>
      <c r="F44" s="4">
        <v>0.78456947762491802</v>
      </c>
      <c r="G44" s="4">
        <v>0.91325585642332496</v>
      </c>
      <c r="H44" s="4">
        <v>0.71295215869311501</v>
      </c>
      <c r="I44" s="4">
        <v>0.78200257189441302</v>
      </c>
      <c r="J44" s="4">
        <v>0.71231155999999995</v>
      </c>
      <c r="K44" s="4">
        <v>0.72131148</v>
      </c>
      <c r="L44" s="4">
        <v>0.287688442211055</v>
      </c>
      <c r="M44" s="4">
        <v>0.28736832026231202</v>
      </c>
    </row>
    <row r="45" spans="2:13" x14ac:dyDescent="0.25">
      <c r="D45">
        <v>8</v>
      </c>
      <c r="E45" s="1">
        <v>2260.3939999999998</v>
      </c>
      <c r="F45" s="4">
        <v>0.77979606593989903</v>
      </c>
      <c r="G45" s="4">
        <v>0.913262361077125</v>
      </c>
      <c r="H45" s="4">
        <v>0.70556203811746399</v>
      </c>
      <c r="I45" s="4">
        <v>0.77662817418650798</v>
      </c>
      <c r="J45" s="4">
        <v>0.70393634999999999</v>
      </c>
      <c r="K45" s="4">
        <v>0.72677596</v>
      </c>
      <c r="L45" s="4">
        <v>0.296063651591289</v>
      </c>
      <c r="M45" s="4">
        <v>0.29525192564241598</v>
      </c>
    </row>
    <row r="46" spans="2:13" x14ac:dyDescent="0.25">
      <c r="D46">
        <v>5</v>
      </c>
      <c r="E46" s="1">
        <v>2269.991</v>
      </c>
      <c r="F46" s="4">
        <v>0.77411419575106799</v>
      </c>
      <c r="G46" s="4">
        <v>0.91328384522034001</v>
      </c>
      <c r="H46" s="4">
        <v>0.69817191754181196</v>
      </c>
      <c r="I46" s="4">
        <v>0.77121110326212805</v>
      </c>
      <c r="J46" s="4">
        <v>0.69556114000000002</v>
      </c>
      <c r="K46" s="4">
        <v>0.73224043999999999</v>
      </c>
      <c r="L46" s="4">
        <v>0.30443886097152401</v>
      </c>
      <c r="M46" s="4">
        <v>0.30313628241273299</v>
      </c>
    </row>
    <row r="47" spans="2:13" x14ac:dyDescent="0.25">
      <c r="D47">
        <v>11</v>
      </c>
      <c r="E47" s="1">
        <v>2232.9070000000002</v>
      </c>
      <c r="F47" s="4">
        <v>0.77735787315447902</v>
      </c>
      <c r="G47" s="4">
        <v>0.91511908299700895</v>
      </c>
      <c r="H47" s="4">
        <v>0.67483469467133395</v>
      </c>
      <c r="I47" s="4">
        <v>0.753809850655623</v>
      </c>
      <c r="J47" s="4">
        <v>0.66792295000000002</v>
      </c>
      <c r="K47" s="4">
        <v>0.76502731999999996</v>
      </c>
      <c r="L47" s="4">
        <v>0.33207705192629799</v>
      </c>
      <c r="M47" s="4">
        <v>0.32863934959583402</v>
      </c>
    </row>
    <row r="48" spans="2:13" x14ac:dyDescent="0.25">
      <c r="E48" s="1">
        <f>SUBTOTAL(101,Tabelle1658911[Laufzeit in sec])</f>
        <v>2252.3530000000001</v>
      </c>
      <c r="F48" s="5">
        <f>SUBTOTAL(101,Tabelle1658911[AUC-Score])</f>
        <v>0.77810436231704916</v>
      </c>
      <c r="G48" s="5">
        <f>SUBTOTAL(101,Tabelle1658911[Precision Score])</f>
        <v>0.91250949160042893</v>
      </c>
      <c r="H48" s="5">
        <f>SUBTOTAL(101,Tabelle1658911[Recall score])</f>
        <v>0.71351127965772021</v>
      </c>
      <c r="I48" s="5">
        <f>SUBTOTAL(101,Tabelle1658911[f1 score])</f>
        <v>0.78226315253945999</v>
      </c>
      <c r="J48" s="5">
        <f>SUBTOTAL(101,Tabelle1658911[per class acc 1])</f>
        <v>0.71354166750000003</v>
      </c>
      <c r="K48" s="5">
        <f>SUBTOTAL(101,Tabelle1658911[per class acc 2])</f>
        <v>0.71311475375</v>
      </c>
      <c r="L48" s="5">
        <f>SUBTOTAL(101,Tabelle1658911[FAR])</f>
        <v>0.28645833333333293</v>
      </c>
      <c r="M48" s="5">
        <f>SUBTOTAL(101,Tabelle1658911[distance heaven])</f>
        <v>0.28647636070439575</v>
      </c>
    </row>
    <row r="51" spans="2:12" x14ac:dyDescent="0.25">
      <c r="B51" t="s">
        <v>22</v>
      </c>
    </row>
    <row r="52" spans="2:12" x14ac:dyDescent="0.25">
      <c r="D52" t="s">
        <v>13</v>
      </c>
    </row>
    <row r="53" spans="2:12" x14ac:dyDescent="0.25">
      <c r="D53" t="s">
        <v>1</v>
      </c>
      <c r="E53" t="s">
        <v>3</v>
      </c>
      <c r="F53" t="s">
        <v>0</v>
      </c>
      <c r="G53" t="s">
        <v>10</v>
      </c>
      <c r="H53" t="s">
        <v>7</v>
      </c>
      <c r="I53" t="s">
        <v>8</v>
      </c>
      <c r="J53" t="s">
        <v>9</v>
      </c>
      <c r="K53" t="s">
        <v>11</v>
      </c>
      <c r="L53" t="s">
        <v>12</v>
      </c>
    </row>
    <row r="54" spans="2:12" x14ac:dyDescent="0.25">
      <c r="D54">
        <v>1</v>
      </c>
      <c r="E54" s="1">
        <v>1962.0519999999999</v>
      </c>
      <c r="F54" s="6" t="s">
        <v>32</v>
      </c>
      <c r="G54" s="6" t="s">
        <v>33</v>
      </c>
      <c r="H54" s="6" t="s">
        <v>34</v>
      </c>
      <c r="I54" s="6" t="s">
        <v>35</v>
      </c>
      <c r="J54" s="6" t="s">
        <v>36</v>
      </c>
      <c r="K54" s="6" t="s">
        <v>37</v>
      </c>
      <c r="L54" s="6" t="s">
        <v>38</v>
      </c>
    </row>
    <row r="55" spans="2:12" x14ac:dyDescent="0.25">
      <c r="D55">
        <v>2</v>
      </c>
      <c r="E55" s="1">
        <v>1983.7449999999999</v>
      </c>
      <c r="F55" s="6" t="s">
        <v>32</v>
      </c>
      <c r="G55" s="6" t="s">
        <v>33</v>
      </c>
      <c r="H55" s="6" t="s">
        <v>34</v>
      </c>
      <c r="I55" s="6" t="s">
        <v>35</v>
      </c>
      <c r="J55" s="6" t="s">
        <v>36</v>
      </c>
      <c r="K55" s="6" t="s">
        <v>37</v>
      </c>
      <c r="L55" s="6" t="s">
        <v>38</v>
      </c>
    </row>
    <row r="56" spans="2:12" x14ac:dyDescent="0.25">
      <c r="D56">
        <v>3</v>
      </c>
      <c r="E56" s="1"/>
      <c r="F56" s="4"/>
      <c r="G56" s="4"/>
      <c r="H56" s="4"/>
      <c r="I56" s="4"/>
      <c r="J56" s="4"/>
      <c r="K56" s="4"/>
      <c r="L56" s="4"/>
    </row>
    <row r="57" spans="2:12" x14ac:dyDescent="0.25">
      <c r="D57">
        <v>4</v>
      </c>
      <c r="E57" s="1"/>
      <c r="F57" s="4"/>
      <c r="G57" s="4"/>
      <c r="H57" s="4"/>
      <c r="I57" s="4"/>
      <c r="J57" s="4"/>
      <c r="K57" s="4"/>
      <c r="L57" s="4"/>
    </row>
    <row r="58" spans="2:12" x14ac:dyDescent="0.25">
      <c r="D58">
        <v>5</v>
      </c>
      <c r="E58" s="1"/>
      <c r="F58" s="4"/>
      <c r="G58" s="4"/>
      <c r="H58" s="4"/>
      <c r="I58" s="4"/>
      <c r="J58" s="4"/>
      <c r="K58" s="4"/>
      <c r="L58" s="4"/>
    </row>
    <row r="59" spans="2:12" x14ac:dyDescent="0.25">
      <c r="D59">
        <v>6</v>
      </c>
      <c r="E59" s="1"/>
      <c r="F59" s="4"/>
      <c r="G59" s="4"/>
      <c r="H59" s="4"/>
      <c r="I59" s="4"/>
      <c r="J59" s="4"/>
      <c r="K59" s="4"/>
      <c r="L59" s="4"/>
    </row>
    <row r="60" spans="2:12" x14ac:dyDescent="0.25">
      <c r="D60">
        <v>7</v>
      </c>
      <c r="E60" s="1"/>
      <c r="F60" s="4"/>
      <c r="G60" s="4"/>
      <c r="H60" s="4"/>
      <c r="I60" s="4"/>
      <c r="J60" s="4"/>
      <c r="K60" s="4"/>
      <c r="L60" s="4"/>
    </row>
    <row r="61" spans="2:12" x14ac:dyDescent="0.25">
      <c r="D61">
        <v>8</v>
      </c>
      <c r="E61" s="1"/>
      <c r="F61" s="4"/>
      <c r="G61" s="4"/>
      <c r="H61" s="4"/>
      <c r="I61" s="4"/>
      <c r="J61" s="4"/>
      <c r="K61" s="4"/>
      <c r="L61" s="4"/>
    </row>
    <row r="62" spans="2:12" x14ac:dyDescent="0.25">
      <c r="D62">
        <v>9</v>
      </c>
      <c r="E62" s="1"/>
      <c r="F62" s="4"/>
      <c r="G62" s="4"/>
      <c r="H62" s="4"/>
      <c r="I62" s="4"/>
      <c r="J62" s="4"/>
      <c r="K62" s="4"/>
      <c r="L62" s="4"/>
    </row>
    <row r="63" spans="2:12" x14ac:dyDescent="0.25">
      <c r="D63">
        <v>10</v>
      </c>
      <c r="E63" s="1"/>
      <c r="F63" s="4"/>
      <c r="G63" s="4"/>
      <c r="H63" s="4"/>
      <c r="I63" s="4"/>
      <c r="J63" s="4"/>
      <c r="K63" s="4"/>
      <c r="L63" s="4"/>
    </row>
    <row r="64" spans="2:12" x14ac:dyDescent="0.25">
      <c r="D64">
        <v>11</v>
      </c>
      <c r="E64" s="1"/>
      <c r="F64" s="4"/>
      <c r="G64" s="4"/>
      <c r="H64" s="4"/>
      <c r="I64" s="4"/>
      <c r="J64" s="4"/>
      <c r="K64" s="4"/>
      <c r="L64" s="4"/>
    </row>
    <row r="65" spans="4:12" x14ac:dyDescent="0.25">
      <c r="D65">
        <v>12</v>
      </c>
      <c r="E65" s="1"/>
      <c r="F65" s="4"/>
      <c r="G65" s="4"/>
      <c r="H65" s="4"/>
      <c r="I65" s="4"/>
      <c r="J65" s="4"/>
      <c r="K65" s="4"/>
      <c r="L65" s="4"/>
    </row>
    <row r="66" spans="4:12" x14ac:dyDescent="0.25">
      <c r="D66">
        <v>13</v>
      </c>
      <c r="E66" s="1"/>
      <c r="F66" s="4"/>
      <c r="G66" s="4"/>
      <c r="H66" s="4"/>
      <c r="I66" s="4"/>
      <c r="J66" s="4"/>
      <c r="K66" s="4"/>
      <c r="L66" s="4"/>
    </row>
    <row r="67" spans="4:12" x14ac:dyDescent="0.25">
      <c r="D67">
        <v>14</v>
      </c>
      <c r="E67" s="1"/>
      <c r="F67" s="4"/>
      <c r="G67" s="4"/>
      <c r="H67" s="4"/>
      <c r="I67" s="4"/>
      <c r="J67" s="4"/>
      <c r="K67" s="4"/>
      <c r="L67" s="4"/>
    </row>
    <row r="68" spans="4:12" x14ac:dyDescent="0.25">
      <c r="D68">
        <v>15</v>
      </c>
      <c r="E68" s="1"/>
      <c r="F68" s="4"/>
      <c r="G68" s="4"/>
      <c r="H68" s="4"/>
      <c r="I68" s="4"/>
      <c r="J68" s="4"/>
      <c r="K68" s="4"/>
      <c r="L68" s="4"/>
    </row>
    <row r="69" spans="4:12" x14ac:dyDescent="0.25">
      <c r="D69">
        <v>16</v>
      </c>
      <c r="E69" s="1"/>
      <c r="F69" s="4"/>
      <c r="G69" s="4"/>
      <c r="H69" s="4"/>
      <c r="I69" s="4"/>
      <c r="J69" s="4"/>
      <c r="K69" s="4"/>
      <c r="L69" s="4"/>
    </row>
    <row r="70" spans="4:12" x14ac:dyDescent="0.25">
      <c r="E70" s="1">
        <f>SUBTOTAL(101,Tabelle16571014[Laufzeit in sec])</f>
        <v>1972.8984999999998</v>
      </c>
      <c r="F70" s="5" t="e">
        <f>SUBTOTAL(101,Tabelle16571014[AUC-Score])</f>
        <v>#DIV/0!</v>
      </c>
      <c r="G70" s="5"/>
      <c r="H70" s="5" t="e">
        <f>SUBTOTAL(101,Tabelle16571014[Recall score])</f>
        <v>#DIV/0!</v>
      </c>
      <c r="I70" s="5" t="e">
        <f>SUBTOTAL(101,Tabelle16571014[f1 score])</f>
        <v>#DIV/0!</v>
      </c>
      <c r="J70" s="5" t="s">
        <v>14</v>
      </c>
      <c r="K70" s="5" t="e">
        <f>SUBTOTAL(101,Tabelle16571014[FAR])</f>
        <v>#DIV/0!</v>
      </c>
      <c r="L70" s="5" t="e">
        <f>SUBTOTAL(101,Tabelle16571014[distance heaven])</f>
        <v>#DIV/0!</v>
      </c>
    </row>
    <row r="73" spans="4:12" x14ac:dyDescent="0.25">
      <c r="D73" t="s">
        <v>2</v>
      </c>
    </row>
    <row r="74" spans="4:12" x14ac:dyDescent="0.25">
      <c r="D74" t="s">
        <v>1</v>
      </c>
      <c r="E74" t="s">
        <v>3</v>
      </c>
      <c r="F74" t="s">
        <v>0</v>
      </c>
      <c r="G74" t="s">
        <v>10</v>
      </c>
      <c r="H74" t="s">
        <v>7</v>
      </c>
      <c r="I74" t="s">
        <v>8</v>
      </c>
      <c r="J74" t="s">
        <v>9</v>
      </c>
      <c r="K74" t="s">
        <v>11</v>
      </c>
      <c r="L74" t="s">
        <v>12</v>
      </c>
    </row>
    <row r="75" spans="4:12" x14ac:dyDescent="0.25">
      <c r="D75">
        <v>1</v>
      </c>
      <c r="E75" s="1">
        <v>4674.8209999999999</v>
      </c>
      <c r="F75" s="6" t="s">
        <v>39</v>
      </c>
      <c r="G75" s="6" t="s">
        <v>40</v>
      </c>
      <c r="H75" s="6" t="s">
        <v>41</v>
      </c>
      <c r="I75" s="6" t="s">
        <v>42</v>
      </c>
      <c r="J75" s="6" t="s">
        <v>43</v>
      </c>
      <c r="K75" s="6" t="s">
        <v>44</v>
      </c>
      <c r="L75" s="6" t="s">
        <v>45</v>
      </c>
    </row>
    <row r="76" spans="4:12" x14ac:dyDescent="0.25">
      <c r="D76">
        <v>2</v>
      </c>
      <c r="E76" s="1">
        <v>4679.8630000000003</v>
      </c>
      <c r="F76" s="6" t="s">
        <v>39</v>
      </c>
      <c r="G76" s="6" t="s">
        <v>40</v>
      </c>
      <c r="H76" s="6" t="s">
        <v>41</v>
      </c>
      <c r="I76" s="6" t="s">
        <v>42</v>
      </c>
      <c r="J76" s="6" t="s">
        <v>43</v>
      </c>
      <c r="K76" s="6" t="s">
        <v>44</v>
      </c>
      <c r="L76" s="6" t="s">
        <v>45</v>
      </c>
    </row>
    <row r="77" spans="4:12" x14ac:dyDescent="0.25">
      <c r="D77">
        <v>3</v>
      </c>
      <c r="E77" s="1"/>
      <c r="F77" s="4"/>
      <c r="G77" s="4"/>
      <c r="H77" s="4"/>
      <c r="I77" s="4"/>
      <c r="J77" s="4"/>
      <c r="K77" s="4"/>
      <c r="L77" s="4"/>
    </row>
    <row r="78" spans="4:12" x14ac:dyDescent="0.25">
      <c r="D78">
        <v>4</v>
      </c>
      <c r="E78" s="1"/>
      <c r="F78" s="4"/>
      <c r="G78" s="4"/>
      <c r="H78" s="4"/>
      <c r="I78" s="4"/>
      <c r="J78" s="4"/>
      <c r="K78" s="4"/>
      <c r="L78" s="4"/>
    </row>
    <row r="79" spans="4:12" x14ac:dyDescent="0.25">
      <c r="D79">
        <v>5</v>
      </c>
      <c r="E79" s="1"/>
      <c r="F79" s="4"/>
      <c r="G79" s="4"/>
      <c r="H79" s="4"/>
      <c r="I79" s="4"/>
      <c r="J79" s="4"/>
      <c r="K79" s="4"/>
      <c r="L79" s="4"/>
    </row>
    <row r="80" spans="4:12" x14ac:dyDescent="0.25">
      <c r="D80">
        <v>6</v>
      </c>
      <c r="E80" s="1"/>
      <c r="F80" s="4"/>
      <c r="G80" s="4"/>
      <c r="H80" s="4"/>
      <c r="I80" s="4"/>
      <c r="J80" s="4"/>
      <c r="K80" s="4"/>
      <c r="L80" s="4"/>
    </row>
    <row r="81" spans="4:12" x14ac:dyDescent="0.25">
      <c r="D81">
        <v>7</v>
      </c>
      <c r="E81" s="1"/>
      <c r="F81" s="4"/>
      <c r="G81" s="4"/>
      <c r="H81" s="4"/>
      <c r="I81" s="4"/>
      <c r="J81" s="4"/>
      <c r="K81" s="4"/>
      <c r="L81" s="4"/>
    </row>
    <row r="82" spans="4:12" x14ac:dyDescent="0.25">
      <c r="D82">
        <v>8</v>
      </c>
      <c r="E82" s="1"/>
      <c r="F82" s="4"/>
      <c r="G82" s="4"/>
      <c r="H82" s="4"/>
      <c r="I82" s="4"/>
      <c r="J82" s="4"/>
      <c r="K82" s="4"/>
      <c r="L82" s="4"/>
    </row>
    <row r="83" spans="4:12" x14ac:dyDescent="0.25">
      <c r="D83">
        <v>9</v>
      </c>
      <c r="E83" s="1"/>
      <c r="F83" s="4"/>
      <c r="G83" s="4"/>
      <c r="H83" s="4"/>
      <c r="I83" s="4"/>
      <c r="J83" s="4"/>
      <c r="K83" s="4"/>
      <c r="L83" s="4"/>
    </row>
    <row r="84" spans="4:12" x14ac:dyDescent="0.25">
      <c r="D84">
        <v>10</v>
      </c>
      <c r="E84" s="1"/>
      <c r="F84" s="4"/>
      <c r="G84" s="4"/>
      <c r="H84" s="4"/>
      <c r="I84" s="4"/>
      <c r="J84" s="4"/>
      <c r="K84" s="4"/>
      <c r="L84" s="4"/>
    </row>
    <row r="85" spans="4:12" x14ac:dyDescent="0.25">
      <c r="D85">
        <v>11</v>
      </c>
      <c r="E85" s="1"/>
      <c r="F85" s="4"/>
      <c r="G85" s="4"/>
      <c r="H85" s="4"/>
      <c r="I85" s="4"/>
      <c r="J85" s="4"/>
      <c r="K85" s="4"/>
      <c r="L85" s="4"/>
    </row>
    <row r="86" spans="4:12" x14ac:dyDescent="0.25">
      <c r="D86">
        <v>12</v>
      </c>
      <c r="E86" s="1"/>
      <c r="F86" s="4"/>
      <c r="G86" s="4"/>
      <c r="H86" s="4"/>
      <c r="I86" s="4"/>
      <c r="J86" s="4"/>
      <c r="K86" s="4"/>
      <c r="L86" s="4"/>
    </row>
    <row r="87" spans="4:12" x14ac:dyDescent="0.25">
      <c r="D87">
        <v>13</v>
      </c>
      <c r="E87" s="1"/>
      <c r="F87" s="4"/>
      <c r="G87" s="4"/>
      <c r="H87" s="4"/>
      <c r="I87" s="4"/>
      <c r="J87" s="4"/>
      <c r="K87" s="4"/>
      <c r="L87" s="4"/>
    </row>
    <row r="88" spans="4:12" x14ac:dyDescent="0.25">
      <c r="D88">
        <v>14</v>
      </c>
      <c r="E88" s="1"/>
      <c r="F88" s="4"/>
      <c r="G88" s="4"/>
      <c r="H88" s="4"/>
      <c r="I88" s="4"/>
      <c r="J88" s="4"/>
      <c r="K88" s="4"/>
      <c r="L88" s="4"/>
    </row>
    <row r="89" spans="4:12" x14ac:dyDescent="0.25">
      <c r="D89">
        <v>15</v>
      </c>
      <c r="E89" s="1"/>
      <c r="F89" s="4"/>
      <c r="G89" s="4"/>
      <c r="H89" s="4"/>
      <c r="I89" s="4"/>
      <c r="J89" s="4"/>
      <c r="K89" s="4"/>
      <c r="L89" s="4"/>
    </row>
    <row r="90" spans="4:12" x14ac:dyDescent="0.25">
      <c r="D90">
        <v>16</v>
      </c>
      <c r="E90" s="1"/>
      <c r="F90" s="4"/>
      <c r="G90" s="4"/>
      <c r="H90" s="4"/>
      <c r="I90" s="4"/>
      <c r="J90" s="4"/>
      <c r="K90" s="4"/>
      <c r="L90" s="4"/>
    </row>
    <row r="91" spans="4:12" x14ac:dyDescent="0.25">
      <c r="E91" s="1">
        <f>SUBTOTAL(101,Tabelle165891115[Laufzeit in sec])</f>
        <v>4677.3420000000006</v>
      </c>
      <c r="F91" s="5" t="e">
        <f>SUBTOTAL(101,Tabelle165891115[AUC-Score])</f>
        <v>#DIV/0!</v>
      </c>
      <c r="G91" s="5" t="e">
        <f>SUBTOTAL(101,Tabelle165891115[Precision Score])</f>
        <v>#DIV/0!</v>
      </c>
      <c r="H91" s="5" t="e">
        <f>SUBTOTAL(101,Tabelle165891115[Recall score])</f>
        <v>#DIV/0!</v>
      </c>
      <c r="I91" s="5" t="e">
        <f>SUBTOTAL(101,Tabelle165891115[f1 score])</f>
        <v>#DIV/0!</v>
      </c>
      <c r="J91" s="5" t="e">
        <f>SUBTOTAL(101,Tabelle165891115[per class acc])</f>
        <v>#DIV/0!</v>
      </c>
      <c r="K91" s="5" t="e">
        <f>SUBTOTAL(101,Tabelle165891115[FAR])</f>
        <v>#DIV/0!</v>
      </c>
      <c r="L91" s="5" t="e">
        <f>SUBTOTAL(101,Tabelle165891115[distance heaven])</f>
        <v>#DIV/0!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482D-A8EC-49A6-B342-9B16058A9D18}">
  <dimension ref="B2:L85"/>
  <sheetViews>
    <sheetView workbookViewId="0">
      <selection activeCell="I74" sqref="I74"/>
    </sheetView>
  </sheetViews>
  <sheetFormatPr baseColWidth="10" defaultRowHeight="15" x14ac:dyDescent="0.25"/>
  <cols>
    <col min="4" max="4" width="15.42578125" customWidth="1"/>
    <col min="5" max="5" width="30.28515625" customWidth="1"/>
    <col min="6" max="6" width="33.7109375" customWidth="1"/>
    <col min="7" max="7" width="33.140625" customWidth="1"/>
    <col min="8" max="8" width="26.28515625" customWidth="1"/>
    <col min="9" max="9" width="35.140625" customWidth="1"/>
    <col min="10" max="10" width="29.42578125" customWidth="1"/>
    <col min="11" max="11" width="31.85546875" customWidth="1"/>
    <col min="12" max="12" width="25" customWidth="1"/>
  </cols>
  <sheetData>
    <row r="2" spans="2:11" x14ac:dyDescent="0.25">
      <c r="B2" t="s">
        <v>5</v>
      </c>
      <c r="C2" t="s">
        <v>119</v>
      </c>
    </row>
    <row r="5" spans="2:11" x14ac:dyDescent="0.25">
      <c r="B5" t="s">
        <v>18</v>
      </c>
      <c r="C5" t="s">
        <v>1</v>
      </c>
      <c r="D5" t="s">
        <v>3</v>
      </c>
      <c r="E5" t="s">
        <v>0</v>
      </c>
      <c r="F5" t="s">
        <v>10</v>
      </c>
      <c r="G5" t="s">
        <v>7</v>
      </c>
      <c r="H5" t="s">
        <v>8</v>
      </c>
      <c r="I5" t="s">
        <v>9</v>
      </c>
      <c r="J5" t="s">
        <v>11</v>
      </c>
      <c r="K5" t="s">
        <v>12</v>
      </c>
    </row>
    <row r="6" spans="2:11" x14ac:dyDescent="0.25">
      <c r="C6">
        <v>1</v>
      </c>
      <c r="D6" s="1">
        <v>1170.0519999999999</v>
      </c>
      <c r="E6" s="4">
        <v>0.74401735439952899</v>
      </c>
      <c r="F6" s="4">
        <v>0.86183720395381702</v>
      </c>
      <c r="G6" s="4">
        <v>0.63786626596543905</v>
      </c>
      <c r="H6" s="4">
        <v>0.70019673393015402</v>
      </c>
      <c r="I6" s="4" t="s">
        <v>19</v>
      </c>
      <c r="J6" s="4">
        <v>0.380993150684931</v>
      </c>
      <c r="K6" s="4">
        <v>0.37168307884180302</v>
      </c>
    </row>
    <row r="7" spans="2:11" x14ac:dyDescent="0.25">
      <c r="C7">
        <v>2</v>
      </c>
      <c r="D7" s="1">
        <v>1161.0160000000001</v>
      </c>
      <c r="E7" s="4">
        <v>0.74401735439952899</v>
      </c>
      <c r="F7" s="4">
        <v>0.86183720395381702</v>
      </c>
      <c r="G7" s="4">
        <v>0.63786626596543905</v>
      </c>
      <c r="H7" s="4">
        <v>0.70019673393015402</v>
      </c>
      <c r="I7" s="4" t="s">
        <v>19</v>
      </c>
      <c r="J7" s="4">
        <v>0.380993150684931</v>
      </c>
      <c r="K7" s="4">
        <v>0.37168307884180302</v>
      </c>
    </row>
    <row r="8" spans="2:11" x14ac:dyDescent="0.25">
      <c r="C8">
        <v>3</v>
      </c>
      <c r="D8" s="1">
        <v>1161.471</v>
      </c>
      <c r="E8" s="4">
        <v>0.74401735439952899</v>
      </c>
      <c r="F8" s="4">
        <v>0.86183720395381702</v>
      </c>
      <c r="G8" s="4">
        <v>0.63786626596543905</v>
      </c>
      <c r="H8" s="4">
        <v>0.70019673393015402</v>
      </c>
      <c r="I8" s="4" t="s">
        <v>19</v>
      </c>
      <c r="J8" s="4">
        <v>0.380993150684931</v>
      </c>
      <c r="K8" s="4">
        <v>0.37168307884180302</v>
      </c>
    </row>
    <row r="9" spans="2:11" x14ac:dyDescent="0.25">
      <c r="C9">
        <v>4</v>
      </c>
      <c r="D9" s="1">
        <v>1170.8140000000001</v>
      </c>
      <c r="E9" s="4">
        <v>0.74401735439952899</v>
      </c>
      <c r="F9" s="4">
        <v>0.86183720395381702</v>
      </c>
      <c r="G9" s="4">
        <v>0.63786626596543905</v>
      </c>
      <c r="H9" s="4">
        <v>0.70019673393015402</v>
      </c>
      <c r="I9" s="4" t="s">
        <v>19</v>
      </c>
      <c r="J9" s="4">
        <v>0.380993150684931</v>
      </c>
      <c r="K9" s="4">
        <v>0.37168307884180302</v>
      </c>
    </row>
    <row r="10" spans="2:11" x14ac:dyDescent="0.25">
      <c r="C10">
        <v>5</v>
      </c>
      <c r="D10" s="1">
        <v>1180.1949999999999</v>
      </c>
      <c r="E10" s="6"/>
      <c r="F10" s="6"/>
      <c r="G10" s="6"/>
      <c r="H10" s="6"/>
      <c r="I10" s="6"/>
      <c r="J10" s="6"/>
      <c r="K10" s="6"/>
    </row>
    <row r="11" spans="2:11" x14ac:dyDescent="0.25">
      <c r="C11">
        <v>6</v>
      </c>
      <c r="D11" s="1">
        <v>1183.818</v>
      </c>
      <c r="E11" s="6"/>
      <c r="F11" s="6"/>
      <c r="G11" s="6"/>
      <c r="H11" s="6"/>
      <c r="I11" s="6"/>
      <c r="J11" s="6"/>
      <c r="K11" s="6"/>
    </row>
    <row r="12" spans="2:11" x14ac:dyDescent="0.25">
      <c r="C12">
        <v>7</v>
      </c>
      <c r="D12" s="1"/>
      <c r="E12" s="6"/>
      <c r="F12" s="6"/>
      <c r="G12" s="6"/>
      <c r="H12" s="6"/>
      <c r="I12" s="6"/>
      <c r="J12" s="6"/>
      <c r="K12" s="6"/>
    </row>
    <row r="13" spans="2:11" x14ac:dyDescent="0.25">
      <c r="C13">
        <v>8</v>
      </c>
      <c r="D13" s="1"/>
      <c r="E13" s="6"/>
      <c r="F13" s="6"/>
      <c r="G13" s="6"/>
      <c r="H13" s="6"/>
      <c r="I13" s="6"/>
      <c r="J13" s="6"/>
      <c r="K13" s="6"/>
    </row>
    <row r="14" spans="2:11" x14ac:dyDescent="0.25">
      <c r="C14">
        <v>9</v>
      </c>
      <c r="D14" s="1"/>
      <c r="E14" s="6"/>
      <c r="F14" s="6"/>
      <c r="G14" s="6"/>
      <c r="H14" s="6"/>
      <c r="I14" s="6"/>
      <c r="J14" s="6"/>
      <c r="K14" s="6"/>
    </row>
    <row r="15" spans="2:11" x14ac:dyDescent="0.25">
      <c r="C15">
        <v>10</v>
      </c>
      <c r="D15" s="1"/>
      <c r="E15" s="6"/>
      <c r="F15" s="6"/>
      <c r="G15" s="6"/>
      <c r="H15" s="6"/>
      <c r="I15" s="6"/>
      <c r="J15" s="6"/>
      <c r="K15" s="6"/>
    </row>
    <row r="16" spans="2:11" x14ac:dyDescent="0.25">
      <c r="C16">
        <v>11</v>
      </c>
      <c r="D16" s="1"/>
      <c r="E16" s="6"/>
      <c r="F16" s="6"/>
      <c r="G16" s="6"/>
      <c r="H16" s="6"/>
      <c r="I16" s="6"/>
      <c r="J16" s="6"/>
      <c r="K16" s="6"/>
    </row>
    <row r="17" spans="3:11" x14ac:dyDescent="0.25">
      <c r="C17">
        <v>12</v>
      </c>
      <c r="D17" s="1"/>
      <c r="E17" s="6"/>
      <c r="F17" s="6"/>
      <c r="G17" s="6"/>
      <c r="H17" s="6"/>
      <c r="I17" s="6"/>
      <c r="J17" s="6"/>
      <c r="K17" s="6"/>
    </row>
    <row r="18" spans="3:11" x14ac:dyDescent="0.25">
      <c r="C18">
        <v>13</v>
      </c>
      <c r="D18" s="1"/>
      <c r="E18" s="6"/>
      <c r="F18" s="6"/>
      <c r="G18" s="6"/>
      <c r="H18" s="6"/>
      <c r="I18" s="6"/>
      <c r="J18" s="6"/>
      <c r="K18" s="6"/>
    </row>
    <row r="19" spans="3:11" x14ac:dyDescent="0.25">
      <c r="C19">
        <v>14</v>
      </c>
      <c r="D19" s="1"/>
      <c r="E19" s="6"/>
      <c r="F19" s="6"/>
      <c r="G19" s="6"/>
      <c r="H19" s="6"/>
      <c r="I19" s="6"/>
      <c r="J19" s="6"/>
      <c r="K19" s="6"/>
    </row>
    <row r="20" spans="3:11" x14ac:dyDescent="0.25">
      <c r="C20">
        <v>15</v>
      </c>
      <c r="D20" s="1"/>
      <c r="E20" s="6"/>
      <c r="F20" s="6"/>
      <c r="G20" s="6"/>
      <c r="H20" s="6"/>
      <c r="I20" s="6"/>
      <c r="J20" s="6"/>
      <c r="K20" s="6"/>
    </row>
    <row r="21" spans="3:11" x14ac:dyDescent="0.25">
      <c r="C21">
        <v>16</v>
      </c>
      <c r="D21" s="1"/>
      <c r="E21" s="6"/>
      <c r="F21" s="6"/>
      <c r="G21" s="6"/>
      <c r="H21" s="6"/>
      <c r="I21" s="6"/>
      <c r="J21" s="4"/>
      <c r="K21" s="6"/>
    </row>
    <row r="22" spans="3:11" x14ac:dyDescent="0.25">
      <c r="D22" s="1">
        <f>SUBTOTAL(101,Tabelle16571012[Laufzeit in sec])</f>
        <v>1171.2276666666667</v>
      </c>
      <c r="E22" s="5">
        <f>SUBTOTAL(101,Tabelle16571012[AUC-Score])</f>
        <v>0.74401735439952899</v>
      </c>
      <c r="F22" s="5"/>
      <c r="G22" s="5">
        <f>SUBTOTAL(101,Tabelle16571012[Recall score])</f>
        <v>0.63786626596543905</v>
      </c>
      <c r="H22" s="5">
        <f>SUBTOTAL(101,Tabelle16571012[f1 score])</f>
        <v>0.70019673393015402</v>
      </c>
      <c r="I22" s="5" t="s">
        <v>14</v>
      </c>
      <c r="J22" s="5">
        <f>SUBTOTAL(101,Tabelle16571012[FAR])</f>
        <v>0.380993150684931</v>
      </c>
      <c r="K22" s="5">
        <f>SUBTOTAL(101,Tabelle16571012[distance heaven])</f>
        <v>0.37168307884180302</v>
      </c>
    </row>
    <row r="25" spans="3:11" x14ac:dyDescent="0.25">
      <c r="C25" t="s">
        <v>2</v>
      </c>
    </row>
    <row r="26" spans="3:11" x14ac:dyDescent="0.25">
      <c r="C26" t="s">
        <v>1</v>
      </c>
      <c r="D26" t="s">
        <v>3</v>
      </c>
      <c r="E26" t="s">
        <v>0</v>
      </c>
      <c r="F26" t="s">
        <v>10</v>
      </c>
      <c r="G26" t="s">
        <v>7</v>
      </c>
      <c r="H26" t="s">
        <v>8</v>
      </c>
      <c r="I26" t="s">
        <v>9</v>
      </c>
      <c r="J26" t="s">
        <v>11</v>
      </c>
      <c r="K26" t="s">
        <v>12</v>
      </c>
    </row>
    <row r="27" spans="3:11" x14ac:dyDescent="0.25">
      <c r="C27">
        <v>1</v>
      </c>
      <c r="D27" s="1">
        <v>2496.0770000000002</v>
      </c>
      <c r="E27" s="4">
        <v>0.75788551134543303</v>
      </c>
      <c r="F27" s="4">
        <v>0.90572716075281001</v>
      </c>
      <c r="G27" s="4">
        <v>0.73434461299105402</v>
      </c>
      <c r="H27" s="4">
        <v>0.796744243332141</v>
      </c>
      <c r="I27" s="4" t="s">
        <v>20</v>
      </c>
      <c r="J27" s="4">
        <v>0.25753768844221098</v>
      </c>
      <c r="K27" s="4">
        <v>0.26162802374270799</v>
      </c>
    </row>
    <row r="28" spans="3:11" x14ac:dyDescent="0.25">
      <c r="C28">
        <v>2</v>
      </c>
      <c r="D28" s="1">
        <v>2496.2240000000002</v>
      </c>
      <c r="E28" s="4">
        <v>0.75788551134543303</v>
      </c>
      <c r="F28" s="4">
        <v>0.90572716075281001</v>
      </c>
      <c r="G28" s="4">
        <v>0.73434461299105402</v>
      </c>
      <c r="H28" s="4">
        <v>0.796744243332141</v>
      </c>
      <c r="I28" s="4" t="s">
        <v>20</v>
      </c>
      <c r="J28" s="4">
        <v>0.25753768844221098</v>
      </c>
      <c r="K28" s="4">
        <v>0.26162802374270799</v>
      </c>
    </row>
    <row r="29" spans="3:11" x14ac:dyDescent="0.25">
      <c r="C29">
        <v>3</v>
      </c>
      <c r="D29" s="1">
        <v>2508.866</v>
      </c>
      <c r="E29" s="4">
        <v>0.75788551134543303</v>
      </c>
      <c r="F29" s="4">
        <v>0.90572716075281001</v>
      </c>
      <c r="G29" s="4">
        <v>0.73434461299105402</v>
      </c>
      <c r="H29" s="4">
        <v>0.796744243332141</v>
      </c>
      <c r="I29" s="4" t="s">
        <v>20</v>
      </c>
      <c r="J29" s="4">
        <v>0.25753768844221098</v>
      </c>
      <c r="K29" s="4">
        <v>0.26162802374270799</v>
      </c>
    </row>
    <row r="30" spans="3:11" x14ac:dyDescent="0.25">
      <c r="C30">
        <v>4</v>
      </c>
      <c r="D30" s="1">
        <v>2527.326</v>
      </c>
      <c r="E30" s="4">
        <v>0.75788551134543303</v>
      </c>
      <c r="F30" s="4">
        <v>0.90572716075281001</v>
      </c>
      <c r="G30" s="4">
        <v>0.73434461299105402</v>
      </c>
      <c r="H30" s="4">
        <v>0.796744243332141</v>
      </c>
      <c r="I30" s="4" t="s">
        <v>20</v>
      </c>
      <c r="J30" s="4">
        <v>0.25753768844221098</v>
      </c>
      <c r="K30" s="4">
        <v>0.26162802374270799</v>
      </c>
    </row>
    <row r="31" spans="3:11" x14ac:dyDescent="0.25">
      <c r="C31">
        <v>5</v>
      </c>
      <c r="D31" s="1">
        <v>2642.4789999999998</v>
      </c>
      <c r="E31" s="6"/>
      <c r="F31" s="6"/>
      <c r="G31" s="6"/>
      <c r="H31" s="6"/>
      <c r="I31" s="6"/>
      <c r="J31" s="6"/>
      <c r="K31" s="6"/>
    </row>
    <row r="32" spans="3:11" x14ac:dyDescent="0.25">
      <c r="C32">
        <v>6</v>
      </c>
      <c r="D32" s="1">
        <v>2653.7779999999998</v>
      </c>
      <c r="E32" s="6"/>
      <c r="F32" s="6"/>
      <c r="G32" s="6"/>
      <c r="H32" s="6"/>
      <c r="I32" s="6"/>
      <c r="J32" s="6"/>
      <c r="K32" s="6"/>
    </row>
    <row r="33" spans="2:12" x14ac:dyDescent="0.25">
      <c r="C33">
        <v>7</v>
      </c>
      <c r="D33" s="1"/>
      <c r="E33" s="6"/>
      <c r="F33" s="6"/>
      <c r="G33" s="6"/>
      <c r="H33" s="6"/>
      <c r="I33" s="6"/>
      <c r="J33" s="6"/>
      <c r="K33" s="6"/>
    </row>
    <row r="34" spans="2:12" x14ac:dyDescent="0.25">
      <c r="C34">
        <v>8</v>
      </c>
      <c r="D34" s="1"/>
      <c r="E34" s="6"/>
      <c r="F34" s="6"/>
      <c r="G34" s="6"/>
      <c r="H34" s="6"/>
      <c r="I34" s="6"/>
      <c r="J34" s="6"/>
      <c r="K34" s="6"/>
    </row>
    <row r="35" spans="2:12" x14ac:dyDescent="0.25">
      <c r="C35">
        <v>9</v>
      </c>
      <c r="D35" s="1"/>
      <c r="E35" s="6"/>
      <c r="F35" s="6"/>
      <c r="G35" s="6"/>
      <c r="H35" s="6"/>
      <c r="I35" s="6"/>
      <c r="J35" s="6"/>
      <c r="K35" s="6"/>
    </row>
    <row r="36" spans="2:12" x14ac:dyDescent="0.25">
      <c r="C36">
        <v>10</v>
      </c>
      <c r="D36" s="1"/>
      <c r="E36" s="6"/>
      <c r="F36" s="6"/>
      <c r="G36" s="6"/>
      <c r="H36" s="6"/>
      <c r="I36" s="6"/>
      <c r="J36" s="6"/>
      <c r="K36" s="6"/>
    </row>
    <row r="37" spans="2:12" x14ac:dyDescent="0.25">
      <c r="C37">
        <v>11</v>
      </c>
      <c r="D37" s="1"/>
      <c r="E37" s="6"/>
      <c r="F37" s="6"/>
      <c r="G37" s="6"/>
      <c r="H37" s="6"/>
      <c r="I37" s="6"/>
      <c r="J37" s="6"/>
      <c r="K37" s="6"/>
    </row>
    <row r="38" spans="2:12" x14ac:dyDescent="0.25">
      <c r="C38">
        <v>12</v>
      </c>
      <c r="D38" s="1"/>
      <c r="E38" s="6"/>
      <c r="F38" s="6"/>
      <c r="G38" s="6"/>
      <c r="H38" s="6"/>
      <c r="I38" s="6"/>
      <c r="J38" s="6"/>
      <c r="K38" s="6"/>
    </row>
    <row r="39" spans="2:12" x14ac:dyDescent="0.25">
      <c r="C39">
        <v>13</v>
      </c>
      <c r="D39" s="1"/>
      <c r="E39" s="6"/>
      <c r="F39" s="6"/>
      <c r="G39" s="6"/>
      <c r="H39" s="6"/>
      <c r="I39" s="6"/>
      <c r="J39" s="6"/>
      <c r="K39" s="6"/>
    </row>
    <row r="40" spans="2:12" x14ac:dyDescent="0.25">
      <c r="C40">
        <v>14</v>
      </c>
      <c r="D40" s="1"/>
      <c r="E40" s="6"/>
      <c r="F40" s="6"/>
      <c r="G40" s="6"/>
      <c r="H40" s="6"/>
      <c r="I40" s="6"/>
      <c r="J40" s="6"/>
      <c r="K40" s="6"/>
    </row>
    <row r="41" spans="2:12" x14ac:dyDescent="0.25">
      <c r="C41">
        <v>15</v>
      </c>
      <c r="D41" s="1"/>
      <c r="E41" s="6"/>
      <c r="F41" s="6"/>
      <c r="G41" s="6"/>
      <c r="H41" s="6"/>
      <c r="I41" s="6"/>
      <c r="J41" s="6"/>
      <c r="K41" s="6"/>
    </row>
    <row r="42" spans="2:12" x14ac:dyDescent="0.25">
      <c r="C42">
        <v>16</v>
      </c>
      <c r="D42" s="1"/>
      <c r="E42" s="6"/>
      <c r="F42" s="6"/>
      <c r="G42" s="6"/>
      <c r="H42" s="6"/>
      <c r="I42" s="6"/>
      <c r="J42" s="6"/>
      <c r="K42" s="6"/>
    </row>
    <row r="43" spans="2:12" x14ac:dyDescent="0.25">
      <c r="D43" s="1">
        <f>SUBTOTAL(101,Tabelle165891113[Laufzeit in sec])</f>
        <v>2554.125</v>
      </c>
      <c r="E43" s="5">
        <f>SUBTOTAL(101,Tabelle165891113[AUC-Score])</f>
        <v>0.75788551134543303</v>
      </c>
      <c r="F43" s="5">
        <f>SUBTOTAL(101,Tabelle165891113[Precision Score])</f>
        <v>0.90572716075281001</v>
      </c>
      <c r="G43" s="5">
        <f>SUBTOTAL(101,Tabelle165891113[Recall score])</f>
        <v>0.73434461299105402</v>
      </c>
      <c r="H43" s="5">
        <f>SUBTOTAL(101,Tabelle165891113[f1 score])</f>
        <v>0.796744243332141</v>
      </c>
      <c r="I43" s="5" t="e">
        <f>SUBTOTAL(101,Tabelle165891113[per class acc])</f>
        <v>#DIV/0!</v>
      </c>
      <c r="J43" s="5">
        <f>SUBTOTAL(101,Tabelle165891113[FAR])</f>
        <v>0.25753768844221098</v>
      </c>
      <c r="K43" s="5">
        <f>SUBTOTAL(101,Tabelle165891113[distance heaven])</f>
        <v>0.26162802374270799</v>
      </c>
    </row>
    <row r="45" spans="2:12" x14ac:dyDescent="0.25">
      <c r="B45" t="s">
        <v>101</v>
      </c>
    </row>
    <row r="46" spans="2:12" x14ac:dyDescent="0.25">
      <c r="C46" t="s">
        <v>4</v>
      </c>
    </row>
    <row r="47" spans="2:12" x14ac:dyDescent="0.25">
      <c r="C47" t="s">
        <v>1</v>
      </c>
      <c r="D47" t="s">
        <v>3</v>
      </c>
      <c r="E47" t="s">
        <v>0</v>
      </c>
      <c r="F47" t="s">
        <v>10</v>
      </c>
      <c r="G47" t="s">
        <v>7</v>
      </c>
      <c r="H47" t="s">
        <v>8</v>
      </c>
      <c r="I47" t="s">
        <v>9</v>
      </c>
      <c r="J47" t="s">
        <v>96</v>
      </c>
      <c r="K47" t="s">
        <v>11</v>
      </c>
      <c r="L47" t="s">
        <v>12</v>
      </c>
    </row>
    <row r="48" spans="2:12" x14ac:dyDescent="0.25">
      <c r="C48">
        <v>1</v>
      </c>
      <c r="D48" s="1">
        <v>5629.6180000000004</v>
      </c>
      <c r="E48" s="6">
        <v>0.77114148247751901</v>
      </c>
      <c r="F48" s="6">
        <v>0.85466097037005595</v>
      </c>
      <c r="G48" s="6">
        <v>0.67918858001502602</v>
      </c>
      <c r="H48" s="6">
        <v>0.73346406851545598</v>
      </c>
      <c r="I48" s="6">
        <v>0.67636985999999999</v>
      </c>
      <c r="J48" s="6">
        <v>0.69938650000000002</v>
      </c>
      <c r="K48" s="6">
        <v>0.323630136986301</v>
      </c>
      <c r="L48" s="6" t="s">
        <v>98</v>
      </c>
    </row>
    <row r="49" spans="3:12" x14ac:dyDescent="0.25">
      <c r="C49">
        <v>2</v>
      </c>
      <c r="D49" s="1">
        <v>5304.7920000000004</v>
      </c>
      <c r="E49" s="6">
        <v>0.77114148247751901</v>
      </c>
      <c r="F49" s="6">
        <v>0.85466097037005595</v>
      </c>
      <c r="G49" s="6">
        <v>0.67918858001502602</v>
      </c>
      <c r="H49" s="6">
        <v>0.73346406851545598</v>
      </c>
      <c r="I49" s="6">
        <v>0.67636985999999999</v>
      </c>
      <c r="J49" s="6">
        <v>0.69938650000000002</v>
      </c>
      <c r="K49" s="6">
        <v>0.323630136986301</v>
      </c>
      <c r="L49" s="6" t="s">
        <v>98</v>
      </c>
    </row>
    <row r="50" spans="3:12" x14ac:dyDescent="0.25">
      <c r="C50">
        <v>3</v>
      </c>
      <c r="D50" s="1"/>
      <c r="E50" s="4"/>
      <c r="F50" s="4"/>
      <c r="G50" s="4"/>
      <c r="H50" s="4"/>
      <c r="I50" s="4"/>
      <c r="J50" s="4"/>
      <c r="K50" s="4"/>
      <c r="L50" s="4"/>
    </row>
    <row r="51" spans="3:12" x14ac:dyDescent="0.25">
      <c r="C51">
        <v>4</v>
      </c>
      <c r="D51" s="1"/>
      <c r="E51" s="4"/>
      <c r="F51" s="4"/>
      <c r="G51" s="4"/>
      <c r="H51" s="4"/>
      <c r="I51" s="4"/>
      <c r="J51" s="4"/>
      <c r="K51" s="4"/>
      <c r="L51" s="4"/>
    </row>
    <row r="52" spans="3:12" x14ac:dyDescent="0.25">
      <c r="C52">
        <v>5</v>
      </c>
      <c r="D52" s="1"/>
      <c r="E52" s="4"/>
      <c r="F52" s="4"/>
      <c r="G52" s="4"/>
      <c r="H52" s="4"/>
      <c r="I52" s="4"/>
      <c r="J52" s="4"/>
      <c r="K52" s="4"/>
      <c r="L52" s="4"/>
    </row>
    <row r="53" spans="3:12" x14ac:dyDescent="0.25">
      <c r="C53">
        <v>6</v>
      </c>
      <c r="D53" s="1"/>
      <c r="E53" s="4"/>
      <c r="F53" s="4"/>
      <c r="G53" s="4"/>
      <c r="H53" s="4"/>
      <c r="I53" s="4"/>
      <c r="J53" s="4"/>
      <c r="K53" s="4"/>
      <c r="L53" s="4"/>
    </row>
    <row r="54" spans="3:12" x14ac:dyDescent="0.25">
      <c r="C54">
        <v>7</v>
      </c>
      <c r="D54" s="1"/>
      <c r="E54" s="4"/>
      <c r="F54" s="4"/>
      <c r="G54" s="4"/>
      <c r="H54" s="4"/>
      <c r="I54" s="4"/>
      <c r="J54" s="4"/>
      <c r="K54" s="4"/>
      <c r="L54" s="4"/>
    </row>
    <row r="55" spans="3:12" x14ac:dyDescent="0.25">
      <c r="C55">
        <v>8</v>
      </c>
      <c r="E55" s="4"/>
      <c r="F55" s="4"/>
      <c r="G55" s="4"/>
      <c r="H55" s="4"/>
      <c r="I55" s="4"/>
      <c r="J55" s="4"/>
      <c r="K55" s="4"/>
      <c r="L55" s="4"/>
    </row>
    <row r="56" spans="3:12" x14ac:dyDescent="0.25">
      <c r="C56">
        <v>9</v>
      </c>
      <c r="D56" s="1"/>
      <c r="E56" s="4"/>
      <c r="F56" s="4"/>
      <c r="G56" s="4"/>
      <c r="H56" s="4"/>
      <c r="I56" s="4"/>
      <c r="J56" s="4"/>
      <c r="K56" s="4"/>
      <c r="L56" s="4"/>
    </row>
    <row r="57" spans="3:12" x14ac:dyDescent="0.25">
      <c r="C57">
        <v>10</v>
      </c>
      <c r="D57" s="1"/>
      <c r="E57" s="4"/>
      <c r="F57" s="4"/>
      <c r="G57" s="4"/>
      <c r="H57" s="4"/>
      <c r="I57" s="4"/>
      <c r="J57" s="4"/>
      <c r="K57" s="4"/>
      <c r="L57" s="4"/>
    </row>
    <row r="58" spans="3:12" x14ac:dyDescent="0.25">
      <c r="C58">
        <v>11</v>
      </c>
      <c r="D58" s="1"/>
      <c r="E58" s="4"/>
      <c r="F58" s="4"/>
      <c r="G58" s="4"/>
      <c r="H58" s="4"/>
      <c r="I58" s="4"/>
      <c r="J58" s="4"/>
      <c r="K58" s="4"/>
      <c r="L58" s="4"/>
    </row>
    <row r="59" spans="3:12" x14ac:dyDescent="0.25">
      <c r="C59">
        <v>12</v>
      </c>
      <c r="D59" s="1"/>
      <c r="E59" s="4"/>
      <c r="F59" s="4"/>
      <c r="G59" s="4"/>
      <c r="H59" s="4"/>
      <c r="I59" s="4"/>
      <c r="J59" s="4"/>
      <c r="K59" s="4"/>
      <c r="L59" s="4"/>
    </row>
    <row r="60" spans="3:12" x14ac:dyDescent="0.25">
      <c r="C60">
        <v>13</v>
      </c>
      <c r="D60" s="1"/>
      <c r="E60" s="4"/>
      <c r="F60" s="4"/>
      <c r="G60" s="4"/>
      <c r="H60" s="4"/>
      <c r="I60" s="4"/>
      <c r="J60" s="4"/>
      <c r="K60" s="4"/>
      <c r="L60" s="4"/>
    </row>
    <row r="61" spans="3:12" x14ac:dyDescent="0.25">
      <c r="C61">
        <v>14</v>
      </c>
      <c r="D61" s="1"/>
      <c r="E61" s="4"/>
      <c r="F61" s="4"/>
      <c r="G61" s="4"/>
      <c r="H61" s="4"/>
      <c r="I61" s="4"/>
      <c r="J61" s="4"/>
      <c r="K61" s="4"/>
      <c r="L61" s="4"/>
    </row>
    <row r="62" spans="3:12" x14ac:dyDescent="0.25">
      <c r="C62">
        <v>15</v>
      </c>
      <c r="D62" s="1"/>
      <c r="E62" s="4"/>
      <c r="F62" s="4"/>
      <c r="G62" s="4"/>
      <c r="H62" s="4"/>
      <c r="I62" s="4"/>
      <c r="J62" s="4"/>
      <c r="K62" s="4"/>
      <c r="L62" s="4"/>
    </row>
    <row r="63" spans="3:12" x14ac:dyDescent="0.25">
      <c r="C63">
        <v>16</v>
      </c>
      <c r="D63" s="1"/>
      <c r="E63" s="4"/>
      <c r="F63" s="4"/>
      <c r="G63" s="4"/>
      <c r="H63" s="4"/>
      <c r="I63" s="4"/>
      <c r="J63" s="4"/>
      <c r="K63" s="4"/>
      <c r="L63" s="4"/>
    </row>
    <row r="64" spans="3:12" x14ac:dyDescent="0.25">
      <c r="D64" s="1">
        <f>SUBTOTAL(101,Tabelle165710121823[Laufzeit in sec])</f>
        <v>5467.2049999999999</v>
      </c>
      <c r="E64" s="5">
        <f>SUBTOTAL(101,Tabelle165710121823[AUC-Score])</f>
        <v>0.77114148247751901</v>
      </c>
      <c r="F64" s="5">
        <f>SUBTOTAL(101,Tabelle165710121823[Precision Score])</f>
        <v>0.85466097037005595</v>
      </c>
      <c r="G64" s="5">
        <f>SUBTOTAL(101,Tabelle165710121823[Recall score])</f>
        <v>0.67918858001502602</v>
      </c>
      <c r="H64" s="5">
        <f>SUBTOTAL(101,Tabelle165710121823[f1 score])</f>
        <v>0.73346406851545598</v>
      </c>
      <c r="I64" s="5">
        <f>SUBTOTAL(101,Tabelle165710121823[per class acc])</f>
        <v>0.67636985999999999</v>
      </c>
      <c r="J64" s="5">
        <f>SUBTOTAL(101,Tabelle165710121823[per class acc 2])</f>
        <v>0.69938650000000002</v>
      </c>
      <c r="K64" s="5">
        <f>SUBTOTAL(101,Tabelle165710121823[FAR])</f>
        <v>0.323630136986301</v>
      </c>
      <c r="L64" s="5" t="e">
        <f>SUBTOTAL(101,Tabelle165710121823[distance heaven])</f>
        <v>#DIV/0!</v>
      </c>
    </row>
    <row r="67" spans="3:12" x14ac:dyDescent="0.25">
      <c r="C67" t="s">
        <v>2</v>
      </c>
    </row>
    <row r="68" spans="3:12" x14ac:dyDescent="0.25">
      <c r="C68" t="s">
        <v>1</v>
      </c>
      <c r="D68" t="s">
        <v>3</v>
      </c>
      <c r="E68" t="s">
        <v>0</v>
      </c>
      <c r="F68" t="s">
        <v>10</v>
      </c>
      <c r="G68" t="s">
        <v>7</v>
      </c>
      <c r="H68" t="s">
        <v>8</v>
      </c>
      <c r="I68" t="s">
        <v>9</v>
      </c>
      <c r="J68" t="s">
        <v>95</v>
      </c>
      <c r="K68" t="s">
        <v>11</v>
      </c>
      <c r="L68" t="s">
        <v>12</v>
      </c>
    </row>
    <row r="69" spans="3:12" x14ac:dyDescent="0.25">
      <c r="C69">
        <v>1</v>
      </c>
      <c r="D69" s="3">
        <v>12621.585999999999</v>
      </c>
      <c r="E69" s="6">
        <v>0.78500883287109502</v>
      </c>
      <c r="F69" s="6">
        <v>0.907419294792426</v>
      </c>
      <c r="G69" s="6">
        <v>0.81291326332166403</v>
      </c>
      <c r="H69" s="6">
        <v>0.84988113816276001</v>
      </c>
      <c r="I69" s="6">
        <v>0.83207704999999998</v>
      </c>
      <c r="J69" s="6">
        <v>0.56284153000000003</v>
      </c>
      <c r="K69" s="6">
        <v>0.16792294807370101</v>
      </c>
      <c r="L69" s="6" t="s">
        <v>99</v>
      </c>
    </row>
    <row r="70" spans="3:12" x14ac:dyDescent="0.25">
      <c r="C70">
        <v>2</v>
      </c>
      <c r="D70" s="1">
        <v>11936.709000000001</v>
      </c>
      <c r="E70" s="6">
        <v>0.78500883287109502</v>
      </c>
      <c r="F70" s="6">
        <v>0.907419294792426</v>
      </c>
      <c r="G70" s="6">
        <v>0.81291326332166403</v>
      </c>
      <c r="H70" s="6">
        <v>0.84988113816276001</v>
      </c>
      <c r="I70" s="6">
        <v>0.83207704999999998</v>
      </c>
      <c r="J70" s="6">
        <v>0.56284153000000003</v>
      </c>
      <c r="K70" s="6">
        <v>0.16792294807370101</v>
      </c>
      <c r="L70" s="6" t="s">
        <v>99</v>
      </c>
    </row>
    <row r="71" spans="3:12" x14ac:dyDescent="0.25">
      <c r="C71">
        <v>3</v>
      </c>
      <c r="D71" s="1"/>
      <c r="E71" s="4"/>
      <c r="F71" s="4"/>
      <c r="G71" s="4"/>
      <c r="H71" s="4"/>
      <c r="I71" s="4"/>
      <c r="J71" s="4"/>
      <c r="K71" s="4"/>
      <c r="L71" s="4"/>
    </row>
    <row r="72" spans="3:12" x14ac:dyDescent="0.25">
      <c r="C72">
        <v>4</v>
      </c>
      <c r="D72" s="1"/>
      <c r="E72" s="4"/>
      <c r="F72" s="4"/>
      <c r="G72" s="4"/>
      <c r="H72" s="4"/>
      <c r="I72" s="4"/>
      <c r="J72" s="4"/>
      <c r="K72" s="4"/>
      <c r="L72" s="4"/>
    </row>
    <row r="73" spans="3:12" x14ac:dyDescent="0.25">
      <c r="C73">
        <v>5</v>
      </c>
      <c r="D73" s="1"/>
      <c r="E73" s="4"/>
      <c r="F73" s="4"/>
      <c r="G73" s="4"/>
      <c r="H73" s="4"/>
      <c r="I73" s="4"/>
      <c r="J73" s="4"/>
      <c r="K73" s="4"/>
      <c r="L73" s="4"/>
    </row>
    <row r="74" spans="3:12" x14ac:dyDescent="0.25">
      <c r="C74">
        <v>6</v>
      </c>
      <c r="D74" s="1"/>
      <c r="E74" s="4"/>
      <c r="F74" s="4"/>
      <c r="G74" s="4"/>
      <c r="H74" s="4"/>
      <c r="I74" s="4"/>
      <c r="J74" s="4"/>
      <c r="K74" s="4"/>
      <c r="L74" s="4"/>
    </row>
    <row r="75" spans="3:12" x14ac:dyDescent="0.25">
      <c r="C75">
        <v>7</v>
      </c>
      <c r="D75" s="1"/>
      <c r="E75" s="4"/>
      <c r="F75" s="4"/>
      <c r="G75" s="4"/>
      <c r="H75" s="4"/>
      <c r="I75" s="4"/>
      <c r="J75" s="4"/>
      <c r="K75" s="4"/>
      <c r="L75" s="4"/>
    </row>
    <row r="76" spans="3:12" x14ac:dyDescent="0.25">
      <c r="C76">
        <v>8</v>
      </c>
      <c r="D76" s="1"/>
      <c r="E76" s="4"/>
      <c r="F76" s="4"/>
      <c r="G76" s="4"/>
      <c r="H76" s="4"/>
      <c r="I76" s="4"/>
      <c r="J76" s="4"/>
      <c r="K76" s="4"/>
      <c r="L76" s="4"/>
    </row>
    <row r="77" spans="3:12" x14ac:dyDescent="0.25">
      <c r="C77">
        <v>9</v>
      </c>
      <c r="D77" s="10"/>
      <c r="E77" s="4"/>
      <c r="F77" s="4"/>
      <c r="G77" s="4"/>
      <c r="H77" s="4"/>
      <c r="I77" s="4"/>
      <c r="J77" s="4"/>
      <c r="K77" s="4"/>
      <c r="L77" s="4"/>
    </row>
    <row r="78" spans="3:12" x14ac:dyDescent="0.25">
      <c r="C78">
        <v>10</v>
      </c>
      <c r="D78" s="1"/>
      <c r="E78" s="4"/>
      <c r="F78" s="4"/>
      <c r="G78" s="4"/>
      <c r="H78" s="4"/>
      <c r="I78" s="4"/>
      <c r="J78" s="4"/>
      <c r="K78" s="4"/>
      <c r="L78" s="4"/>
    </row>
    <row r="79" spans="3:12" x14ac:dyDescent="0.25">
      <c r="C79">
        <v>11</v>
      </c>
      <c r="D79" s="1"/>
      <c r="E79" s="4"/>
      <c r="F79" s="4"/>
      <c r="G79" s="4"/>
      <c r="H79" s="4"/>
      <c r="I79" s="4"/>
      <c r="J79" s="4"/>
      <c r="K79" s="4"/>
      <c r="L79" s="4"/>
    </row>
    <row r="80" spans="3:12" x14ac:dyDescent="0.25">
      <c r="C80">
        <v>12</v>
      </c>
      <c r="D80" s="1"/>
      <c r="E80" s="4"/>
      <c r="F80" s="4"/>
      <c r="G80" s="4"/>
      <c r="H80" s="4"/>
      <c r="I80" s="4"/>
      <c r="J80" s="4"/>
      <c r="K80" s="4"/>
      <c r="L80" s="4"/>
    </row>
    <row r="81" spans="3:12" x14ac:dyDescent="0.25">
      <c r="C81">
        <v>13</v>
      </c>
      <c r="D81" s="1"/>
      <c r="E81" s="4"/>
      <c r="F81" s="4"/>
      <c r="G81" s="4"/>
      <c r="H81" s="4"/>
      <c r="I81" s="4"/>
      <c r="J81" s="4"/>
      <c r="K81" s="4"/>
      <c r="L81" s="4"/>
    </row>
    <row r="82" spans="3:12" x14ac:dyDescent="0.25">
      <c r="C82">
        <v>14</v>
      </c>
      <c r="D82" s="1"/>
      <c r="E82" s="4"/>
      <c r="F82" s="4"/>
      <c r="G82" s="4"/>
      <c r="H82" s="4"/>
      <c r="I82" s="4"/>
      <c r="J82" s="4"/>
      <c r="K82" s="4"/>
      <c r="L82" s="4"/>
    </row>
    <row r="83" spans="3:12" x14ac:dyDescent="0.25">
      <c r="C83">
        <v>15</v>
      </c>
      <c r="D83" s="1"/>
      <c r="E83" s="4"/>
      <c r="F83" s="4"/>
      <c r="G83" s="4"/>
      <c r="H83" s="4"/>
      <c r="I83" s="4"/>
      <c r="J83" s="4"/>
      <c r="K83" s="4"/>
      <c r="L83" s="4"/>
    </row>
    <row r="84" spans="3:12" x14ac:dyDescent="0.25">
      <c r="C84">
        <v>16</v>
      </c>
      <c r="D84" s="1"/>
      <c r="E84" s="4"/>
      <c r="F84" s="4"/>
      <c r="G84" s="4"/>
      <c r="H84" s="4"/>
      <c r="I84" s="4"/>
      <c r="J84" s="4"/>
      <c r="K84" s="4"/>
      <c r="L84" s="4"/>
    </row>
    <row r="85" spans="3:12" x14ac:dyDescent="0.25">
      <c r="D85" s="1">
        <f>SUBTOTAL(101,Tabelle1658911131924[Laufzeit in sec])</f>
        <v>12279.147499999999</v>
      </c>
      <c r="E85" s="5">
        <f>SUBTOTAL(101,Tabelle1658911131924[AUC-Score])</f>
        <v>0.78500883287109502</v>
      </c>
      <c r="F85" s="5">
        <f>SUBTOTAL(101,Tabelle1658911131924[Precision Score])</f>
        <v>0.907419294792426</v>
      </c>
      <c r="G85" s="5">
        <f>SUBTOTAL(101,Tabelle1658911131924[Recall score])</f>
        <v>0.81291326332166403</v>
      </c>
      <c r="H85" s="5">
        <f>SUBTOTAL(101,Tabelle1658911131924[f1 score])</f>
        <v>0.84988113816276001</v>
      </c>
      <c r="I85" s="5">
        <f>SUBTOTAL(101,Tabelle1658911131924[per class acc])</f>
        <v>0.83207704999999998</v>
      </c>
      <c r="J85" s="5">
        <f>SUBTOTAL(101,Tabelle1658911131924[per class 2])</f>
        <v>0.56284153000000003</v>
      </c>
      <c r="K85" s="5">
        <f>SUBTOTAL(101,Tabelle1658911131924[FAR])</f>
        <v>0.16792294807370101</v>
      </c>
      <c r="L85" s="5" t="e">
        <f>SUBTOTAL(101,Tabelle1658911131924[distance heaven])</f>
        <v>#DIV/0!</v>
      </c>
    </row>
  </sheetData>
  <phoneticPr fontId="1" type="noConversion"/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C77D-BAE5-423B-A552-D5B0F5BB78A2}">
  <dimension ref="A1:O89"/>
  <sheetViews>
    <sheetView workbookViewId="0">
      <selection activeCell="G106" sqref="G106"/>
    </sheetView>
  </sheetViews>
  <sheetFormatPr baseColWidth="10" defaultRowHeight="15" x14ac:dyDescent="0.25"/>
  <cols>
    <col min="2" max="2" width="14.28515625" customWidth="1"/>
    <col min="3" max="3" width="25.7109375" customWidth="1"/>
    <col min="5" max="5" width="19.7109375" customWidth="1"/>
    <col min="6" max="6" width="27" customWidth="1"/>
    <col min="7" max="7" width="22.5703125" customWidth="1"/>
    <col min="8" max="8" width="19.28515625" customWidth="1"/>
    <col min="9" max="9" width="21.42578125" customWidth="1"/>
    <col min="10" max="10" width="14.85546875" customWidth="1"/>
    <col min="15" max="15" width="65.85546875" customWidth="1"/>
  </cols>
  <sheetData>
    <row r="1" spans="1:15" x14ac:dyDescent="0.25">
      <c r="A1" t="s">
        <v>60</v>
      </c>
      <c r="B1" t="s">
        <v>1</v>
      </c>
      <c r="C1" t="s">
        <v>0</v>
      </c>
      <c r="D1" t="s">
        <v>61</v>
      </c>
      <c r="J1" t="s">
        <v>64</v>
      </c>
      <c r="K1" t="s">
        <v>65</v>
      </c>
      <c r="L1" t="s">
        <v>66</v>
      </c>
      <c r="M1" t="s">
        <v>67</v>
      </c>
    </row>
    <row r="2" spans="1:15" x14ac:dyDescent="0.25">
      <c r="B2" t="s">
        <v>62</v>
      </c>
      <c r="C2" s="8">
        <v>0.762345424755837</v>
      </c>
      <c r="D2">
        <f>_xlfn.RANK.EQ(C2,$C$2:$C$33,1)</f>
        <v>17</v>
      </c>
      <c r="F2" t="s">
        <v>71</v>
      </c>
      <c r="I2" t="s">
        <v>62</v>
      </c>
      <c r="J2">
        <f ca="1">SUMIF(B2:D33,I2,D2:D33)</f>
        <v>391</v>
      </c>
      <c r="K2">
        <f>COUNTIF(B2:D33,I2)</f>
        <v>16</v>
      </c>
      <c r="L2">
        <f ca="1">J2-(K2*(K2+1))/2</f>
        <v>255</v>
      </c>
      <c r="M2">
        <f ca="1">K2*K3+((K2*(K2+1))/2-J2)</f>
        <v>1</v>
      </c>
    </row>
    <row r="3" spans="1:15" x14ac:dyDescent="0.25">
      <c r="B3" t="s">
        <v>62</v>
      </c>
      <c r="C3" s="9">
        <v>0.76302505240226604</v>
      </c>
      <c r="D3">
        <f t="shared" ref="D3:D33" si="0">_xlfn.RANK.EQ(C3,$C$2:$C$33,1)</f>
        <v>18</v>
      </c>
      <c r="F3" t="s">
        <v>72</v>
      </c>
      <c r="I3" t="s">
        <v>63</v>
      </c>
      <c r="J3">
        <f ca="1">SUMIF(B2:D33,I3,D2:D33)</f>
        <v>136</v>
      </c>
      <c r="K3">
        <f>COUNTIF(B3:D34,I3)</f>
        <v>16</v>
      </c>
      <c r="L3">
        <f ca="1">J3-(K3*(K3+1))/2</f>
        <v>0</v>
      </c>
      <c r="M3">
        <f ca="1">K2*K3+((K3*(K3+1))/2-J3)</f>
        <v>256</v>
      </c>
    </row>
    <row r="4" spans="1:15" x14ac:dyDescent="0.25">
      <c r="B4" t="s">
        <v>62</v>
      </c>
      <c r="C4" s="8">
        <v>0.76319667554530402</v>
      </c>
      <c r="D4">
        <f t="shared" si="0"/>
        <v>19</v>
      </c>
      <c r="F4" t="s">
        <v>73</v>
      </c>
      <c r="L4">
        <f ca="1">MIN(L2:L3)</f>
        <v>0</v>
      </c>
      <c r="M4">
        <f ca="1">MIN(M2:M3)</f>
        <v>1</v>
      </c>
    </row>
    <row r="5" spans="1:15" x14ac:dyDescent="0.25">
      <c r="B5" t="s">
        <v>62</v>
      </c>
      <c r="C5" s="9">
        <v>0.76561084109069899</v>
      </c>
      <c r="D5">
        <f t="shared" si="0"/>
        <v>20</v>
      </c>
    </row>
    <row r="6" spans="1:15" x14ac:dyDescent="0.25">
      <c r="B6" t="s">
        <v>62</v>
      </c>
      <c r="C6" s="8">
        <v>0.76604561971972795</v>
      </c>
      <c r="D6">
        <f t="shared" si="0"/>
        <v>21</v>
      </c>
      <c r="I6" t="s">
        <v>27</v>
      </c>
      <c r="J6">
        <v>75</v>
      </c>
      <c r="O6" t="s">
        <v>68</v>
      </c>
    </row>
    <row r="7" spans="1:15" x14ac:dyDescent="0.25">
      <c r="B7" t="s">
        <v>62</v>
      </c>
      <c r="C7" s="9">
        <v>0.76633394660003096</v>
      </c>
      <c r="D7">
        <f t="shared" si="0"/>
        <v>22</v>
      </c>
      <c r="O7" t="s">
        <v>69</v>
      </c>
    </row>
    <row r="8" spans="1:15" x14ac:dyDescent="0.25">
      <c r="B8" t="s">
        <v>62</v>
      </c>
      <c r="C8" s="8">
        <v>0.76633394660003096</v>
      </c>
      <c r="D8">
        <f t="shared" si="0"/>
        <v>22</v>
      </c>
    </row>
    <row r="9" spans="1:15" x14ac:dyDescent="0.25">
      <c r="B9" t="s">
        <v>62</v>
      </c>
      <c r="C9" s="9">
        <v>0.76705476380078896</v>
      </c>
      <c r="D9">
        <f t="shared" si="0"/>
        <v>24</v>
      </c>
    </row>
    <row r="10" spans="1:15" x14ac:dyDescent="0.25">
      <c r="B10" t="s">
        <v>62</v>
      </c>
      <c r="C10" s="8">
        <v>0.76724469341241697</v>
      </c>
      <c r="D10">
        <f t="shared" si="0"/>
        <v>25</v>
      </c>
    </row>
    <row r="11" spans="1:15" x14ac:dyDescent="0.25">
      <c r="B11" t="s">
        <v>62</v>
      </c>
      <c r="C11" s="9">
        <v>0.76806619619042305</v>
      </c>
      <c r="D11">
        <f t="shared" si="0"/>
        <v>26</v>
      </c>
    </row>
    <row r="12" spans="1:15" x14ac:dyDescent="0.25">
      <c r="B12" t="s">
        <v>62</v>
      </c>
      <c r="C12" s="8">
        <v>0.76883735617980598</v>
      </c>
      <c r="D12">
        <f t="shared" si="0"/>
        <v>27</v>
      </c>
      <c r="H12" t="s">
        <v>80</v>
      </c>
      <c r="I12" t="s">
        <v>81</v>
      </c>
    </row>
    <row r="13" spans="1:15" ht="18" customHeight="1" x14ac:dyDescent="0.25">
      <c r="B13" t="s">
        <v>62</v>
      </c>
      <c r="C13" s="9">
        <v>0.76920577386019295</v>
      </c>
      <c r="D13">
        <f t="shared" si="0"/>
        <v>28</v>
      </c>
      <c r="F13" t="s">
        <v>76</v>
      </c>
      <c r="G13" t="s">
        <v>77</v>
      </c>
      <c r="H13" s="5">
        <f>AVERAGE(C2:C17)</f>
        <v>0.76732592836678803</v>
      </c>
      <c r="I13" s="5">
        <f>AVERAGE(C18:C33)</f>
        <v>0.62073244752908396</v>
      </c>
    </row>
    <row r="14" spans="1:15" x14ac:dyDescent="0.25">
      <c r="B14" t="s">
        <v>62</v>
      </c>
      <c r="C14" s="8">
        <v>0.76969776020356795</v>
      </c>
      <c r="D14">
        <f t="shared" si="0"/>
        <v>29</v>
      </c>
      <c r="G14" t="s">
        <v>78</v>
      </c>
      <c r="H14">
        <f>STDEV(C2:C17)</f>
        <v>2.9452721188771161E-3</v>
      </c>
      <c r="I14">
        <f>STDEV(C18:C33)</f>
        <v>1.2226933345767087E-2</v>
      </c>
    </row>
    <row r="15" spans="1:15" x14ac:dyDescent="0.25">
      <c r="B15" t="s">
        <v>62</v>
      </c>
      <c r="C15" s="9">
        <v>0.77070919259320203</v>
      </c>
      <c r="D15">
        <f t="shared" si="0"/>
        <v>30</v>
      </c>
      <c r="G15" t="s">
        <v>79</v>
      </c>
      <c r="H15">
        <v>16</v>
      </c>
      <c r="I15">
        <v>16</v>
      </c>
    </row>
    <row r="16" spans="1:15" x14ac:dyDescent="0.25">
      <c r="B16" t="s">
        <v>62</v>
      </c>
      <c r="C16" s="8">
        <v>0.77126067495949602</v>
      </c>
      <c r="D16">
        <f t="shared" si="0"/>
        <v>31</v>
      </c>
    </row>
    <row r="17" spans="2:8" x14ac:dyDescent="0.25">
      <c r="B17" t="s">
        <v>62</v>
      </c>
      <c r="C17" s="9">
        <v>0.77224693595481897</v>
      </c>
      <c r="D17">
        <f t="shared" si="0"/>
        <v>32</v>
      </c>
      <c r="G17" t="s">
        <v>82</v>
      </c>
      <c r="H17" s="5">
        <f>H13-I13</f>
        <v>0.14659348083770407</v>
      </c>
    </row>
    <row r="18" spans="2:8" x14ac:dyDescent="0.25">
      <c r="B18" t="s">
        <v>63</v>
      </c>
      <c r="C18" s="8">
        <v>0.60051166579710902</v>
      </c>
      <c r="D18">
        <f t="shared" si="0"/>
        <v>1</v>
      </c>
      <c r="F18" t="s">
        <v>83</v>
      </c>
      <c r="G18" t="s">
        <v>78</v>
      </c>
      <c r="H18">
        <f>SQRT(((H15-1)*H14^2+(I15-1)*I14^2)/(H15+I15-2))</f>
        <v>8.8930457914053844E-3</v>
      </c>
    </row>
    <row r="19" spans="2:8" x14ac:dyDescent="0.25">
      <c r="B19" t="s">
        <v>63</v>
      </c>
      <c r="C19" s="9">
        <v>0.60378852367484004</v>
      </c>
      <c r="D19">
        <f t="shared" si="0"/>
        <v>2</v>
      </c>
      <c r="G19" t="s">
        <v>84</v>
      </c>
      <c r="H19">
        <f>H17/H18</f>
        <v>16.484057799340043</v>
      </c>
    </row>
    <row r="20" spans="2:8" x14ac:dyDescent="0.25">
      <c r="B20" t="s">
        <v>63</v>
      </c>
      <c r="C20" s="8">
        <v>0.609763297361122</v>
      </c>
      <c r="D20">
        <f t="shared" si="0"/>
        <v>3</v>
      </c>
    </row>
    <row r="21" spans="2:8" x14ac:dyDescent="0.25">
      <c r="B21" t="s">
        <v>63</v>
      </c>
      <c r="C21" s="9">
        <v>0.61342001446211003</v>
      </c>
      <c r="D21">
        <f t="shared" si="0"/>
        <v>4</v>
      </c>
    </row>
    <row r="22" spans="2:8" x14ac:dyDescent="0.25">
      <c r="B22" t="s">
        <v>63</v>
      </c>
      <c r="C22" s="8">
        <v>0.61530100410980204</v>
      </c>
      <c r="D22">
        <f t="shared" si="0"/>
        <v>5</v>
      </c>
    </row>
    <row r="23" spans="2:8" x14ac:dyDescent="0.25">
      <c r="B23" t="s">
        <v>63</v>
      </c>
      <c r="C23" s="9">
        <v>0.61682730592854895</v>
      </c>
      <c r="D23">
        <f t="shared" si="0"/>
        <v>6</v>
      </c>
    </row>
    <row r="24" spans="2:8" x14ac:dyDescent="0.25">
      <c r="B24" t="s">
        <v>63</v>
      </c>
      <c r="C24" s="8">
        <v>0.61829640003295105</v>
      </c>
      <c r="D24">
        <f t="shared" si="0"/>
        <v>7</v>
      </c>
    </row>
    <row r="25" spans="2:8" x14ac:dyDescent="0.25">
      <c r="B25" t="s">
        <v>63</v>
      </c>
      <c r="C25" s="9">
        <v>0.61860074507327101</v>
      </c>
      <c r="D25">
        <f t="shared" si="0"/>
        <v>8</v>
      </c>
    </row>
    <row r="26" spans="2:8" x14ac:dyDescent="0.25">
      <c r="B26" t="s">
        <v>63</v>
      </c>
      <c r="C26" s="8">
        <v>0.61879753961062101</v>
      </c>
      <c r="D26">
        <f t="shared" si="0"/>
        <v>9</v>
      </c>
    </row>
    <row r="27" spans="2:8" x14ac:dyDescent="0.25">
      <c r="B27" t="s">
        <v>63</v>
      </c>
      <c r="C27" s="9">
        <v>0.61904925355374296</v>
      </c>
      <c r="D27">
        <f t="shared" si="0"/>
        <v>10</v>
      </c>
    </row>
    <row r="28" spans="2:8" x14ac:dyDescent="0.25">
      <c r="B28" t="s">
        <v>63</v>
      </c>
      <c r="C28" s="8">
        <v>0.62033528297223794</v>
      </c>
      <c r="D28">
        <f t="shared" si="0"/>
        <v>11</v>
      </c>
    </row>
    <row r="29" spans="2:8" x14ac:dyDescent="0.25">
      <c r="B29" t="s">
        <v>63</v>
      </c>
      <c r="C29" s="9">
        <v>0.62733521889959798</v>
      </c>
      <c r="D29">
        <f t="shared" si="0"/>
        <v>12</v>
      </c>
    </row>
    <row r="30" spans="2:8" x14ac:dyDescent="0.25">
      <c r="B30" t="s">
        <v>63</v>
      </c>
      <c r="C30" s="8">
        <v>0.62801942316317405</v>
      </c>
      <c r="D30">
        <f t="shared" si="0"/>
        <v>13</v>
      </c>
    </row>
    <row r="31" spans="2:8" x14ac:dyDescent="0.25">
      <c r="B31" t="s">
        <v>63</v>
      </c>
      <c r="C31" s="9">
        <v>0.63783169032777698</v>
      </c>
      <c r="D31">
        <f t="shared" si="0"/>
        <v>14</v>
      </c>
    </row>
    <row r="32" spans="2:8" x14ac:dyDescent="0.25">
      <c r="B32" t="s">
        <v>63</v>
      </c>
      <c r="C32" s="8">
        <v>0.63847470503702397</v>
      </c>
      <c r="D32">
        <f t="shared" si="0"/>
        <v>15</v>
      </c>
      <c r="F32">
        <v>0.76729999999999998</v>
      </c>
    </row>
    <row r="33" spans="1:10" x14ac:dyDescent="0.25">
      <c r="B33" t="s">
        <v>63</v>
      </c>
      <c r="C33" s="9">
        <v>0.64536709046141405</v>
      </c>
      <c r="D33">
        <f t="shared" si="0"/>
        <v>16</v>
      </c>
    </row>
    <row r="36" spans="1:10" x14ac:dyDescent="0.25">
      <c r="A36" t="s">
        <v>70</v>
      </c>
    </row>
    <row r="37" spans="1:10" x14ac:dyDescent="0.25">
      <c r="B37" t="s">
        <v>62</v>
      </c>
      <c r="C37" s="8">
        <v>0.762345424755837</v>
      </c>
      <c r="F37" t="s">
        <v>23</v>
      </c>
      <c r="G37" s="11">
        <f>_xlfn.VAR.S(C37:C52)</f>
        <v>8.6746278542348962E-6</v>
      </c>
    </row>
    <row r="38" spans="1:10" x14ac:dyDescent="0.25">
      <c r="B38" t="s">
        <v>62</v>
      </c>
      <c r="C38" s="9">
        <v>0.76302505240226604</v>
      </c>
      <c r="F38" t="s">
        <v>24</v>
      </c>
      <c r="G38" s="11">
        <f>_xlfn.VAR.S(C53:C68)</f>
        <v>1.4949789904183114E-4</v>
      </c>
    </row>
    <row r="39" spans="1:10" x14ac:dyDescent="0.25">
      <c r="B39" t="s">
        <v>62</v>
      </c>
      <c r="C39" s="8">
        <v>0.76319667554530402</v>
      </c>
    </row>
    <row r="40" spans="1:10" x14ac:dyDescent="0.25">
      <c r="B40" t="s">
        <v>62</v>
      </c>
      <c r="C40" s="9">
        <v>0.76561084109069899</v>
      </c>
      <c r="F40" t="s">
        <v>26</v>
      </c>
      <c r="G40">
        <f>G37/G38</f>
        <v>5.8025082023444627E-2</v>
      </c>
      <c r="H40">
        <f>G38/G37</f>
        <v>17.233926521567984</v>
      </c>
      <c r="J40" t="s">
        <v>74</v>
      </c>
    </row>
    <row r="41" spans="1:10" x14ac:dyDescent="0.25">
      <c r="B41" t="s">
        <v>62</v>
      </c>
      <c r="C41" s="8">
        <v>0.76604561971972795</v>
      </c>
      <c r="F41" t="s">
        <v>25</v>
      </c>
    </row>
    <row r="42" spans="1:10" x14ac:dyDescent="0.25">
      <c r="B42" t="s">
        <v>62</v>
      </c>
      <c r="C42" s="9">
        <v>0.76633394660003096</v>
      </c>
    </row>
    <row r="43" spans="1:10" x14ac:dyDescent="0.25">
      <c r="B43" t="s">
        <v>62</v>
      </c>
      <c r="C43" s="8">
        <v>0.76633394660003096</v>
      </c>
      <c r="F43" t="s">
        <v>27</v>
      </c>
      <c r="G43">
        <f>_xlfn.F.INV(0.95,16,16)</f>
        <v>2.3334836274676416</v>
      </c>
    </row>
    <row r="44" spans="1:10" x14ac:dyDescent="0.25">
      <c r="B44" t="s">
        <v>62</v>
      </c>
      <c r="C44" s="9">
        <v>0.76705476380078896</v>
      </c>
    </row>
    <row r="45" spans="1:10" x14ac:dyDescent="0.25">
      <c r="B45" t="s">
        <v>62</v>
      </c>
      <c r="C45" s="8">
        <v>0.76724469341241697</v>
      </c>
      <c r="F45" t="s">
        <v>28</v>
      </c>
      <c r="G45" t="s">
        <v>29</v>
      </c>
    </row>
    <row r="46" spans="1:10" x14ac:dyDescent="0.25">
      <c r="B46" t="s">
        <v>62</v>
      </c>
      <c r="C46" s="9">
        <v>0.76806619619042305</v>
      </c>
      <c r="F46" t="s">
        <v>30</v>
      </c>
      <c r="G46" t="s">
        <v>31</v>
      </c>
    </row>
    <row r="47" spans="1:10" x14ac:dyDescent="0.25">
      <c r="B47" t="s">
        <v>62</v>
      </c>
      <c r="C47" s="8">
        <v>0.76883735617980598</v>
      </c>
    </row>
    <row r="48" spans="1:10" x14ac:dyDescent="0.25">
      <c r="B48" t="s">
        <v>62</v>
      </c>
      <c r="C48" s="9">
        <v>0.76920577386019295</v>
      </c>
    </row>
    <row r="49" spans="2:7" x14ac:dyDescent="0.25">
      <c r="B49" t="s">
        <v>62</v>
      </c>
      <c r="C49" s="8">
        <v>0.76969776020356795</v>
      </c>
    </row>
    <row r="50" spans="2:7" x14ac:dyDescent="0.25">
      <c r="B50" t="s">
        <v>62</v>
      </c>
      <c r="C50" s="9">
        <v>0.77070919259320203</v>
      </c>
    </row>
    <row r="51" spans="2:7" x14ac:dyDescent="0.25">
      <c r="B51" t="s">
        <v>62</v>
      </c>
      <c r="C51" s="8">
        <v>0.77126067495949602</v>
      </c>
      <c r="F51" t="s">
        <v>115</v>
      </c>
      <c r="G51">
        <f>_xlfn.STDEV.P(C37:C52)</f>
        <v>2.8517474666150252E-3</v>
      </c>
    </row>
    <row r="52" spans="2:7" x14ac:dyDescent="0.25">
      <c r="B52" t="s">
        <v>62</v>
      </c>
      <c r="C52" s="9">
        <v>0.77224693595481897</v>
      </c>
      <c r="F52" t="s">
        <v>116</v>
      </c>
      <c r="G52">
        <f>_xlfn.STDEV.P(C53:C68)</f>
        <v>1.1838677305836015E-2</v>
      </c>
    </row>
    <row r="53" spans="2:7" x14ac:dyDescent="0.25">
      <c r="B53">
        <v>1</v>
      </c>
      <c r="C53" s="8">
        <v>0.60051166579710902</v>
      </c>
    </row>
    <row r="54" spans="2:7" x14ac:dyDescent="0.25">
      <c r="B54">
        <v>1</v>
      </c>
      <c r="C54" s="9">
        <v>0.60378852367484004</v>
      </c>
    </row>
    <row r="55" spans="2:7" x14ac:dyDescent="0.25">
      <c r="B55">
        <v>1</v>
      </c>
      <c r="C55" s="8">
        <v>0.609763297361122</v>
      </c>
    </row>
    <row r="56" spans="2:7" x14ac:dyDescent="0.25">
      <c r="B56">
        <v>1</v>
      </c>
      <c r="C56" s="9">
        <v>0.61342001446211003</v>
      </c>
    </row>
    <row r="57" spans="2:7" x14ac:dyDescent="0.25">
      <c r="B57">
        <v>1</v>
      </c>
      <c r="C57" s="8">
        <v>0.61530100410980204</v>
      </c>
    </row>
    <row r="58" spans="2:7" x14ac:dyDescent="0.25">
      <c r="B58">
        <v>1</v>
      </c>
      <c r="C58" s="9">
        <v>0.61682730592854895</v>
      </c>
    </row>
    <row r="59" spans="2:7" x14ac:dyDescent="0.25">
      <c r="B59">
        <v>1</v>
      </c>
      <c r="C59" s="8">
        <v>0.61829640003295105</v>
      </c>
    </row>
    <row r="60" spans="2:7" x14ac:dyDescent="0.25">
      <c r="B60">
        <v>1</v>
      </c>
      <c r="C60" s="9">
        <v>0.61860074507327101</v>
      </c>
    </row>
    <row r="61" spans="2:7" x14ac:dyDescent="0.25">
      <c r="B61">
        <v>1</v>
      </c>
      <c r="C61" s="8">
        <v>0.61879753961062101</v>
      </c>
    </row>
    <row r="62" spans="2:7" x14ac:dyDescent="0.25">
      <c r="B62">
        <v>1</v>
      </c>
      <c r="C62" s="9">
        <v>0.61904925355374296</v>
      </c>
    </row>
    <row r="63" spans="2:7" x14ac:dyDescent="0.25">
      <c r="B63">
        <v>1</v>
      </c>
      <c r="C63" s="8">
        <v>0.62033528297223794</v>
      </c>
    </row>
    <row r="64" spans="2:7" x14ac:dyDescent="0.25">
      <c r="B64">
        <v>1</v>
      </c>
      <c r="C64" s="9">
        <v>0.62733521889959798</v>
      </c>
    </row>
    <row r="65" spans="1:10" x14ac:dyDescent="0.25">
      <c r="B65">
        <v>1</v>
      </c>
      <c r="C65" s="8">
        <v>0.62801942316317405</v>
      </c>
    </row>
    <row r="66" spans="1:10" x14ac:dyDescent="0.25">
      <c r="B66">
        <v>1</v>
      </c>
      <c r="C66" s="9">
        <v>0.63783169032777698</v>
      </c>
    </row>
    <row r="67" spans="1:10" x14ac:dyDescent="0.25">
      <c r="B67">
        <v>1</v>
      </c>
      <c r="C67" s="8">
        <v>0.63847470503702397</v>
      </c>
    </row>
    <row r="68" spans="1:10" x14ac:dyDescent="0.25">
      <c r="B68">
        <v>1</v>
      </c>
      <c r="C68" s="9">
        <v>0.64536709046141405</v>
      </c>
    </row>
    <row r="72" spans="1:10" x14ac:dyDescent="0.25">
      <c r="A72" t="s">
        <v>85</v>
      </c>
      <c r="B72" t="s">
        <v>102</v>
      </c>
      <c r="H72" t="s">
        <v>78</v>
      </c>
    </row>
    <row r="73" spans="1:10" x14ac:dyDescent="0.25">
      <c r="B73" t="s">
        <v>4</v>
      </c>
      <c r="C73" t="s">
        <v>1</v>
      </c>
      <c r="D73" t="s">
        <v>87</v>
      </c>
      <c r="E73" t="s">
        <v>84</v>
      </c>
      <c r="F73" t="s">
        <v>70</v>
      </c>
      <c r="H73" t="s">
        <v>4</v>
      </c>
      <c r="I73" t="s">
        <v>117</v>
      </c>
      <c r="J73" t="s">
        <v>78</v>
      </c>
    </row>
    <row r="74" spans="1:10" x14ac:dyDescent="0.25">
      <c r="C74" t="s">
        <v>86</v>
      </c>
      <c r="D74" t="s">
        <v>90</v>
      </c>
      <c r="E74">
        <v>-3.9367696990000001</v>
      </c>
      <c r="F74" t="s">
        <v>31</v>
      </c>
      <c r="I74" t="s">
        <v>118</v>
      </c>
      <c r="J74">
        <v>3.473E-3</v>
      </c>
    </row>
    <row r="75" spans="1:10" x14ac:dyDescent="0.25">
      <c r="C75" t="s">
        <v>88</v>
      </c>
      <c r="D75" t="s">
        <v>90</v>
      </c>
      <c r="E75">
        <v>4.8144999500000001</v>
      </c>
      <c r="F75" t="s">
        <v>91</v>
      </c>
      <c r="I75" t="s">
        <v>107</v>
      </c>
    </row>
    <row r="76" spans="1:10" x14ac:dyDescent="0.25">
      <c r="C76" t="s">
        <v>89</v>
      </c>
      <c r="D76" t="s">
        <v>90</v>
      </c>
      <c r="E76">
        <v>7.4195259350000002</v>
      </c>
      <c r="F76" t="s">
        <v>29</v>
      </c>
      <c r="I76" t="s">
        <v>108</v>
      </c>
    </row>
    <row r="77" spans="1:10" x14ac:dyDescent="0.25">
      <c r="C77" t="s">
        <v>103</v>
      </c>
      <c r="D77" t="s">
        <v>90</v>
      </c>
      <c r="E77">
        <v>6.8929999999999998</v>
      </c>
      <c r="F77" t="s">
        <v>29</v>
      </c>
      <c r="I77" t="s">
        <v>75</v>
      </c>
    </row>
    <row r="78" spans="1:10" x14ac:dyDescent="0.25">
      <c r="I78" t="s">
        <v>105</v>
      </c>
    </row>
    <row r="80" spans="1:10" x14ac:dyDescent="0.25">
      <c r="B80" t="s">
        <v>2</v>
      </c>
    </row>
    <row r="81" spans="3:10" x14ac:dyDescent="0.25">
      <c r="C81" t="s">
        <v>1</v>
      </c>
      <c r="D81" t="s">
        <v>87</v>
      </c>
      <c r="E81" t="s">
        <v>84</v>
      </c>
      <c r="F81" t="s">
        <v>70</v>
      </c>
    </row>
    <row r="82" spans="3:10" x14ac:dyDescent="0.25">
      <c r="C82" t="s">
        <v>86</v>
      </c>
      <c r="D82" t="s">
        <v>93</v>
      </c>
      <c r="E82">
        <v>3.09487581</v>
      </c>
      <c r="F82" t="s">
        <v>31</v>
      </c>
    </row>
    <row r="83" spans="3:10" x14ac:dyDescent="0.25">
      <c r="C83" t="s">
        <v>88</v>
      </c>
      <c r="D83" t="s">
        <v>92</v>
      </c>
      <c r="E83">
        <v>9.3308051089999999</v>
      </c>
      <c r="F83" t="s">
        <v>31</v>
      </c>
    </row>
    <row r="84" spans="3:10" x14ac:dyDescent="0.25">
      <c r="C84" t="s">
        <v>89</v>
      </c>
      <c r="D84" t="s">
        <v>94</v>
      </c>
      <c r="E84">
        <v>12.454056850000001</v>
      </c>
      <c r="F84" t="s">
        <v>29</v>
      </c>
      <c r="H84" t="s">
        <v>2</v>
      </c>
      <c r="I84" t="s">
        <v>117</v>
      </c>
      <c r="J84" t="s">
        <v>78</v>
      </c>
    </row>
    <row r="85" spans="3:10" x14ac:dyDescent="0.25">
      <c r="C85" t="s">
        <v>103</v>
      </c>
      <c r="D85" t="s">
        <v>94</v>
      </c>
      <c r="E85">
        <v>16.484000000000002</v>
      </c>
      <c r="F85" t="s">
        <v>29</v>
      </c>
      <c r="I85" t="s">
        <v>118</v>
      </c>
      <c r="J85">
        <v>2.8509999999999998E-3</v>
      </c>
    </row>
    <row r="86" spans="3:10" x14ac:dyDescent="0.25">
      <c r="I86" t="s">
        <v>107</v>
      </c>
    </row>
    <row r="87" spans="3:10" x14ac:dyDescent="0.25">
      <c r="I87" t="s">
        <v>108</v>
      </c>
    </row>
    <row r="88" spans="3:10" x14ac:dyDescent="0.25">
      <c r="I88" t="s">
        <v>75</v>
      </c>
    </row>
    <row r="89" spans="3:10" x14ac:dyDescent="0.25">
      <c r="I89" t="s">
        <v>105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07F7-A75F-4533-B079-03C8A22872C4}">
  <dimension ref="A1:L41"/>
  <sheetViews>
    <sheetView workbookViewId="0">
      <selection activeCell="I3" sqref="I3"/>
    </sheetView>
  </sheetViews>
  <sheetFormatPr baseColWidth="10" defaultRowHeight="15" x14ac:dyDescent="0.25"/>
  <cols>
    <col min="2" max="2" width="11" customWidth="1"/>
    <col min="3" max="3" width="18" customWidth="1"/>
    <col min="4" max="4" width="23.42578125" bestFit="1" customWidth="1"/>
    <col min="5" max="5" width="24.140625" customWidth="1"/>
    <col min="6" max="6" width="25.85546875" customWidth="1"/>
    <col min="7" max="7" width="23.5703125" customWidth="1"/>
    <col min="8" max="8" width="27.85546875" customWidth="1"/>
    <col min="9" max="9" width="26.5703125" customWidth="1"/>
    <col min="10" max="10" width="27.42578125" customWidth="1"/>
    <col min="11" max="11" width="25.140625" customWidth="1"/>
  </cols>
  <sheetData>
    <row r="1" spans="1:12" x14ac:dyDescent="0.25">
      <c r="H1">
        <v>0.91349999999999998</v>
      </c>
      <c r="I1">
        <v>9.1999999999999998E-2</v>
      </c>
    </row>
    <row r="2" spans="1:12" x14ac:dyDescent="0.25">
      <c r="A2" t="s">
        <v>75</v>
      </c>
      <c r="B2" t="s">
        <v>4</v>
      </c>
      <c r="H2">
        <v>0.97</v>
      </c>
      <c r="I2">
        <v>0.22700000000000001</v>
      </c>
    </row>
    <row r="3" spans="1:12" x14ac:dyDescent="0.25">
      <c r="B3" t="s">
        <v>1</v>
      </c>
      <c r="C3" t="s">
        <v>3</v>
      </c>
      <c r="D3" t="s">
        <v>0</v>
      </c>
      <c r="E3" t="s">
        <v>10</v>
      </c>
      <c r="F3" t="s">
        <v>7</v>
      </c>
      <c r="G3" t="s">
        <v>8</v>
      </c>
      <c r="H3" t="s">
        <v>9</v>
      </c>
      <c r="I3" t="s">
        <v>96</v>
      </c>
      <c r="J3" t="s">
        <v>11</v>
      </c>
      <c r="K3" t="s">
        <v>12</v>
      </c>
    </row>
    <row r="4" spans="1:12" x14ac:dyDescent="0.25">
      <c r="B4">
        <v>11</v>
      </c>
      <c r="C4" s="1">
        <v>996.63599999999997</v>
      </c>
      <c r="D4" s="4">
        <v>0.68499978989831001</v>
      </c>
      <c r="E4" s="4">
        <v>0.80481956250403797</v>
      </c>
      <c r="F4" s="4">
        <v>0.85349361382419198</v>
      </c>
      <c r="G4" s="4">
        <v>0.82364700392284695</v>
      </c>
      <c r="H4" s="4">
        <v>0.95976026999999997</v>
      </c>
      <c r="I4" s="4">
        <v>9.2024540000000002E-2</v>
      </c>
      <c r="J4" s="4">
        <v>4.0239726027397199E-2</v>
      </c>
      <c r="K4" s="4">
        <v>0.107432203600817</v>
      </c>
    </row>
    <row r="5" spans="1:12" x14ac:dyDescent="0.25">
      <c r="B5">
        <v>2</v>
      </c>
      <c r="C5" s="1">
        <v>978.97500000000002</v>
      </c>
      <c r="D5" s="4">
        <v>0.69271052189259597</v>
      </c>
      <c r="E5" s="4">
        <v>0.815176374832427</v>
      </c>
      <c r="F5" s="4">
        <v>0.863260706235912</v>
      </c>
      <c r="G5" s="4">
        <v>0.83060648419873095</v>
      </c>
      <c r="H5" s="4">
        <v>0.97003424999999999</v>
      </c>
      <c r="I5" s="4">
        <v>9.8159510000000005E-2</v>
      </c>
      <c r="J5" s="4">
        <v>2.9965753424657501E-2</v>
      </c>
      <c r="K5" s="4">
        <v>9.8983788666146405E-2</v>
      </c>
    </row>
    <row r="6" spans="1:12" x14ac:dyDescent="0.25">
      <c r="B6">
        <v>9</v>
      </c>
      <c r="C6" s="1">
        <v>999.423</v>
      </c>
      <c r="D6" s="4">
        <v>0.67828178838557796</v>
      </c>
      <c r="E6" s="4">
        <v>0.80671058556749797</v>
      </c>
      <c r="F6" s="4">
        <v>0.85199098422238895</v>
      </c>
      <c r="G6" s="4">
        <v>0.82444822012594998</v>
      </c>
      <c r="H6" s="4">
        <v>0.95633562000000005</v>
      </c>
      <c r="I6" s="4">
        <v>0.10429447999999999</v>
      </c>
      <c r="J6" s="4">
        <v>4.3664383561643802E-2</v>
      </c>
      <c r="K6" s="4">
        <v>0.10911747601386999</v>
      </c>
    </row>
    <row r="7" spans="1:12" x14ac:dyDescent="0.25">
      <c r="B7">
        <v>15</v>
      </c>
      <c r="C7" s="1">
        <v>1001.931</v>
      </c>
      <c r="D7" s="4">
        <v>0.69851458105723097</v>
      </c>
      <c r="E7" s="4">
        <v>0.80424626391660803</v>
      </c>
      <c r="F7" s="4">
        <v>0.84598046581517605</v>
      </c>
      <c r="G7" s="4">
        <v>0.82152311589423199</v>
      </c>
      <c r="H7" s="4">
        <v>0.94863014000000001</v>
      </c>
      <c r="I7" s="4">
        <v>0.11042945</v>
      </c>
      <c r="J7" s="4">
        <v>5.13698630136986E-2</v>
      </c>
      <c r="K7" s="4">
        <v>0.114806096825378</v>
      </c>
    </row>
    <row r="8" spans="1:12" x14ac:dyDescent="0.25">
      <c r="B8">
        <v>13</v>
      </c>
      <c r="C8" s="1">
        <v>999.66399999999999</v>
      </c>
      <c r="D8" s="4">
        <v>0.69220627783847299</v>
      </c>
      <c r="E8" s="4">
        <v>0.80516977302872605</v>
      </c>
      <c r="F8" s="4">
        <v>0.84522915101427498</v>
      </c>
      <c r="G8" s="4">
        <v>0.82184689353706497</v>
      </c>
      <c r="H8" s="4">
        <v>0.94691780999999997</v>
      </c>
      <c r="I8" s="4">
        <v>0.11656442</v>
      </c>
      <c r="J8" s="4">
        <v>5.3082191780821901E-2</v>
      </c>
      <c r="K8" s="4">
        <v>0.115697309346453</v>
      </c>
    </row>
    <row r="9" spans="1:12" x14ac:dyDescent="0.25">
      <c r="B9">
        <v>7</v>
      </c>
      <c r="C9" s="1">
        <v>981.52599999999995</v>
      </c>
      <c r="D9" s="4">
        <v>0.69879821833767497</v>
      </c>
      <c r="E9" s="4">
        <v>0.80342591564590204</v>
      </c>
      <c r="F9" s="4">
        <v>0.83696468820435699</v>
      </c>
      <c r="G9" s="4">
        <v>0.81814996941749596</v>
      </c>
      <c r="H9" s="4">
        <v>0.93578766999999996</v>
      </c>
      <c r="I9" s="4">
        <v>0.12883436000000001</v>
      </c>
      <c r="J9" s="4">
        <v>6.4212328767123295E-2</v>
      </c>
      <c r="K9" s="4">
        <v>0.12390265545580401</v>
      </c>
    </row>
    <row r="10" spans="1:12" x14ac:dyDescent="0.25">
      <c r="B10">
        <v>3</v>
      </c>
      <c r="C10" s="1">
        <v>977.22</v>
      </c>
      <c r="D10" s="4">
        <v>0.70204954197831704</v>
      </c>
      <c r="E10" s="4">
        <v>0.80569968032291694</v>
      </c>
      <c r="F10" s="4">
        <v>0.84147257700976696</v>
      </c>
      <c r="G10" s="4">
        <v>0.82100395058942</v>
      </c>
      <c r="H10" s="4">
        <v>0.94092465999999997</v>
      </c>
      <c r="I10" s="4">
        <v>0.12883436000000001</v>
      </c>
      <c r="J10" s="4">
        <v>5.9075342465753397E-2</v>
      </c>
      <c r="K10" s="4">
        <v>0.119626167554114</v>
      </c>
    </row>
    <row r="11" spans="1:12" x14ac:dyDescent="0.25">
      <c r="B11">
        <v>1</v>
      </c>
      <c r="C11" s="1">
        <v>970.024</v>
      </c>
      <c r="D11" s="4">
        <v>0.694979620136146</v>
      </c>
      <c r="E11" s="4">
        <v>0.80992853535609699</v>
      </c>
      <c r="F11" s="4">
        <v>0.84673178061607801</v>
      </c>
      <c r="G11" s="4">
        <v>0.82510528135732297</v>
      </c>
      <c r="H11" s="4">
        <v>0.94606164000000004</v>
      </c>
      <c r="I11" s="4">
        <v>0.13496933</v>
      </c>
      <c r="J11" s="4">
        <v>5.39383561643835E-2</v>
      </c>
      <c r="K11" s="4">
        <v>0.114892326416592</v>
      </c>
    </row>
    <row r="12" spans="1:12" x14ac:dyDescent="0.25">
      <c r="B12">
        <v>16</v>
      </c>
      <c r="C12" s="1">
        <v>998.24099999999999</v>
      </c>
      <c r="D12" s="4">
        <v>0.69533679300781503</v>
      </c>
      <c r="E12" s="4">
        <v>0.81385521039125297</v>
      </c>
      <c r="F12" s="4">
        <v>0.85274229902329002</v>
      </c>
      <c r="G12" s="4">
        <v>0.82897302939102901</v>
      </c>
      <c r="H12" s="4">
        <v>0.95291095999999997</v>
      </c>
      <c r="I12" s="4">
        <v>0.13496933</v>
      </c>
      <c r="J12" s="4">
        <v>4.7089041095890398E-2</v>
      </c>
      <c r="K12" s="4">
        <v>0.109321105666463</v>
      </c>
    </row>
    <row r="13" spans="1:12" x14ac:dyDescent="0.25">
      <c r="B13">
        <v>12</v>
      </c>
      <c r="C13" s="1">
        <v>1002.596</v>
      </c>
      <c r="D13" s="4">
        <v>0.68881838809983997</v>
      </c>
      <c r="E13" s="4">
        <v>0.81439422428125297</v>
      </c>
      <c r="F13" s="4">
        <v>0.85349361382419198</v>
      </c>
      <c r="G13" s="4">
        <v>0.82945844750102604</v>
      </c>
      <c r="H13" s="4">
        <v>0.95376711999999997</v>
      </c>
      <c r="I13" s="4">
        <v>0.13496933</v>
      </c>
      <c r="J13" s="4">
        <v>4.6232876712328702E-2</v>
      </c>
      <c r="K13" s="4">
        <v>0.108631487330774</v>
      </c>
    </row>
    <row r="14" spans="1:12" x14ac:dyDescent="0.25">
      <c r="B14">
        <v>6</v>
      </c>
      <c r="C14" s="1">
        <v>979.69299999999998</v>
      </c>
      <c r="D14" s="4">
        <v>0.69487982183376695</v>
      </c>
      <c r="E14" s="4">
        <v>0.812349255989818</v>
      </c>
      <c r="F14" s="4">
        <v>0.84673178061607801</v>
      </c>
      <c r="G14" s="4">
        <v>0.82658119403086905</v>
      </c>
      <c r="H14" s="4">
        <v>0.94434932000000005</v>
      </c>
      <c r="I14" s="4">
        <v>0.14723926000000001</v>
      </c>
      <c r="J14" s="4">
        <v>5.5650684931506801E-2</v>
      </c>
      <c r="K14" s="4">
        <v>0.115299925859611</v>
      </c>
      <c r="L14" s="1"/>
    </row>
    <row r="15" spans="1:12" x14ac:dyDescent="0.25">
      <c r="B15">
        <v>14</v>
      </c>
      <c r="C15" s="1">
        <v>1001.75</v>
      </c>
      <c r="D15" s="4">
        <v>0.699874989494915</v>
      </c>
      <c r="E15" s="4">
        <v>0.812349255989818</v>
      </c>
      <c r="F15" s="4">
        <v>0.84673178061607801</v>
      </c>
      <c r="G15" s="4">
        <v>0.82658119403086905</v>
      </c>
      <c r="H15" s="4">
        <v>0.94434932000000005</v>
      </c>
      <c r="I15" s="4">
        <v>0.14723926000000001</v>
      </c>
      <c r="J15" s="4">
        <v>5.5650684931506801E-2</v>
      </c>
      <c r="K15" s="4">
        <v>0.115299925859611</v>
      </c>
    </row>
    <row r="16" spans="1:12" x14ac:dyDescent="0.25">
      <c r="B16">
        <v>5</v>
      </c>
      <c r="C16" s="1">
        <v>977.66499999999996</v>
      </c>
      <c r="D16" s="4">
        <v>0.68525716446760199</v>
      </c>
      <c r="E16" s="4">
        <v>0.81020733790853305</v>
      </c>
      <c r="F16" s="4">
        <v>0.83621337340345603</v>
      </c>
      <c r="G16" s="4">
        <v>0.82180545125764304</v>
      </c>
      <c r="H16" s="4">
        <v>0.92979451999999996</v>
      </c>
      <c r="I16" s="4">
        <v>0.16564417000000001</v>
      </c>
      <c r="J16" s="4">
        <v>7.0205479452054798E-2</v>
      </c>
      <c r="K16" s="4">
        <v>0.126005691135298</v>
      </c>
    </row>
    <row r="17" spans="1:12" x14ac:dyDescent="0.25">
      <c r="B17">
        <v>10</v>
      </c>
      <c r="C17" s="1">
        <v>996.64499999999998</v>
      </c>
      <c r="D17" s="4">
        <v>0.68263614589461297</v>
      </c>
      <c r="E17" s="4">
        <v>0.80555858795534196</v>
      </c>
      <c r="F17" s="4">
        <v>0.82268970698722699</v>
      </c>
      <c r="G17" s="4">
        <v>0.81363869344614703</v>
      </c>
      <c r="H17" s="4">
        <v>0.91352739999999999</v>
      </c>
      <c r="I17" s="4">
        <v>0.17177914</v>
      </c>
      <c r="J17" s="4">
        <v>8.6472602739725998E-2</v>
      </c>
      <c r="K17" s="4">
        <v>0.13949274359775399</v>
      </c>
    </row>
    <row r="18" spans="1:12" x14ac:dyDescent="0.25">
      <c r="B18">
        <v>4</v>
      </c>
      <c r="C18" s="1">
        <v>980.25900000000001</v>
      </c>
      <c r="D18" s="4">
        <v>0.70829481469030997</v>
      </c>
      <c r="E18" s="4">
        <v>0.81670398719257198</v>
      </c>
      <c r="F18" s="4">
        <v>0.83846731780616002</v>
      </c>
      <c r="G18" s="4">
        <v>0.82645447603959699</v>
      </c>
      <c r="H18" s="4">
        <v>0.92808219000000003</v>
      </c>
      <c r="I18" s="4">
        <v>0.19631902000000001</v>
      </c>
      <c r="J18" s="4">
        <v>7.1917808219177995E-2</v>
      </c>
      <c r="K18" s="4">
        <v>0.12502995352271801</v>
      </c>
    </row>
    <row r="19" spans="1:12" x14ac:dyDescent="0.25">
      <c r="B19">
        <v>8</v>
      </c>
      <c r="C19">
        <v>982.25900000000001</v>
      </c>
      <c r="D19" s="4">
        <v>0.71262816203042201</v>
      </c>
      <c r="E19" s="4">
        <v>0.821024059287356</v>
      </c>
      <c r="F19" s="4">
        <v>0.83696468820435699</v>
      </c>
      <c r="G19" s="4">
        <v>0.82836349864529302</v>
      </c>
      <c r="H19" s="4">
        <v>0.92208904000000003</v>
      </c>
      <c r="I19" s="4">
        <v>0.22699386999999999</v>
      </c>
      <c r="J19" s="4">
        <v>7.7910958904109595E-2</v>
      </c>
      <c r="K19" s="4">
        <v>0.12777055687767</v>
      </c>
    </row>
    <row r="20" spans="1:12" x14ac:dyDescent="0.25">
      <c r="C20" s="1">
        <f>SUBTOTAL(101,Tabelle1657101218[Laufzeit in sec])</f>
        <v>989.03168749999986</v>
      </c>
      <c r="D20" s="5">
        <f>SUBTOTAL(101,Tabelle1657101218[AUC-Score])</f>
        <v>0.69439166369022554</v>
      </c>
      <c r="E20" s="5">
        <f>SUBTOTAL(101,Tabelle1657101218[Precision Score])</f>
        <v>0.81010116313563496</v>
      </c>
      <c r="F20" s="5">
        <f>SUBTOTAL(101,Tabelle1657101218[Recall score])</f>
        <v>0.84494740796393653</v>
      </c>
      <c r="G20" s="5">
        <f>SUBTOTAL(101,Tabelle1657101218[f1 score])</f>
        <v>0.82426168146159595</v>
      </c>
      <c r="H20" s="5">
        <f>SUBTOTAL(101,Tabelle1657101218[per class acc])</f>
        <v>0.94333262062500001</v>
      </c>
      <c r="I20" s="5">
        <f>SUBTOTAL(101,Tabelle1657101218[per class acc 2])</f>
        <v>0.139953989375</v>
      </c>
      <c r="J20" s="5">
        <f>SUBTOTAL(101,Tabelle1657101218[FAR])</f>
        <v>5.6667380136986273E-2</v>
      </c>
      <c r="K20" s="5">
        <f>SUBTOTAL(101,Tabelle1657101218[distance heaven])</f>
        <v>0.1169568383580671</v>
      </c>
    </row>
    <row r="23" spans="1:12" x14ac:dyDescent="0.25">
      <c r="B23" t="s">
        <v>2</v>
      </c>
    </row>
    <row r="24" spans="1:12" x14ac:dyDescent="0.25">
      <c r="B24" t="s">
        <v>1</v>
      </c>
      <c r="C24" t="s">
        <v>3</v>
      </c>
      <c r="D24" t="s">
        <v>0</v>
      </c>
      <c r="E24" t="s">
        <v>10</v>
      </c>
      <c r="F24" t="s">
        <v>7</v>
      </c>
      <c r="G24" t="s">
        <v>8</v>
      </c>
      <c r="H24" t="s">
        <v>9</v>
      </c>
      <c r="I24" t="s">
        <v>95</v>
      </c>
      <c r="J24" t="s">
        <v>11</v>
      </c>
      <c r="K24" t="s">
        <v>12</v>
      </c>
    </row>
    <row r="25" spans="1:12" x14ac:dyDescent="0.25">
      <c r="A25" s="2"/>
      <c r="B25">
        <v>2</v>
      </c>
      <c r="C25" s="3">
        <v>2226.1019999999999</v>
      </c>
      <c r="D25" s="4">
        <v>0.656856687810638</v>
      </c>
      <c r="E25" s="4">
        <v>0.88394538184050497</v>
      </c>
      <c r="F25" s="4">
        <v>0.89031505250875098</v>
      </c>
      <c r="G25" s="4">
        <v>0.88705915111731204</v>
      </c>
      <c r="H25" s="4">
        <v>0.94556114000000002</v>
      </c>
      <c r="I25" s="4">
        <v>0.16939891000000001</v>
      </c>
      <c r="J25" s="4">
        <v>5.44388609715242E-2</v>
      </c>
      <c r="K25" s="4">
        <v>8.6586307491528097E-2</v>
      </c>
    </row>
    <row r="26" spans="1:12" x14ac:dyDescent="0.25">
      <c r="B26">
        <v>8</v>
      </c>
      <c r="C26" s="1">
        <v>2306.62</v>
      </c>
      <c r="D26" s="4">
        <v>0.66034178176858704</v>
      </c>
      <c r="E26" s="4">
        <v>0.88675664839759705</v>
      </c>
      <c r="F26" s="4">
        <v>0.88098016336055995</v>
      </c>
      <c r="G26" s="4">
        <v>0.88381332684815495</v>
      </c>
      <c r="H26" s="4">
        <v>0.93174204000000005</v>
      </c>
      <c r="I26" s="4">
        <v>0.21857923000000001</v>
      </c>
      <c r="J26" s="4">
        <v>6.8257956448911195E-2</v>
      </c>
      <c r="K26" s="4">
        <v>9.7017704910651301E-2</v>
      </c>
      <c r="L26">
        <v>80.382999999999996</v>
      </c>
    </row>
    <row r="27" spans="1:12" x14ac:dyDescent="0.25">
      <c r="B27">
        <v>11</v>
      </c>
      <c r="C27" s="1">
        <v>2283.895</v>
      </c>
      <c r="D27" s="4">
        <v>0.66455455785301698</v>
      </c>
      <c r="E27" s="4">
        <v>0.88795750614787206</v>
      </c>
      <c r="F27" s="4">
        <v>0.90237261765849797</v>
      </c>
      <c r="G27" s="4">
        <v>0.89464278825696797</v>
      </c>
      <c r="H27" s="4">
        <v>0.95854271000000002</v>
      </c>
      <c r="I27" s="4">
        <v>0.16939891000000001</v>
      </c>
      <c r="J27" s="4">
        <v>4.1457286432160803E-2</v>
      </c>
      <c r="K27" s="4">
        <v>7.4999374601298893E-2</v>
      </c>
      <c r="L27">
        <v>2192.806</v>
      </c>
    </row>
    <row r="28" spans="1:12" x14ac:dyDescent="0.25">
      <c r="B28">
        <v>9</v>
      </c>
      <c r="C28" s="10">
        <v>2302.7020000000002</v>
      </c>
      <c r="D28" s="4">
        <v>0.66533029445954694</v>
      </c>
      <c r="E28" s="4">
        <v>0.885353759660786</v>
      </c>
      <c r="F28" s="4">
        <v>0.89692726565538705</v>
      </c>
      <c r="G28" s="4">
        <v>0.89086440762702002</v>
      </c>
      <c r="H28" s="4">
        <v>0.95309882999999995</v>
      </c>
      <c r="I28" s="4">
        <v>0.16393442999999999</v>
      </c>
      <c r="J28" s="4">
        <v>4.6901172529313202E-2</v>
      </c>
      <c r="K28" s="4">
        <v>8.0074054942595299E-2</v>
      </c>
      <c r="L28">
        <f>L26+L27</f>
        <v>2273.1889999999999</v>
      </c>
    </row>
    <row r="29" spans="1:12" x14ac:dyDescent="0.25">
      <c r="B29">
        <v>5</v>
      </c>
      <c r="C29" s="1">
        <v>2229.9360000000001</v>
      </c>
      <c r="D29" s="4">
        <v>0.66781539757073105</v>
      </c>
      <c r="E29" s="4">
        <v>0.88898526424177204</v>
      </c>
      <c r="F29" s="4">
        <v>0.88331388564760704</v>
      </c>
      <c r="G29" s="4">
        <v>0.88609149690995603</v>
      </c>
      <c r="H29" s="4">
        <v>0.93299832000000005</v>
      </c>
      <c r="I29" s="4">
        <v>0.23497267999999999</v>
      </c>
      <c r="J29" s="4">
        <v>6.7001675041875999E-2</v>
      </c>
      <c r="K29" s="4">
        <v>9.5144294997326698E-2</v>
      </c>
    </row>
    <row r="30" spans="1:12" x14ac:dyDescent="0.25">
      <c r="B30">
        <v>6</v>
      </c>
      <c r="C30" s="1">
        <v>2269.4319999999998</v>
      </c>
      <c r="D30" s="4">
        <v>0.67003048027020295</v>
      </c>
      <c r="E30" s="4">
        <v>0.88829296085208298</v>
      </c>
      <c r="F30" s="4">
        <v>0.89109295993776705</v>
      </c>
      <c r="G30" s="4">
        <v>0.88967714336051995</v>
      </c>
      <c r="H30" s="4">
        <v>0.94346733999999999</v>
      </c>
      <c r="I30" s="4">
        <v>0.20765027</v>
      </c>
      <c r="J30" s="4">
        <v>5.6532663316582903E-2</v>
      </c>
      <c r="K30" s="4">
        <v>8.6766022718524002E-2</v>
      </c>
    </row>
    <row r="31" spans="1:12" x14ac:dyDescent="0.25">
      <c r="B31">
        <v>7</v>
      </c>
      <c r="C31" s="1">
        <v>2301.1089999999999</v>
      </c>
      <c r="D31" s="4">
        <v>0.67172840523198796</v>
      </c>
      <c r="E31" s="4">
        <v>0.88558449013201401</v>
      </c>
      <c r="F31" s="4">
        <v>0.89381563593932301</v>
      </c>
      <c r="G31" s="4">
        <v>0.88956730398414796</v>
      </c>
      <c r="H31" s="4">
        <v>0.94891122000000006</v>
      </c>
      <c r="I31" s="4">
        <v>0.17486339000000001</v>
      </c>
      <c r="J31" s="4">
        <v>5.1088777219430399E-2</v>
      </c>
      <c r="K31" s="4">
        <v>8.3322212910924703E-2</v>
      </c>
    </row>
    <row r="32" spans="1:12" x14ac:dyDescent="0.25">
      <c r="B32">
        <v>4</v>
      </c>
      <c r="C32" s="1">
        <v>2230.4949999999999</v>
      </c>
      <c r="D32" s="4">
        <v>0.67175357662629998</v>
      </c>
      <c r="E32" s="4">
        <v>0.88762801903055599</v>
      </c>
      <c r="F32" s="4">
        <v>0.88875923765071896</v>
      </c>
      <c r="G32" s="4">
        <v>0.888191192055515</v>
      </c>
      <c r="H32" s="4">
        <v>0.94095477000000005</v>
      </c>
      <c r="I32" s="4">
        <v>0.20765027</v>
      </c>
      <c r="J32" s="4">
        <v>5.9045226130653203E-2</v>
      </c>
      <c r="K32" s="4">
        <v>8.9052922290256895E-2</v>
      </c>
    </row>
    <row r="33" spans="2:11" x14ac:dyDescent="0.25">
      <c r="B33">
        <v>10</v>
      </c>
      <c r="C33" s="1">
        <v>2273.1860000000001</v>
      </c>
      <c r="D33" s="4">
        <v>0.67282221673028098</v>
      </c>
      <c r="E33" s="4">
        <v>0.88687652981991705</v>
      </c>
      <c r="F33" s="4">
        <v>0.87670167250097197</v>
      </c>
      <c r="G33" s="4">
        <v>0.88162740287738905</v>
      </c>
      <c r="H33" s="4">
        <v>0.92629815999999998</v>
      </c>
      <c r="I33" s="4">
        <v>0.2295082</v>
      </c>
      <c r="J33" s="4">
        <v>7.3701842546063601E-2</v>
      </c>
      <c r="K33" s="4">
        <v>0.10157371500231301</v>
      </c>
    </row>
    <row r="34" spans="2:11" x14ac:dyDescent="0.25">
      <c r="B34">
        <v>13</v>
      </c>
      <c r="C34" s="1">
        <v>2278.7179999999998</v>
      </c>
      <c r="D34" s="4">
        <v>0.67381991926847296</v>
      </c>
      <c r="E34" s="4">
        <v>0.88885826874597396</v>
      </c>
      <c r="F34" s="4">
        <v>0.87086736678335197</v>
      </c>
      <c r="G34" s="4">
        <v>0.87937123498116598</v>
      </c>
      <c r="H34" s="4">
        <v>0.91750419000000005</v>
      </c>
      <c r="I34" s="4">
        <v>0.26229508000000001</v>
      </c>
      <c r="J34" s="4">
        <v>8.24958123953098E-2</v>
      </c>
      <c r="K34" s="4">
        <v>0.108353117223795</v>
      </c>
    </row>
    <row r="35" spans="2:11" x14ac:dyDescent="0.25">
      <c r="B35">
        <v>15</v>
      </c>
      <c r="C35" s="1">
        <v>2315.547</v>
      </c>
      <c r="D35" s="4">
        <v>0.67421350834317295</v>
      </c>
      <c r="E35" s="4">
        <v>0.88050557917925798</v>
      </c>
      <c r="F35" s="4">
        <v>0.88914819136522705</v>
      </c>
      <c r="G35" s="4">
        <v>0.88471311954389098</v>
      </c>
      <c r="H35" s="4">
        <v>0.94639865999999995</v>
      </c>
      <c r="I35" s="4">
        <v>0.14207649999999999</v>
      </c>
      <c r="J35" s="4">
        <v>5.3601340033500797E-2</v>
      </c>
      <c r="K35" s="4">
        <v>8.7066719046335894E-2</v>
      </c>
    </row>
    <row r="36" spans="2:11" x14ac:dyDescent="0.25">
      <c r="B36">
        <v>14</v>
      </c>
      <c r="C36" s="1">
        <v>2276.7330000000002</v>
      </c>
      <c r="D36" s="4">
        <v>0.67506475913263897</v>
      </c>
      <c r="E36" s="4">
        <v>0.88350035098878499</v>
      </c>
      <c r="F36" s="4">
        <v>0.88642551536367098</v>
      </c>
      <c r="G36" s="4">
        <v>0.88494902093311401</v>
      </c>
      <c r="H36" s="4">
        <v>0.94095477000000005</v>
      </c>
      <c r="I36" s="4">
        <v>0.17486339000000001</v>
      </c>
      <c r="J36" s="4">
        <v>5.9045226130653203E-2</v>
      </c>
      <c r="K36" s="4">
        <v>9.0513817423715795E-2</v>
      </c>
    </row>
    <row r="37" spans="2:11" x14ac:dyDescent="0.25">
      <c r="B37">
        <v>16</v>
      </c>
      <c r="C37" s="1">
        <v>2316.4189999999999</v>
      </c>
      <c r="D37" s="4">
        <v>0.68494109893730903</v>
      </c>
      <c r="E37" s="4">
        <v>0.88413611798576197</v>
      </c>
      <c r="F37" s="4">
        <v>0.87942434850252804</v>
      </c>
      <c r="G37" s="4">
        <v>0.88174684488272903</v>
      </c>
      <c r="H37" s="4">
        <v>0.93174204000000005</v>
      </c>
      <c r="I37" s="4">
        <v>0.19672131000000001</v>
      </c>
      <c r="J37" s="4">
        <v>6.8257956448911195E-2</v>
      </c>
      <c r="K37" s="4">
        <v>9.7973558556942397E-2</v>
      </c>
    </row>
    <row r="38" spans="2:11" x14ac:dyDescent="0.25">
      <c r="B38">
        <v>12</v>
      </c>
      <c r="C38" s="1">
        <v>2273.1889999999999</v>
      </c>
      <c r="D38" s="4">
        <v>0.68743535528278898</v>
      </c>
      <c r="E38" s="4">
        <v>0.88648425888799198</v>
      </c>
      <c r="F38" s="4">
        <v>0.86970050563982804</v>
      </c>
      <c r="G38" s="4">
        <v>0.87769261684836897</v>
      </c>
      <c r="H38" s="4">
        <v>0.91792295000000002</v>
      </c>
      <c r="I38" s="4">
        <v>0.24043716000000001</v>
      </c>
      <c r="J38" s="4">
        <v>8.2077051926298106E-2</v>
      </c>
      <c r="K38" s="4">
        <v>0.10889123170262199</v>
      </c>
    </row>
    <row r="39" spans="2:11" x14ac:dyDescent="0.25">
      <c r="B39">
        <v>3</v>
      </c>
      <c r="C39" s="1">
        <v>2251.739</v>
      </c>
      <c r="D39" s="4">
        <v>0.68776944833456899</v>
      </c>
      <c r="E39" s="4">
        <v>0.88418044007195495</v>
      </c>
      <c r="F39" s="4">
        <v>0.87709062621547995</v>
      </c>
      <c r="G39" s="4">
        <v>0.88056207589463098</v>
      </c>
      <c r="H39" s="4">
        <v>0.92881071999999998</v>
      </c>
      <c r="I39" s="4">
        <v>0.20218579</v>
      </c>
      <c r="J39" s="4">
        <v>7.1189279731993294E-2</v>
      </c>
      <c r="K39" s="4">
        <v>0.100435620456247</v>
      </c>
    </row>
    <row r="40" spans="2:11" x14ac:dyDescent="0.25">
      <c r="B40">
        <v>1</v>
      </c>
      <c r="C40" s="1">
        <v>2226.201</v>
      </c>
      <c r="D40" s="4">
        <v>0.69322935259173801</v>
      </c>
      <c r="E40" s="4">
        <v>0.88893858760158595</v>
      </c>
      <c r="F40" s="4">
        <v>0.87125632049785995</v>
      </c>
      <c r="G40" s="4">
        <v>0.87961949119480298</v>
      </c>
      <c r="H40" s="4">
        <v>0.91792295000000002</v>
      </c>
      <c r="I40" s="4">
        <v>0.26229508000000001</v>
      </c>
      <c r="J40" s="4">
        <v>8.2077051926298106E-2</v>
      </c>
      <c r="K40" s="4">
        <v>0.10796197817903699</v>
      </c>
    </row>
    <row r="41" spans="2:11" x14ac:dyDescent="0.25">
      <c r="C41" s="1">
        <f>SUBTOTAL(101,Tabelle16589111319[Laufzeit in sec])</f>
        <v>2272.6264375000001</v>
      </c>
      <c r="D41" s="5">
        <f>SUBTOTAL(101,Tabelle16589111319[AUC-Score])</f>
        <v>0.67360667751324876</v>
      </c>
      <c r="E41" s="5">
        <f>SUBTOTAL(101,Tabelle16589111319[Precision Score])</f>
        <v>0.88612401022402587</v>
      </c>
      <c r="F41" s="5">
        <f>SUBTOTAL(101,Tabelle16589111319[Recall score])</f>
        <v>0.88426196032672066</v>
      </c>
      <c r="G41" s="5">
        <f>SUBTOTAL(101,Tabelle16589111319[f1 score])</f>
        <v>0.8850117885822304</v>
      </c>
      <c r="H41" s="5">
        <f>SUBTOTAL(101,Tabelle16589111319[per class acc])</f>
        <v>0.93642692562499985</v>
      </c>
      <c r="I41" s="5">
        <f>SUBTOTAL(101,Tabelle16589111319[per class 2])</f>
        <v>0.20355191250000002</v>
      </c>
      <c r="J41" s="5">
        <f>SUBTOTAL(101,Tabelle16589111319[FAR])</f>
        <v>6.3573073701842508E-2</v>
      </c>
      <c r="K41" s="5">
        <f>SUBTOTAL(101,Tabelle16589111319[distance heaven])</f>
        <v>9.3483290778382133E-2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F583-7724-4475-9F7F-3D0EF5DC667E}">
  <dimension ref="B2:L76"/>
  <sheetViews>
    <sheetView tabSelected="1" workbookViewId="0">
      <selection activeCell="J25" sqref="J25"/>
    </sheetView>
  </sheetViews>
  <sheetFormatPr baseColWidth="10" defaultRowHeight="15" x14ac:dyDescent="0.25"/>
  <cols>
    <col min="2" max="2" width="13.42578125" customWidth="1"/>
    <col min="3" max="3" width="11.7109375" customWidth="1"/>
    <col min="5" max="5" width="28.7109375" customWidth="1"/>
    <col min="6" max="6" width="24.7109375" customWidth="1"/>
    <col min="7" max="7" width="25.140625" customWidth="1"/>
    <col min="8" max="8" width="25.28515625" customWidth="1"/>
    <col min="9" max="9" width="25" customWidth="1"/>
    <col min="10" max="10" width="23.7109375" customWidth="1"/>
    <col min="11" max="11" width="28.85546875" customWidth="1"/>
    <col min="12" max="12" width="27.28515625" customWidth="1"/>
  </cols>
  <sheetData>
    <row r="2" spans="2:12" x14ac:dyDescent="0.25">
      <c r="I2">
        <v>0.94259999999999999</v>
      </c>
      <c r="J2">
        <v>3.0700000000000002E-2</v>
      </c>
    </row>
    <row r="3" spans="2:12" x14ac:dyDescent="0.25">
      <c r="B3" t="s">
        <v>105</v>
      </c>
      <c r="C3" t="s">
        <v>4</v>
      </c>
      <c r="I3">
        <v>0.98870000000000002</v>
      </c>
      <c r="J3">
        <v>0.1595</v>
      </c>
    </row>
    <row r="4" spans="2:12" x14ac:dyDescent="0.25">
      <c r="C4" t="s">
        <v>1</v>
      </c>
      <c r="D4" t="s">
        <v>3</v>
      </c>
      <c r="E4" t="s">
        <v>0</v>
      </c>
      <c r="F4" t="s">
        <v>10</v>
      </c>
      <c r="G4" t="s">
        <v>7</v>
      </c>
      <c r="H4" t="s">
        <v>8</v>
      </c>
      <c r="I4" t="s">
        <v>9</v>
      </c>
      <c r="J4" t="s">
        <v>96</v>
      </c>
      <c r="K4" t="s">
        <v>11</v>
      </c>
      <c r="L4" t="s">
        <v>12</v>
      </c>
    </row>
    <row r="5" spans="2:12" x14ac:dyDescent="0.25">
      <c r="C5">
        <v>7</v>
      </c>
      <c r="D5" s="1">
        <v>1123.55</v>
      </c>
      <c r="E5" s="4">
        <v>0.64473905370199103</v>
      </c>
      <c r="F5" s="4">
        <v>0.80595519818987604</v>
      </c>
      <c r="G5" s="4">
        <v>0.87152516904582999</v>
      </c>
      <c r="H5" s="4">
        <v>0.82381855889351696</v>
      </c>
      <c r="I5" s="4">
        <v>0.98886985999999999</v>
      </c>
      <c r="J5" s="4">
        <v>3.067485E-2</v>
      </c>
      <c r="K5" s="4">
        <v>1.11301369863013E-2</v>
      </c>
      <c r="L5" s="4">
        <v>9.1185695528510205E-2</v>
      </c>
    </row>
    <row r="6" spans="2:12" x14ac:dyDescent="0.25">
      <c r="C6">
        <v>8</v>
      </c>
      <c r="D6">
        <v>1093.8150000000001</v>
      </c>
      <c r="E6" s="4">
        <v>0.65943566686276101</v>
      </c>
      <c r="F6" s="4">
        <v>0.80088735225152796</v>
      </c>
      <c r="G6" s="4">
        <v>0.86551465063861699</v>
      </c>
      <c r="H6" s="4">
        <v>0.82279866030198101</v>
      </c>
      <c r="I6" s="4">
        <v>0.98030821999999995</v>
      </c>
      <c r="J6" s="4">
        <v>4.2944789999999997E-2</v>
      </c>
      <c r="K6" s="4">
        <v>1.96917808219178E-2</v>
      </c>
      <c r="L6" s="4">
        <v>9.6109508959289602E-2</v>
      </c>
    </row>
    <row r="7" spans="2:12" x14ac:dyDescent="0.25">
      <c r="C7">
        <v>16</v>
      </c>
      <c r="D7" s="1">
        <v>1105.9090000000001</v>
      </c>
      <c r="E7" s="4">
        <v>0.63361942180015096</v>
      </c>
      <c r="F7" s="4">
        <v>0.79666988880424505</v>
      </c>
      <c r="G7" s="4">
        <v>0.85950413223140498</v>
      </c>
      <c r="H7" s="4">
        <v>0.82045393825674995</v>
      </c>
      <c r="I7" s="4">
        <v>0.97260274000000002</v>
      </c>
      <c r="J7" s="4">
        <v>4.9079749999999998E-2</v>
      </c>
      <c r="K7" s="4">
        <v>2.7397260273972601E-2</v>
      </c>
      <c r="L7" s="4">
        <v>0.101216843288482</v>
      </c>
    </row>
    <row r="8" spans="2:12" x14ac:dyDescent="0.25">
      <c r="C8">
        <v>1</v>
      </c>
      <c r="D8" s="1">
        <v>1132.777</v>
      </c>
      <c r="E8" s="4">
        <v>0.63184931506849296</v>
      </c>
      <c r="F8" s="4">
        <v>0.79694262782575498</v>
      </c>
      <c r="G8" s="4">
        <v>0.85725018782869999</v>
      </c>
      <c r="H8" s="4">
        <v>0.82019069976747405</v>
      </c>
      <c r="I8" s="4">
        <v>0.96917808000000005</v>
      </c>
      <c r="J8" s="4">
        <v>5.5214720000000002E-2</v>
      </c>
      <c r="K8" s="4">
        <v>3.08219178082191E-2</v>
      </c>
      <c r="L8" s="4">
        <v>0.103265433452627</v>
      </c>
    </row>
    <row r="9" spans="2:12" x14ac:dyDescent="0.25">
      <c r="C9">
        <v>13</v>
      </c>
      <c r="D9" s="1">
        <v>1099.001</v>
      </c>
      <c r="E9" s="4">
        <v>0.63905580300865605</v>
      </c>
      <c r="F9" s="4">
        <v>0.80041122991571401</v>
      </c>
      <c r="G9" s="4">
        <v>0.86100676183320801</v>
      </c>
      <c r="H9" s="4">
        <v>0.822374216991972</v>
      </c>
      <c r="I9" s="4">
        <v>0.97345890000000002</v>
      </c>
      <c r="J9" s="4">
        <v>5.5214720000000002E-2</v>
      </c>
      <c r="K9" s="4">
        <v>2.6541095890410898E-2</v>
      </c>
      <c r="L9" s="4">
        <v>0.100058857746714</v>
      </c>
    </row>
    <row r="10" spans="2:12" x14ac:dyDescent="0.25">
      <c r="C10">
        <v>6</v>
      </c>
      <c r="D10" s="1">
        <v>1145.133</v>
      </c>
      <c r="E10" s="4">
        <v>0.67507773762501</v>
      </c>
      <c r="F10" s="4">
        <v>0.81163525325011998</v>
      </c>
      <c r="G10" s="4">
        <v>0.86551465063861699</v>
      </c>
      <c r="H10" s="4">
        <v>0.82813505319763803</v>
      </c>
      <c r="I10" s="4">
        <v>0.97602739999999999</v>
      </c>
      <c r="J10" s="4">
        <v>7.3619630000000005E-2</v>
      </c>
      <c r="K10" s="4">
        <v>2.3972602739725998E-2</v>
      </c>
      <c r="L10" s="4">
        <v>9.6594500037449793E-2</v>
      </c>
    </row>
    <row r="11" spans="2:12" x14ac:dyDescent="0.25">
      <c r="C11">
        <v>12</v>
      </c>
      <c r="D11" s="1">
        <v>1095.894</v>
      </c>
      <c r="E11" s="4">
        <v>0.66436517774602899</v>
      </c>
      <c r="F11" s="4">
        <v>0.80900270326011603</v>
      </c>
      <c r="G11" s="4">
        <v>0.86025544703230605</v>
      </c>
      <c r="H11" s="4">
        <v>0.82688354978551604</v>
      </c>
      <c r="I11" s="4">
        <v>0.96832191999999995</v>
      </c>
      <c r="J11" s="4">
        <v>8.5889569999999998E-2</v>
      </c>
      <c r="K11" s="4">
        <v>3.1678082191780803E-2</v>
      </c>
      <c r="L11" s="4">
        <v>0.10132137231475299</v>
      </c>
    </row>
    <row r="12" spans="2:12" x14ac:dyDescent="0.25">
      <c r="C12">
        <v>11</v>
      </c>
      <c r="D12" s="1">
        <v>1070.2840000000001</v>
      </c>
      <c r="E12" s="4">
        <v>0.65137301453903595</v>
      </c>
      <c r="F12" s="4">
        <v>0.81053421379100499</v>
      </c>
      <c r="G12" s="4">
        <v>0.86175807663410897</v>
      </c>
      <c r="H12" s="4">
        <v>0.82780549828198502</v>
      </c>
      <c r="I12" s="4">
        <v>0.97003424999999999</v>
      </c>
      <c r="J12" s="4">
        <v>8.5889569999999998E-2</v>
      </c>
      <c r="K12" s="4">
        <v>2.9965753424657501E-2</v>
      </c>
      <c r="L12" s="4">
        <v>0.100021936979364</v>
      </c>
    </row>
    <row r="13" spans="2:12" x14ac:dyDescent="0.25">
      <c r="C13">
        <v>4</v>
      </c>
      <c r="D13" s="1">
        <v>1126.981</v>
      </c>
      <c r="E13" s="4">
        <v>0.65066917388015799</v>
      </c>
      <c r="F13" s="4">
        <v>0.80078416088469695</v>
      </c>
      <c r="G13" s="4">
        <v>0.84748309541697897</v>
      </c>
      <c r="H13" s="4">
        <v>0.81996490729563698</v>
      </c>
      <c r="I13" s="4">
        <v>0.95291095999999997</v>
      </c>
      <c r="J13" s="4">
        <v>9.2024540000000002E-2</v>
      </c>
      <c r="K13" s="4">
        <v>4.7089041095890398E-2</v>
      </c>
      <c r="L13" s="4">
        <v>0.11286891506282</v>
      </c>
    </row>
    <row r="14" spans="2:12" x14ac:dyDescent="0.25">
      <c r="C14">
        <v>3</v>
      </c>
      <c r="D14" s="1">
        <v>1131.2180000000001</v>
      </c>
      <c r="E14" s="4">
        <v>0.67081267333389305</v>
      </c>
      <c r="F14" s="4">
        <v>0.80985012077060103</v>
      </c>
      <c r="G14" s="4">
        <v>0.85950413223140498</v>
      </c>
      <c r="H14" s="4">
        <v>0.82735001117240303</v>
      </c>
      <c r="I14" s="4">
        <v>0.96660959000000002</v>
      </c>
      <c r="J14" s="4">
        <v>9.2024540000000002E-2</v>
      </c>
      <c r="K14" s="4">
        <v>3.3390410958904097E-2</v>
      </c>
      <c r="L14" s="4">
        <v>0.10211270343119599</v>
      </c>
    </row>
    <row r="15" spans="2:12" x14ac:dyDescent="0.25">
      <c r="C15">
        <v>15</v>
      </c>
      <c r="D15" s="1">
        <v>1099.0319999999999</v>
      </c>
      <c r="E15" s="4">
        <v>0.67377510715186095</v>
      </c>
      <c r="F15" s="4">
        <v>0.81206625701560797</v>
      </c>
      <c r="G15" s="4">
        <v>0.86025544703230605</v>
      </c>
      <c r="H15" s="4">
        <v>0.82872746942579401</v>
      </c>
      <c r="I15" s="4">
        <v>0.96660959000000002</v>
      </c>
      <c r="J15" s="4">
        <v>9.8159510000000005E-2</v>
      </c>
      <c r="K15" s="4">
        <v>3.3390410958904097E-2</v>
      </c>
      <c r="L15" s="4">
        <v>0.101595914357185</v>
      </c>
    </row>
    <row r="16" spans="2:12" x14ac:dyDescent="0.25">
      <c r="C16">
        <v>2</v>
      </c>
      <c r="D16" s="1">
        <v>1137.0050000000001</v>
      </c>
      <c r="E16" s="4">
        <v>0.68367614925623998</v>
      </c>
      <c r="F16" s="4">
        <v>0.81435872974975698</v>
      </c>
      <c r="G16" s="4">
        <v>0.86250939143501104</v>
      </c>
      <c r="H16" s="4">
        <v>0.83013603131374902</v>
      </c>
      <c r="I16" s="4">
        <v>0.96917808000000005</v>
      </c>
      <c r="J16" s="4">
        <v>9.8159510000000005E-2</v>
      </c>
      <c r="K16" s="4">
        <v>3.08219178082191E-2</v>
      </c>
      <c r="L16" s="4">
        <v>9.9633473443786799E-2</v>
      </c>
    </row>
    <row r="17" spans="2:12" x14ac:dyDescent="0.25">
      <c r="C17">
        <v>10</v>
      </c>
      <c r="D17" s="1">
        <v>1092.3</v>
      </c>
      <c r="E17" s="4">
        <v>0.64692411126985405</v>
      </c>
      <c r="F17" s="4">
        <v>0.81217637851368296</v>
      </c>
      <c r="G17" s="4">
        <v>0.85725018782869999</v>
      </c>
      <c r="H17" s="4">
        <v>0.828598375331554</v>
      </c>
      <c r="I17" s="4">
        <v>0.96147260000000001</v>
      </c>
      <c r="J17" s="4">
        <v>0.11042945</v>
      </c>
      <c r="K17" s="4">
        <v>3.8527397260273898E-2</v>
      </c>
      <c r="L17" s="4">
        <v>0.10455111002421801</v>
      </c>
    </row>
    <row r="18" spans="2:12" x14ac:dyDescent="0.25">
      <c r="C18">
        <v>9</v>
      </c>
      <c r="D18" s="1">
        <v>1090.556</v>
      </c>
      <c r="E18" s="4">
        <v>0.65039078914194404</v>
      </c>
      <c r="F18" s="4">
        <v>0.81544639878680902</v>
      </c>
      <c r="G18" s="4">
        <v>0.85800150262960095</v>
      </c>
      <c r="H18" s="4">
        <v>0.83075821684496398</v>
      </c>
      <c r="I18" s="4">
        <v>0.96061644000000002</v>
      </c>
      <c r="J18" s="4">
        <v>0.12269939000000001</v>
      </c>
      <c r="K18" s="4">
        <v>3.93835616438356E-2</v>
      </c>
      <c r="L18" s="4">
        <v>0.10419846012106999</v>
      </c>
    </row>
    <row r="19" spans="2:12" x14ac:dyDescent="0.25">
      <c r="C19">
        <v>14</v>
      </c>
      <c r="D19" s="1">
        <v>1091.0930000000001</v>
      </c>
      <c r="E19" s="4">
        <v>0.63900853012858205</v>
      </c>
      <c r="F19" s="4">
        <v>0.80651067465409598</v>
      </c>
      <c r="G19" s="4">
        <v>0.84297520661156999</v>
      </c>
      <c r="H19" s="4">
        <v>0.82195764555845696</v>
      </c>
      <c r="I19" s="4">
        <v>0.94263699000000001</v>
      </c>
      <c r="J19" s="4">
        <v>0.12883436000000001</v>
      </c>
      <c r="K19" s="4">
        <v>5.7363013698630103E-2</v>
      </c>
      <c r="L19" s="4">
        <v>0.11821019642837099</v>
      </c>
    </row>
    <row r="20" spans="2:12" x14ac:dyDescent="0.25">
      <c r="C20">
        <v>5</v>
      </c>
      <c r="D20" s="1">
        <v>1132.1469999999999</v>
      </c>
      <c r="E20" s="4">
        <v>0.690189301621985</v>
      </c>
      <c r="F20" s="4">
        <v>0.82011092005671005</v>
      </c>
      <c r="G20" s="4">
        <v>0.85499624342599501</v>
      </c>
      <c r="H20" s="4">
        <v>0.83345596250633802</v>
      </c>
      <c r="I20" s="4">
        <v>0.95205479000000004</v>
      </c>
      <c r="J20" s="4">
        <v>0.15950919999999999</v>
      </c>
      <c r="K20" s="4">
        <v>4.7945205479451997E-2</v>
      </c>
      <c r="L20" s="4">
        <v>0.107992666762702</v>
      </c>
    </row>
    <row r="21" spans="2:12" x14ac:dyDescent="0.25">
      <c r="D21" s="1">
        <f>SUBTOTAL(101,Tabelle16571012182126[Laufzeit in sec])</f>
        <v>1110.4184375</v>
      </c>
      <c r="E21" s="5">
        <f>SUBTOTAL(101,Tabelle16571012182126[AUC-Score])</f>
        <v>0.65656006413354018</v>
      </c>
      <c r="F21" s="5">
        <f>SUBTOTAL(101,Tabelle16571012182126[Precision Score])</f>
        <v>0.80770888173252009</v>
      </c>
      <c r="G21" s="5">
        <f>SUBTOTAL(101,Tabelle16571012182126[Recall score])</f>
        <v>0.85908151765589758</v>
      </c>
      <c r="H21" s="5">
        <f>SUBTOTAL(101,Tabelle16571012182126[f1 score])</f>
        <v>0.82583804968285823</v>
      </c>
      <c r="I21" s="5">
        <f>SUBTOTAL(101,Tabelle16571012182126[per class acc])</f>
        <v>0.96693065062500028</v>
      </c>
      <c r="J21" s="5">
        <f>SUBTOTAL(101,Tabelle16571012182126[per class acc 2])</f>
        <v>8.6273006250000006E-2</v>
      </c>
      <c r="K21" s="5">
        <f>SUBTOTAL(101,Tabelle16571012182126[FAR])</f>
        <v>3.3069349315068455E-2</v>
      </c>
      <c r="L21" s="5">
        <f>SUBTOTAL(101,Tabelle16571012182126[distance heaven])</f>
        <v>0.10255859924615865</v>
      </c>
    </row>
    <row r="23" spans="2:12" x14ac:dyDescent="0.25">
      <c r="I23">
        <v>0.9355</v>
      </c>
      <c r="J23">
        <v>7.6499999999999999E-2</v>
      </c>
    </row>
    <row r="24" spans="2:12" x14ac:dyDescent="0.25">
      <c r="C24" t="s">
        <v>2</v>
      </c>
      <c r="I24">
        <v>0.97570000000000001</v>
      </c>
      <c r="J24">
        <v>0.16389999999999999</v>
      </c>
    </row>
    <row r="25" spans="2:12" x14ac:dyDescent="0.25">
      <c r="C25" t="s">
        <v>1</v>
      </c>
      <c r="D25" t="s">
        <v>3</v>
      </c>
      <c r="E25" t="s">
        <v>0</v>
      </c>
      <c r="F25" t="s">
        <v>10</v>
      </c>
      <c r="G25" t="s">
        <v>7</v>
      </c>
      <c r="H25" t="s">
        <v>8</v>
      </c>
      <c r="I25" t="s">
        <v>9</v>
      </c>
      <c r="J25" t="s">
        <v>95</v>
      </c>
      <c r="K25" t="s">
        <v>11</v>
      </c>
      <c r="L25" t="s">
        <v>12</v>
      </c>
    </row>
    <row r="26" spans="2:12" x14ac:dyDescent="0.25">
      <c r="B26" s="2"/>
      <c r="C26">
        <v>2</v>
      </c>
      <c r="D26" s="3">
        <v>2878.5219999999999</v>
      </c>
      <c r="E26" s="4">
        <v>0.61530100410980204</v>
      </c>
      <c r="F26" s="4">
        <v>0.87692711199923101</v>
      </c>
      <c r="G26" s="4">
        <v>0.90548424737456201</v>
      </c>
      <c r="H26" s="4">
        <v>0.88983951213629398</v>
      </c>
      <c r="I26" s="4">
        <v>0.96901172999999996</v>
      </c>
      <c r="J26" s="4">
        <v>7.6502730000000005E-2</v>
      </c>
      <c r="K26" s="4">
        <v>3.0988274706867599E-2</v>
      </c>
      <c r="L26" s="4">
        <v>7.03331382196941E-2</v>
      </c>
    </row>
    <row r="27" spans="2:12" x14ac:dyDescent="0.25">
      <c r="C27">
        <v>9</v>
      </c>
      <c r="D27" s="10">
        <v>2696.335</v>
      </c>
      <c r="E27" s="4">
        <v>0.60378852367484004</v>
      </c>
      <c r="F27" s="4">
        <v>0.88425447591122797</v>
      </c>
      <c r="G27" s="4">
        <v>0.91326332166472102</v>
      </c>
      <c r="H27" s="4">
        <v>0.89629699183766098</v>
      </c>
      <c r="I27" s="4">
        <v>0.97571189000000003</v>
      </c>
      <c r="J27" s="4">
        <v>9.8360660000000003E-2</v>
      </c>
      <c r="K27" s="4">
        <v>2.4288107202680001E-2</v>
      </c>
      <c r="L27" s="4">
        <v>6.3691300505353002E-2</v>
      </c>
    </row>
    <row r="28" spans="2:12" x14ac:dyDescent="0.25">
      <c r="C28">
        <v>6</v>
      </c>
      <c r="D28" s="1">
        <v>2862.0039999999999</v>
      </c>
      <c r="E28" s="4">
        <v>0.61879753961062101</v>
      </c>
      <c r="F28" s="4">
        <v>0.87843105699911395</v>
      </c>
      <c r="G28" s="4">
        <v>0.89614935822637098</v>
      </c>
      <c r="H28" s="4">
        <v>0.88680385342421597</v>
      </c>
      <c r="I28" s="4">
        <v>0.95644890999999999</v>
      </c>
      <c r="J28" s="4">
        <v>0.10928962</v>
      </c>
      <c r="K28" s="4">
        <v>4.3551088777219402E-2</v>
      </c>
      <c r="L28" s="4">
        <v>7.9629307200539595E-2</v>
      </c>
    </row>
    <row r="29" spans="2:12" x14ac:dyDescent="0.25">
      <c r="C29">
        <v>13</v>
      </c>
      <c r="D29" s="1">
        <v>2709.1060000000002</v>
      </c>
      <c r="E29" s="4">
        <v>0.63783169032777698</v>
      </c>
      <c r="F29" s="4">
        <v>0.88230186172355496</v>
      </c>
      <c r="G29" s="4">
        <v>0.90665110851808595</v>
      </c>
      <c r="H29" s="4">
        <v>0.89314097255616898</v>
      </c>
      <c r="I29" s="4">
        <v>0.96775544000000002</v>
      </c>
      <c r="J29" s="4">
        <v>0.10928962</v>
      </c>
      <c r="K29" s="4">
        <v>3.2244556113902798E-2</v>
      </c>
      <c r="L29" s="4">
        <v>6.9834543529275997E-2</v>
      </c>
    </row>
    <row r="30" spans="2:12" x14ac:dyDescent="0.25">
      <c r="C30">
        <v>15</v>
      </c>
      <c r="D30" s="1">
        <v>2694.192</v>
      </c>
      <c r="E30" s="4">
        <v>0.61860074507327101</v>
      </c>
      <c r="F30" s="4">
        <v>0.87914301326976396</v>
      </c>
      <c r="G30" s="4">
        <v>0.89614935822637098</v>
      </c>
      <c r="H30" s="4">
        <v>0.88718330389089195</v>
      </c>
      <c r="I30" s="4">
        <v>0.95603015000000002</v>
      </c>
      <c r="J30" s="4">
        <v>0.1147541</v>
      </c>
      <c r="K30" s="4">
        <v>4.3969849246231103E-2</v>
      </c>
      <c r="L30" s="4">
        <v>7.9744289574648797E-2</v>
      </c>
    </row>
    <row r="31" spans="2:12" x14ac:dyDescent="0.25">
      <c r="C31">
        <v>16</v>
      </c>
      <c r="D31" s="1">
        <v>2769.3670000000002</v>
      </c>
      <c r="E31" s="4">
        <v>0.609763297361122</v>
      </c>
      <c r="F31" s="4">
        <v>0.88270231139724498</v>
      </c>
      <c r="G31" s="4">
        <v>0.90587320108906999</v>
      </c>
      <c r="H31" s="4">
        <v>0.89307887380913498</v>
      </c>
      <c r="I31" s="4">
        <v>0.96649916000000002</v>
      </c>
      <c r="J31" s="4">
        <v>0.1147541</v>
      </c>
      <c r="K31" s="4">
        <v>3.3500837520938E-2</v>
      </c>
      <c r="L31" s="4">
        <v>7.0647577410067094E-2</v>
      </c>
    </row>
    <row r="32" spans="2:12" x14ac:dyDescent="0.25">
      <c r="C32">
        <v>5</v>
      </c>
      <c r="D32" s="1">
        <v>2858.9560000000001</v>
      </c>
      <c r="E32" s="4">
        <v>0.61829640003295105</v>
      </c>
      <c r="F32" s="4">
        <v>0.87859854442798402</v>
      </c>
      <c r="G32" s="4">
        <v>0.891870867366783</v>
      </c>
      <c r="H32" s="4">
        <v>0.88497669811286395</v>
      </c>
      <c r="I32" s="4">
        <v>0.95100503000000003</v>
      </c>
      <c r="J32" s="4">
        <v>0.12021858000000001</v>
      </c>
      <c r="K32" s="4">
        <v>4.8994974874371801E-2</v>
      </c>
      <c r="L32" s="4">
        <v>8.3941696691668302E-2</v>
      </c>
    </row>
    <row r="33" spans="3:12" x14ac:dyDescent="0.25">
      <c r="C33">
        <v>10</v>
      </c>
      <c r="D33" s="1">
        <v>2723.4989999999998</v>
      </c>
      <c r="E33" s="4">
        <v>0.62033528297223794</v>
      </c>
      <c r="F33" s="4">
        <v>0.87859854442798402</v>
      </c>
      <c r="G33" s="4">
        <v>0.891870867366783</v>
      </c>
      <c r="H33" s="4">
        <v>0.88497669811286395</v>
      </c>
      <c r="I33" s="4">
        <v>0.95100503000000003</v>
      </c>
      <c r="J33" s="4">
        <v>0.12021858000000001</v>
      </c>
      <c r="K33" s="4">
        <v>4.8994974874371801E-2</v>
      </c>
      <c r="L33" s="4">
        <v>8.3941696691668302E-2</v>
      </c>
    </row>
    <row r="34" spans="3:12" x14ac:dyDescent="0.25">
      <c r="C34">
        <v>12</v>
      </c>
      <c r="D34" s="1">
        <v>2712.567</v>
      </c>
      <c r="E34" s="4">
        <v>0.61342001446211003</v>
      </c>
      <c r="F34" s="4">
        <v>0.87925809548198397</v>
      </c>
      <c r="G34" s="4">
        <v>0.89420458965383098</v>
      </c>
      <c r="H34" s="4">
        <v>0.88638274875738698</v>
      </c>
      <c r="I34" s="4">
        <v>0.95351759000000003</v>
      </c>
      <c r="J34" s="4">
        <v>0.12021858000000001</v>
      </c>
      <c r="K34" s="4">
        <v>4.6482412060301501E-2</v>
      </c>
      <c r="L34" s="4">
        <v>8.1710719863607506E-2</v>
      </c>
    </row>
    <row r="35" spans="3:12" x14ac:dyDescent="0.25">
      <c r="C35">
        <v>1</v>
      </c>
      <c r="D35" s="1">
        <v>2873.9650000000001</v>
      </c>
      <c r="E35" s="4">
        <v>0.62801942316317405</v>
      </c>
      <c r="F35" s="4">
        <v>0.88214020435325602</v>
      </c>
      <c r="G35" s="4">
        <v>0.90276157137300606</v>
      </c>
      <c r="H35" s="4">
        <v>0.89157689254982697</v>
      </c>
      <c r="I35" s="4">
        <v>0.96273032000000003</v>
      </c>
      <c r="J35" s="4">
        <v>0.12021858000000001</v>
      </c>
      <c r="K35" s="4">
        <v>3.7269681742043502E-2</v>
      </c>
      <c r="L35" s="4">
        <v>7.3635389518220407E-2</v>
      </c>
    </row>
    <row r="36" spans="3:12" x14ac:dyDescent="0.25">
      <c r="C36">
        <v>7</v>
      </c>
      <c r="D36" s="1">
        <v>2898.96</v>
      </c>
      <c r="E36" s="4">
        <v>0.62733521889959798</v>
      </c>
      <c r="F36" s="4">
        <v>0.88017424921049703</v>
      </c>
      <c r="G36" s="4">
        <v>0.89498249708284705</v>
      </c>
      <c r="H36" s="4">
        <v>0.88721816972240697</v>
      </c>
      <c r="I36" s="4">
        <v>0.95393634999999999</v>
      </c>
      <c r="J36" s="4">
        <v>0.12568306000000001</v>
      </c>
      <c r="K36" s="4">
        <v>4.6063651591289702E-2</v>
      </c>
      <c r="L36" s="4">
        <v>8.1088025986818593E-2</v>
      </c>
    </row>
    <row r="37" spans="3:12" x14ac:dyDescent="0.25">
      <c r="C37">
        <v>3</v>
      </c>
      <c r="D37" s="1">
        <v>2884.1210000000001</v>
      </c>
      <c r="E37" s="4">
        <v>0.60051166579710902</v>
      </c>
      <c r="F37" s="4">
        <v>0.88432313721811795</v>
      </c>
      <c r="G37" s="4">
        <v>0.90626215480357797</v>
      </c>
      <c r="H37" s="4">
        <v>0.89412359881520298</v>
      </c>
      <c r="I37" s="4">
        <v>0.96608039999999995</v>
      </c>
      <c r="J37" s="4">
        <v>0.12568306000000001</v>
      </c>
      <c r="K37" s="4">
        <v>3.3919597989949701E-2</v>
      </c>
      <c r="L37" s="4">
        <v>7.0488732255120395E-2</v>
      </c>
    </row>
    <row r="38" spans="3:12" x14ac:dyDescent="0.25">
      <c r="C38">
        <v>4</v>
      </c>
      <c r="D38" s="1">
        <v>2877.14</v>
      </c>
      <c r="E38" s="4">
        <v>0.61904925355374296</v>
      </c>
      <c r="F38" s="4">
        <v>0.88294735301099903</v>
      </c>
      <c r="G38" s="4">
        <v>0.90120575651497403</v>
      </c>
      <c r="H38" s="4">
        <v>0.89139067738553301</v>
      </c>
      <c r="I38" s="4">
        <v>0.96021776000000003</v>
      </c>
      <c r="J38" s="4">
        <v>0.13114754000000001</v>
      </c>
      <c r="K38" s="4">
        <v>3.9782244556113899E-2</v>
      </c>
      <c r="L38" s="4">
        <v>7.5309128024765096E-2</v>
      </c>
    </row>
    <row r="39" spans="3:12" x14ac:dyDescent="0.25">
      <c r="C39">
        <v>11</v>
      </c>
      <c r="D39" s="1">
        <v>2740.1709999999998</v>
      </c>
      <c r="E39" s="4">
        <v>0.61682730592854895</v>
      </c>
      <c r="F39" s="4">
        <v>0.88434214242878395</v>
      </c>
      <c r="G39" s="4">
        <v>0.90470633994554595</v>
      </c>
      <c r="H39" s="4">
        <v>0.89355259310136703</v>
      </c>
      <c r="I39" s="4">
        <v>0.96398660000000003</v>
      </c>
      <c r="J39" s="4">
        <v>0.13114754000000001</v>
      </c>
      <c r="K39" s="4">
        <v>3.60134003350083E-2</v>
      </c>
      <c r="L39" s="4">
        <v>7.2034181644075504E-2</v>
      </c>
    </row>
    <row r="40" spans="3:12" x14ac:dyDescent="0.25">
      <c r="C40">
        <v>14</v>
      </c>
      <c r="D40" s="1">
        <v>2702.5239999999999</v>
      </c>
      <c r="E40" s="4">
        <v>0.63847470503702397</v>
      </c>
      <c r="F40" s="4">
        <v>0.88163726093898798</v>
      </c>
      <c r="G40" s="4">
        <v>0.89537145079735503</v>
      </c>
      <c r="H40" s="4">
        <v>0.88817350615136603</v>
      </c>
      <c r="I40" s="4">
        <v>0.95351759000000003</v>
      </c>
      <c r="J40" s="4">
        <v>0.13661202</v>
      </c>
      <c r="K40" s="4">
        <v>4.6482412060301501E-2</v>
      </c>
      <c r="L40" s="4">
        <v>8.0956000207501405E-2</v>
      </c>
    </row>
    <row r="41" spans="3:12" x14ac:dyDescent="0.25">
      <c r="C41">
        <v>8</v>
      </c>
      <c r="D41" s="1">
        <v>2731.1689999999999</v>
      </c>
      <c r="E41" s="4">
        <v>0.64536709046141405</v>
      </c>
      <c r="F41" s="4">
        <v>0.88089181615270695</v>
      </c>
      <c r="G41" s="4">
        <v>0.88059120964605198</v>
      </c>
      <c r="H41" s="4">
        <v>0.88074138838348104</v>
      </c>
      <c r="I41" s="4">
        <v>0.93551088999999998</v>
      </c>
      <c r="J41" s="4">
        <v>0.16393442999999999</v>
      </c>
      <c r="K41" s="4">
        <v>6.4489112227805595E-2</v>
      </c>
      <c r="L41" s="4">
        <v>9.5961723644700098E-2</v>
      </c>
    </row>
    <row r="42" spans="3:12" x14ac:dyDescent="0.25">
      <c r="D42" s="1">
        <f>SUBTOTAL(101,Tabelle165891113192527[Laufzeit in sec])</f>
        <v>2788.2873749999999</v>
      </c>
      <c r="E42" s="5">
        <f>SUBTOTAL(101,Tabelle165891113192527[AUC-Score])</f>
        <v>0.62073244752908407</v>
      </c>
      <c r="F42" s="5">
        <f>SUBTOTAL(101,Tabelle165891113192527[Precision Score])</f>
        <v>0.88104194868446484</v>
      </c>
      <c r="G42" s="5">
        <f>SUBTOTAL(101,Tabelle165891113192527[Recall score])</f>
        <v>0.89921236872812105</v>
      </c>
      <c r="H42" s="5">
        <f>SUBTOTAL(101,Tabelle165891113192527[f1 score])</f>
        <v>0.88934102992166664</v>
      </c>
      <c r="I42" s="5">
        <f>SUBTOTAL(101,Tabelle165891113192527[per class acc])</f>
        <v>0.95893530250000003</v>
      </c>
      <c r="J42" s="5">
        <f>SUBTOTAL(101,Tabelle165891113192527[per class 2])</f>
        <v>0.11987705</v>
      </c>
      <c r="K42" s="5">
        <f>SUBTOTAL(101,Tabelle165891113192527[FAR])</f>
        <v>4.1064698492462262E-2</v>
      </c>
      <c r="L42" s="5">
        <f>SUBTOTAL(101,Tabelle165891113192527[distance heaven])</f>
        <v>7.7059215685482782E-2</v>
      </c>
    </row>
    <row r="49" spans="2:5" x14ac:dyDescent="0.25">
      <c r="D49" t="s">
        <v>0</v>
      </c>
      <c r="E49" t="s">
        <v>100</v>
      </c>
    </row>
    <row r="52" spans="2:5" x14ac:dyDescent="0.25">
      <c r="B52" t="s">
        <v>4</v>
      </c>
    </row>
    <row r="53" spans="2:5" x14ac:dyDescent="0.25">
      <c r="C53" t="s">
        <v>1</v>
      </c>
      <c r="D53" t="s">
        <v>104</v>
      </c>
    </row>
    <row r="54" spans="2:5" x14ac:dyDescent="0.25">
      <c r="C54" t="s">
        <v>5</v>
      </c>
      <c r="D54" s="1">
        <f>SUBTOTAL(101,Tabelle165710121823[Laufzeit in sec])</f>
        <v>5467.2049999999999</v>
      </c>
    </row>
    <row r="55" spans="2:5" x14ac:dyDescent="0.25">
      <c r="C55" t="s">
        <v>106</v>
      </c>
      <c r="D55" s="1">
        <f>SUBTOTAL(101,Tabelle165[Laufzeit in sec])</f>
        <v>565.55700000000002</v>
      </c>
    </row>
    <row r="56" spans="2:5" x14ac:dyDescent="0.25">
      <c r="C56" t="s">
        <v>107</v>
      </c>
      <c r="D56" s="1">
        <f>SUBTOTAL(101,Tabelle1657[Laufzeit in sec])</f>
        <v>164.26693749999998</v>
      </c>
    </row>
    <row r="57" spans="2:5" x14ac:dyDescent="0.25">
      <c r="C57" t="s">
        <v>108</v>
      </c>
      <c r="D57" s="1">
        <f>SUBTOTAL(101,Tabelle165710[Laufzeit in sec])</f>
        <v>974.48843749999992</v>
      </c>
    </row>
    <row r="58" spans="2:5" x14ac:dyDescent="0.25">
      <c r="C58" t="s">
        <v>75</v>
      </c>
      <c r="D58" s="1">
        <f>SUBTOTAL(101,Tabelle1657101218[Laufzeit in sec])</f>
        <v>989.03168749999986</v>
      </c>
    </row>
    <row r="59" spans="2:5" x14ac:dyDescent="0.25">
      <c r="C59" t="s">
        <v>105</v>
      </c>
      <c r="D59" s="1">
        <f>SUBTOTAL(101,Tabelle16571012182126[Laufzeit in sec])</f>
        <v>1110.4184375</v>
      </c>
    </row>
    <row r="62" spans="2:5" x14ac:dyDescent="0.25">
      <c r="B62" t="s">
        <v>2</v>
      </c>
    </row>
    <row r="63" spans="2:5" x14ac:dyDescent="0.25">
      <c r="C63" t="s">
        <v>1</v>
      </c>
      <c r="D63" t="s">
        <v>104</v>
      </c>
    </row>
    <row r="64" spans="2:5" x14ac:dyDescent="0.25">
      <c r="C64" t="s">
        <v>5</v>
      </c>
      <c r="D64" s="1">
        <f>SUBTOTAL(101,Tabelle1658911131924[Laufzeit in sec])</f>
        <v>12279.147499999999</v>
      </c>
    </row>
    <row r="65" spans="3:4" x14ac:dyDescent="0.25">
      <c r="C65" t="s">
        <v>106</v>
      </c>
      <c r="D65" s="1">
        <f>SUBTOTAL(101,Tabelle1658[Laufzeit in sec])</f>
        <v>1218.1228125000002</v>
      </c>
    </row>
    <row r="66" spans="3:4" x14ac:dyDescent="0.25">
      <c r="C66" t="s">
        <v>107</v>
      </c>
      <c r="D66" s="1">
        <f>SUBTOTAL(101,Tabelle16589[Laufzeit in sec])</f>
        <v>234.33100000000005</v>
      </c>
    </row>
    <row r="67" spans="3:4" x14ac:dyDescent="0.25">
      <c r="C67" t="s">
        <v>108</v>
      </c>
      <c r="D67" s="1">
        <f>SUBTOTAL(101,Tabelle1658911[Laufzeit in sec])</f>
        <v>2252.3530000000001</v>
      </c>
    </row>
    <row r="68" spans="3:4" x14ac:dyDescent="0.25">
      <c r="C68" t="s">
        <v>75</v>
      </c>
      <c r="D68" s="1">
        <f>SUBTOTAL(101,Tabelle16589111319[Laufzeit in sec])</f>
        <v>2272.6264375000001</v>
      </c>
    </row>
    <row r="69" spans="3:4" x14ac:dyDescent="0.25">
      <c r="C69" t="s">
        <v>105</v>
      </c>
      <c r="D69" s="1">
        <f>SUBTOTAL(101,Tabelle165891113192527[Laufzeit in sec])</f>
        <v>2788.2873749999999</v>
      </c>
    </row>
    <row r="71" spans="3:4" x14ac:dyDescent="0.25">
      <c r="D71" t="s">
        <v>109</v>
      </c>
    </row>
    <row r="72" spans="3:4" x14ac:dyDescent="0.25">
      <c r="D72" t="s">
        <v>110</v>
      </c>
    </row>
    <row r="73" spans="3:4" x14ac:dyDescent="0.25">
      <c r="D73" t="s">
        <v>111</v>
      </c>
    </row>
    <row r="74" spans="3:4" x14ac:dyDescent="0.25">
      <c r="D74" t="s">
        <v>112</v>
      </c>
    </row>
    <row r="75" spans="3:4" x14ac:dyDescent="0.25">
      <c r="D75" t="s">
        <v>113</v>
      </c>
    </row>
    <row r="76" spans="3:4" x14ac:dyDescent="0.25">
      <c r="D76" t="s">
        <v>114</v>
      </c>
    </row>
  </sheetData>
  <phoneticPr fontId="1" type="noConversion"/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MitdemFettenCock</dc:creator>
  <cp:lastModifiedBy>Julian Behler</cp:lastModifiedBy>
  <dcterms:created xsi:type="dcterms:W3CDTF">2023-07-30T09:13:17Z</dcterms:created>
  <dcterms:modified xsi:type="dcterms:W3CDTF">2023-09-11T17:22:05Z</dcterms:modified>
</cp:coreProperties>
</file>