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lection" sheetId="1" r:id="rId4"/>
    <sheet state="visible" name="Conferences" sheetId="2" r:id="rId5"/>
    <sheet state="visible" name="Journals" sheetId="3" r:id="rId6"/>
  </sheets>
  <definedNames/>
  <calcPr/>
</workbook>
</file>

<file path=xl/sharedStrings.xml><?xml version="1.0" encoding="utf-8"?>
<sst xmlns="http://schemas.openxmlformats.org/spreadsheetml/2006/main" count="427" uniqueCount="273">
  <si>
    <t>☑</t>
  </si>
  <si>
    <t>Title</t>
  </si>
  <si>
    <t>Acronym</t>
  </si>
  <si>
    <t>Library</t>
  </si>
  <si>
    <t>Venue Search Term</t>
  </si>
  <si>
    <t>Full Search Term</t>
  </si>
  <si>
    <t>Results</t>
  </si>
  <si>
    <t>First Title</t>
  </si>
  <si>
    <t>Count</t>
  </si>
  <si>
    <t>Scopus</t>
  </si>
  <si>
    <t>SRCTITLE ( computing AND surveys )</t>
  </si>
  <si>
    <t>SRCTITLE ( computing AND surveys ) AND TITLE-ABS-KEY ( requirement* OR srs OR specification* ) AND TITLE-ABS-KEY ( experiment* )</t>
  </si>
  <si>
    <t>https://docs.google.com/spreadsheets/d/1HgVTGacHA4ooe0TRD4bHdG2wA6oy-3yVrrhxpW9jnVs/edit#gid=319269851</t>
  </si>
  <si>
    <t xml:space="preserve">SRCTITLE ( transactions AND software AND engineering ) </t>
  </si>
  <si>
    <t>SRCTITLE ( transactions AND software AND engineering ) AND TITLE-ABS-KEY ( requirement* OR srs OR specification* ) AND TITLE-ABS-KEY ( experiment* ) AND ( LIMIT-TO ( EXACTSRCTITLE , "ACM Transactions On Software Engineering And Methodology" ) OR LIMIT-TO ( EXACTSRCTITLE , "ACM Transactions On Software Engineering And Methodology Tosem" ) )</t>
  </si>
  <si>
    <t>https://docs.google.com/spreadsheets/d/1GT2KBo6IE8Zj4Z7Mmcm8HiycoqxJvg2_H_16FTYQk6M/edit#gid=93092510</t>
  </si>
  <si>
    <t>SRCTITLE ( transactions AND software AND engineering ) AND TITLE-ABS-KEY ( requirement* OR srs OR specification* ) AND TITLE-ABS-KEY ( experiment* ) AND ( LIMIT-TO ( EXACTSRCTITLE , "IEEE Transactions On Software Engineering" ) )</t>
  </si>
  <si>
    <t>https://docs.google.com/spreadsheets/d/1v76xo1SaWAEzmLTT1gyH51xHs99CoKFRfrGW27fxilI/edit#gid=1612515869</t>
  </si>
  <si>
    <t>SRCTITLE ( empirical AND software AND engineering )</t>
  </si>
  <si>
    <t>SRCTITLE ( empirical AND software AND engineering ) AND TITLE-ABS-KEY ( requirement* OR srs OR specification* ) AND TITLE-ABS-KEY ( experiment* ) AND ( LIMIT-TO ( SRCTYPE , "j" ) )</t>
  </si>
  <si>
    <r>
      <rPr>
        <color rgb="FF1155CC"/>
        <u/>
      </rPr>
      <t>https://docs.google.com/spreadsheets/d/1wnt4oYasCzH8UAHPj7M7MC5gGS-6FYd7YFjmLJnYTCM/edit#gid=1224761936</t>
    </r>
    <r>
      <rPr/>
      <t>6</t>
    </r>
  </si>
  <si>
    <t>SRCTITLE ( transactions AND privacy AND security )</t>
  </si>
  <si>
    <t>SRCTITLE ( transactions AND privacy AND security ) AND TITLE-ABS-KEY ( requirement* OR srs OR specification* ) AND TITLE-ABS-KEY ( experiment* )</t>
  </si>
  <si>
    <t>https://docs.google.com/spreadsheets/d/1ZorXlWn4uh3LmF59rQCShdPQEd-aFLFmH-CmDr8cOT0/edit#gid=2015104068</t>
  </si>
  <si>
    <t>SRCTITLE ( transactions AND dependable AND secure AND computing )</t>
  </si>
  <si>
    <t>SRCTITLE ( transactions AND dependable AND secure AND computing ) AND TITLE-ABS-KEY ( requirement* OR srs OR specification* ) AND TITLE-ABS-KEY ( experiment* )</t>
  </si>
  <si>
    <t>https://docs.google.com/spreadsheets/d/1AmhVykXSpIeaxvKY62Po1W_UOLsl3oU9tLNIWVnDFV4/edit#gid=211543681</t>
  </si>
  <si>
    <t>SRCTITLE ( journal AND system AND software )</t>
  </si>
  <si>
    <t>SRCTITLE ( journal AND system AND software ) AND TITLE-ABS-KEY ( requirement* OR srs OR specification* ) AND TITLE-ABS-KEY ( experiment* ) AND ( LIMIT-TO ( EXACTSRCTITLE , "Journal Of Systems And Software" ) )</t>
  </si>
  <si>
    <t>https://docs.google.com/spreadsheets/d/1Qe4eMGWl0MgrzUJz6H2jyygdajy5rCNSKKP_psNXv5Q/edit#gid=1917798017</t>
  </si>
  <si>
    <t>SRCTITLE ( information AND software AND technology )</t>
  </si>
  <si>
    <t>SRCTITLE ( information AND software AND technology ) AND TITLE-ABS-KEY ( requirement* OR srs OR specification* ) AND TITLE-ABS-KEY ( experiment* ) AND ( LIMIT-TO ( SRCTYPE , "j" ) )</t>
  </si>
  <si>
    <t>https://docs.google.com/spreadsheets/d/1xSFl5lTyOdJIsZZ8gRfjRd7nVnsZg8MCtX3k_QGopD8/edit#gid=67356075</t>
  </si>
  <si>
    <t>SRCTITLE ( requirement AND engineering )</t>
  </si>
  <si>
    <t>SRCTITLE ( requirements AND engineering ) AND TITLE-ABS-KEY ( requirement* OR srs OR specification* ) AND TITLE-ABS-KEY ( experiment* ) AND ( LIMIT-TO ( SRCTYPE , "j" ) ) AND ( LIMIT-TO ( EXACTSRCTITLE , "Requirements Engineering" ) )</t>
  </si>
  <si>
    <t>https://docs.google.com/spreadsheets/d/1EKKjupCZrZeEc_gy13XtPpL77CFV-55FNyH5blcuVBM/edit#gid=975674041</t>
  </si>
  <si>
    <t>SRCTITLE ( journal AND software AND evolution AND process)</t>
  </si>
  <si>
    <t>SRCTITLE ( journal AND software AND evolution AND process ) AND TITLE-ABS-KEY ( requirement* OR srs OR specification* ) AND TITLE-ABS-KEY ( experiment* )</t>
  </si>
  <si>
    <t>https://docs.google.com/spreadsheets/d/1pnqmg1SWFQ-KaQuHaN0lNzq3oYt_zFc2EsIWzAkmx64/edit#gid=1396296961</t>
  </si>
  <si>
    <t>SRCTITLE ( automated AND software AND engineering )</t>
  </si>
  <si>
    <t>SRCTITLE ( automated AND software AND engineering ) AND TITLE-ABS-KEY ( requirement* OR srs OR specification* ) AND TITLE-ABS-KEY ( experiment* ) AND ( LIMIT-TO ( SRCTYPE , "p" ) ) AND ( EXCLUDE ( EXACTSRCTITLE , "Proc 1st ACM Int Workshop On Empirical Assessment Of Software Engineering Languages And Technologies Weaseltech 2007 Held With The 22nd IEEE ACM Int Conf Automated Software Eng Ase 2007" ) )</t>
  </si>
  <si>
    <t>https://docs.google.com/spreadsheets/d/11b2j1Vg6M5L1VaEyS7ZJAv2j96S9zqK05JaiHum86SY/edit</t>
  </si>
  <si>
    <t>SRCTITLE ( software AND engineering AND foundations )</t>
  </si>
  <si>
    <t>SRCTITLE ( software AND engineering AND foundations ) AND TITLE-ABS-KEY ( requirement* OR srs OR specification* ) AND TITLE-ABS-KEY ( experiment* ) AND ( EXCLUDE ( EXACTSRCTITLE , "Refsq 2006 Proceedings Of The 12th International Working Conference On Requirements Engineering Foundation For Software Quality In Conjunction With Caise 2006" ) OR EXCLUDE ( EXACTSRCTITLE , "Esec Fse 07 6th Joint Meeting Of The European Software Engineering Conference And The ACM SIGSOFT Symposium On The Foundations Of Software Engineering Companion Papers" ) OR EXCLUDE ( EXACTSRCTITLE , "Weh 08 Proceedings Of The 4th International Workshop On Exception Handling Co Located With The 16th ACM SIGSOFT International Symposium On The Foundations Of Software Engineering" ) )</t>
  </si>
  <si>
    <t>https://docs.google.com/spreadsheets/d/1N9ptdkqtdu9nw4JQY2xpEhPIHgHO95bnmJ9f4D5RrAo/edit#gid=1069134018</t>
  </si>
  <si>
    <t xml:space="preserve">SRCTITLE ( international AND conference AND software AND engineering ) </t>
  </si>
  <si>
    <t>SRCTITLE ( international AND conference AND software AND engineering ) AND TITLE-ABS-KEY ( requirement* OR srs OR specification* ) AND TITLE-ABS-KEY ( experiment* ) AND ( LIMIT-TO ( EXACTSRCTITLE , "Proceedings International Conference On Software Engineering" ) OR LIMIT-TO ( EXACTSRCTITLE , "Proceedings 2017 IEEE ACM 39th International Conference On Software Engineering ICSE 2017" ) OR LIMIT-TO ( EXACTSRCTITLE , "Proceedings 2017 IEEE ACM 39th International Conference On Software Engineering Software Engineering In Practice Track ICSE Seip 2017" ) OR LIMIT-TO ( EXACTSRCTITLE , "Proceedings 2019 IEEE ACM 41st International Conference On Software Engineering Software Engineering In Practice ICSE Seip 2019" ) OR LIMIT-TO ( EXACTSRCTITLE , "Proceedings 2020 ACM IEEE 42nd International Conference On Software Engineering Software Engineering In Society ICSE Seis 2020" ) )</t>
  </si>
  <si>
    <t>https://docs.google.com/spreadsheets/d/1yEHcwI1ZRe4CXuhIG5Qk4ps6QGLJeMfUJ1ShKcAfF50/edit#gid=699010025</t>
  </si>
  <si>
    <t>SRCTITLE ( requirement AND engineering ) AND TITLE-ABS-KEY ( requirement* OR srs OR specification* ) AND TITLE-ABS-KEY ( experiment* ) AND ( LIMIT-TO ( SRCTYPE , "p" ) ) AND ( LIMIT-TO ( EXACTSRCTITLE , "Proceedings Of The 16th IEEE International Requirements Engineering Conference Re 08" ) OR LIMIT-TO ( EXACTSRCTITLE , "Proceedings 15th IEEE International Requirements Engineering Conference Re 2007" ) OR LIMIT-TO ( EXACTSRCTITLE , "Proceedings Of The 2011 IEEE 19th International Requirements Engineering Conference Re 2011" ) OR LIMIT-TO ( EXACTSRCTITLE , "2014 IEEE 22nd International Requirements Engineering Conference Re 2014 Proceedings" ) OR LIMIT-TO ( EXACTSRCTITLE , "Proceedings 2016 IEEE 24th International Requirements Engineering Conference Re 2016" ) OR LIMIT-TO ( EXACTSRCTITLE , "2013 21st IEEE International Requirements Engineering Conference Re 2013 Proceedings" ) OR LIMIT-TO ( EXACTSRCTITLE , "2012 20th IEEE International Requirements Engineering Conference Re 2012 Proceedings" ) OR LIMIT-TO ( EXACTSRCTITLE , "Proceedings Of The 2010 18th IEEE International Requirements Engineering Conference Re2010" ) OR LIMIT-TO ( EXACTSRCTITLE , "2015 IEEE 23rd International Requirements Engineering Conference Re 2015 Proceedings" ) OR LIMIT-TO ( EXACTSRCTITLE , "Proceedings 2018 IEEE 26th International Requirements Engineering Conference Re 2018" ) OR LIMIT-TO ( EXACTSRCTITLE , "Proceedings 2017 IEEE 25th International Requirements Engineering Conference Re 2017" ) OR LIMIT-TO ( EXACTSRCTITLE , "Proceedings Of The IEEE International Conference On Requirements Engineering" ) )</t>
  </si>
  <si>
    <t>https://docs.google.com/spreadsheets/d/1ORbwp5b1r7BsonyJAfzzRqdHoehvKTg-L_okppY13XI/edit#gid=179184925</t>
  </si>
  <si>
    <t>SRCTITLE ( evaluation AND assessment AND software AND engineering )</t>
  </si>
  <si>
    <t>SRCTITLE ( evaluation AND assessment AND software AND engineering ) AND TITLE-ABS-KEY ( requirement* OR srs OR specification* ) AND TITLE-ABS-KEY ( experiment* )</t>
  </si>
  <si>
    <t>https://docs.google.com/spreadsheets/d/1LOuzVp4h4PqWtcsuvvzpwJV2-4Vx5A1SWHHtwCwYYUw/edit#gid=124726605</t>
  </si>
  <si>
    <t>SRCTITLE ( european AND conference AND object AND oriented AND programming )</t>
  </si>
  <si>
    <t>SRCTITLE ( european AND conference AND object AND oriented AND programming ) AND TITLE-ABS-KEY ( requirement* OR srs OR specification* ) AND TITLE-ABS-KEY ( experiment* )</t>
  </si>
  <si>
    <t>https://docs.google.com/spreadsheets/d/1MGOL2ZCWdHLea3lqRfyc3oA33YwUUmM2jaOlotpvAmA/edit#gid=278406573</t>
  </si>
  <si>
    <t>SRCTITLE ( european AND conference AND software AND architecture )</t>
  </si>
  <si>
    <t>SRCTITLE ( european AND conference AND software AND architecture ) AND TITLE-ABS-KEY ( requirement* OR srs OR specification* ) AND TITLE-ABS-KEY ( experiment* )</t>
  </si>
  <si>
    <t>https://docs.google.com/spreadsheets/d/1ydLDiVXetbV4i8Mpnmvo_ATQI7KY_RmrUy3GMNPGz_g/edit#gid=148061028</t>
  </si>
  <si>
    <t>SRCTITLE ( empirical AND software AND engineering ) AND TITLE-ABS-KEY ( requirement* OR srs OR specification ) AND TITLE-ABS-KEY ( experiment* ) AND ( LIMIT-TO ( SRCTYPE , "p" ) ) AND ( LIMIT-TO ( EXACTSRCTITLE , "Esem 08 Proceedings Of The 2008 ACM IEEE International Symposium On Empirical Software Engineering And Measurement" ) OR LIMIT-TO ( EXACTSRCTITLE , "Proceedings 1st International Symposium On Empirical Software Engineering And Measurement Esem 2007" ) OR LIMIT-TO ( EXACTSRCTITLE , "Esem 2010 Proceedings Of The 2010 ACM IEEE International Symposium On Empirical Software Engineering And Measurement" ) OR LIMIT-TO ( EXACTSRCTITLE , "2009 3rd International Symposium On Empirical Software Engineering And Measurement Esem 2009" ) OR LIMIT-TO ( EXACTSRCTITLE , "International Symposium On Empirical Software Engineering And Measurement" ) )</t>
  </si>
  <si>
    <t>https://docs.google.com/spreadsheets/d/14xdpeMA2XsF7qxyajHuAMxKGRGhL0v78q0ZPOeK6EH0/edit#gid=6035656</t>
  </si>
  <si>
    <t>ACM Library</t>
  </si>
  <si>
    <t>[Publication Title: "international symposium on formal methods"]</t>
  </si>
  <si>
    <t>ContentGroupTitle:("International Symposium on Formal Methods") AND (Title:(experiment) OR Abstract:(experiment) OR Keyword:(experiment)) AND (Title:(requirement OR specification OR srs) OR Abstract:(requirement OR specification OR srs) OR Keyword:(requirement OR specification OR srs))</t>
  </si>
  <si>
    <t>https://docs.google.com/spreadsheets/d/1DKaAElaMhyZsU2x1MJIjX8Hf0KXMMbcm4DSYnPUvifQ/edit#gid=1595065698</t>
  </si>
  <si>
    <t>SRCTITLE ( international AND conference AND functional AND programming )</t>
  </si>
  <si>
    <t>SRCTITLE ( international AND conference AND functional AND programming ) AND TITLE-ABS-KEY ( requirement* OR srs OR specification* ) AND TITLE-ABS-KEY ( experiment* )</t>
  </si>
  <si>
    <t>https://docs.google.com/spreadsheets/d/13_V1bFgl5VY4egORwspdNfkmDLk-pFeD_PKYC7-zK0c/edit#gid=242159364</t>
  </si>
  <si>
    <t>SRCTITLE ( international AND conference AND program AND comprehension )</t>
  </si>
  <si>
    <t>SRCTITLE ( international AND conference AND program AND comprehension ) AND TITLE-ABS-KEY ( requirement* OR srs OR specification* ) AND TITLE-ABS-KEY ( experiment* )</t>
  </si>
  <si>
    <t>https://docs.google.com/spreadsheets/d/1otqpvZcxkrW5NLrajDI_wtL-PwyIAjIZesWebL8rEFA/edit#gid=1799234774</t>
  </si>
  <si>
    <t>SRCTITLE ( international AND conference AND software AND architecture )</t>
  </si>
  <si>
    <t>SRCTITLE ( international AND conference AND software AND architecture ) AND TITLE-ABS-KEY ( requirement* OR srs OR specification* ) AND TITLE-ABS-KEY ( experiment* ) AND ( LIMIT-TO ( EXACTSRCTITLE , "Proceedings 2017 IEEE International Conference On Software Architecture Icsa 2017" ) )</t>
  </si>
  <si>
    <t>https://docs.google.com/spreadsheets/d/1cvXGnCvcOQT6ErQ_c1Lx9satDg-8z3kF_ngk_2pCHF0/edit#gid=520454048</t>
  </si>
  <si>
    <t xml:space="preserve">SRCTITLE ( international AND conference AND software AND maintenance AND evolution ) </t>
  </si>
  <si>
    <t>SRCTITLE ( international AND conference AND software AND maintenance AND evolution ) AND TITLE-ABS-KEY ( requirement* OR srs OR specification* ) AND TITLE-ABS-KEY ( experiment* )</t>
  </si>
  <si>
    <t>https://docs.google.com/spreadsheets/d/1vNCSvwWkknUK8DSp0lA6cuRU8u41V_baEsPCEy1aH9c/edit#gid=2125832681</t>
  </si>
  <si>
    <t>SRCTITLE ( international AND conference AND software AND testing AND verification AND validation )</t>
  </si>
  <si>
    <t>SRCTITLE ( international AND conference AND software AND testing AND verification AND validation AND NOT workshop ) AND TITLE-ABS-KEY ( requirement* OR srs OR specification* ) AND TITLE-ABS-KEY ( experiment* )</t>
  </si>
  <si>
    <r>
      <rPr>
        <color rgb="FF1155CC"/>
        <u/>
      </rPr>
      <t>https://docs.google.com/spreadsheets/d/1MxY-sMyOvfkwK73Y1Ht5_-Gw1SH9uj4CPqjX2DliC28/edit#gid=131874323</t>
    </r>
    <r>
      <rPr/>
      <t>3</t>
    </r>
  </si>
  <si>
    <t>SRCTITLE ( international AND symposium AND software AND reliability AND engineering )</t>
  </si>
  <si>
    <t>SRCTITLE ( international AND symposium AND software AND reliability AND engineering AND NOT workshop ) AND TITLE-ABS-KEY ( requirement* OR srs OR specification* ) AND TITLE-ABS-KEY ( experiment* )</t>
  </si>
  <si>
    <t>https://docs.google.com/spreadsheets/d/1n1M7_FqvKoTpe5lFsLRmdLcUszH7SotDzdmoNe6o_o0/edit</t>
  </si>
  <si>
    <t>SRCTITLE ( international AND symposium AND software AND testing AND analysis )</t>
  </si>
  <si>
    <t>SRCTITLE ( international AND symposium AND software AND testing AND analysis ) AND TITLE-ABS-KEY ( requirement* OR srs OR specification* ) AND TITLE-ABS-KEY ( experiment* )</t>
  </si>
  <si>
    <t>https://docs.google.com/spreadsheets/d/1Q4exiBVwfWsuUZ_snN6jj6cFug95FyCJhA_jQw-I0QU/edit#gid=1293119058</t>
  </si>
  <si>
    <t>SRCTITLE ( international AND conference AND model AND driven AND engineering AND languages AND system )</t>
  </si>
  <si>
    <t>SRCTITLE ( international AND conference AND model AND driven AND engineering AND languages AND system AND NOT companion AND NOT workshop ) AND TITLE-ABS-KEY ( requirement* OR srs OR specification* ) AND TITLE-ABS-KEY ( experiment* )</t>
  </si>
  <si>
    <t>https://docs.google.com/spreadsheets/d/1XvzaxhnVLonnLZfMCl1tEyfNSsdoznN8KzIk9jWkVto/edit#gid=1078202975</t>
  </si>
  <si>
    <t>SRCTITLE ( international AND working AND conference AND mining AND software AND repositories )</t>
  </si>
  <si>
    <t>SRCTITLE ( international AND working AND conference AND mining AND software AND repositories ) AND TITLE-ABS-KEY ( requirement* OR srs OR specification* ) AND TITLE-ABS-KEY ( experiment* )</t>
  </si>
  <si>
    <r>
      <rPr>
        <color rgb="FF1155CC"/>
        <u/>
      </rPr>
      <t>https://docs.google.com/spreadsheets/d/14l31fNEvi89F0F7bmRDtqu7pCCTEbenFJswg1FrP9Mo/edit#gid=677594614</t>
    </r>
    <r>
      <rPr/>
      <t>4</t>
    </r>
  </si>
  <si>
    <t xml:space="preserve">SRCTITLE ( conference AND object AND object AND programming AND system AND language AND application ) </t>
  </si>
  <si>
    <t>SRCTITLE ( conference AND object AND object AND programming AND system AND language AND application ) AND TITLE-ABS-KEY ( requirement* OR srs OR specification* ) AND TITLE-ABS-KEY ( experiment* )</t>
  </si>
  <si>
    <t>https://docs.google.com/spreadsheets/d/1wUWDU9Y-P5rIV4Y9kJOUvoHAeI7ArnzQK-loWlW_8vQ/edit#gid=237537826</t>
  </si>
  <si>
    <t xml:space="preserve">SRCTITLE ( conference AND software AND analysis AND evolution AND reengineering ) </t>
  </si>
  <si>
    <t>SRCTITLE ( conference AND software AND analysis AND evolution AND reengineering ) AND TITLE-ABS-KEY ( requirement* OR srs OR specification* ) AND TITLE-ABS-KEY ( experiment* )</t>
  </si>
  <si>
    <t>https://docs.google.com/spreadsheets/d/1VZrLz8Ro4R0S3x_x_qLBQ2aSTs58uxaYToKZHOkG7PQ/edit#gid=1394394135</t>
  </si>
  <si>
    <t>SRCTITLE ( symposium AND software AND engineering AND adaptive AND self AND managing AND system )</t>
  </si>
  <si>
    <t>SRCTITLE ( symposium AND software AND engineering AND adaptive AND self AND managing AND system ) AND TITLE-ABS-KEY ( requirement* OR srs OR specification* ) AND TITLE-ABS-KEY ( experiment* )</t>
  </si>
  <si>
    <t>https://docs.google.com/spreadsheets/d/1llNi2OVof2gqxemSkuwWz01E-vjrMO8gdTVzRueBqjw/edit#gid=11668175</t>
  </si>
  <si>
    <t>[Publication Title: "tools and algorithms for construction and analysis of systems"]</t>
  </si>
  <si>
    <t>ContentGroupTitle:("Tools and Algorithms for Construction and Analysis of Systems") AND (Title:(experiment) OR Abstract:(experiment) OR Keyword:(experiment)) AND (Title:(requirement OR specification OR srs) OR Abstract:(requirement OR specification OR srs) OR Keyword:(requirement OR specification OR srs))</t>
  </si>
  <si>
    <t>https://docs.google.com/spreadsheets/d/165YlaQC88FZroM_RxAEAnEs-SprSVDk8VJOJFu9zcVY/edit#gid=1918850643</t>
  </si>
  <si>
    <t>[Publication Title: "requirements engineering: foundation for software quality"]</t>
  </si>
  <si>
    <t>ContentGroupTitle:("requirements engineering: foundation for software quality") AND (Title:(experiment) OR Abstract:(experiment) OR Keyword:(experiment)) AND (Title:(requirement OR specification OR srs) OR Abstract:(requirement OR specification OR srs) OR Keyword:(requirement OR specification OR srs))</t>
  </si>
  <si>
    <t>https://docs.google.com/spreadsheets/d/1b_UQms0QKKtKjwMuCe5uK2SxR_MQGt42Aw06k4MwB6g/edit#gid=931158059</t>
  </si>
  <si>
    <t>[Publication Title: "product-focused software process improvement"]</t>
  </si>
  <si>
    <t>ContentGroupTitle:("product-focused software process improvement") AND (Title:(experiment) OR Abstract:(experiment) OR Keyword:(experiment)) AND (Title:(requirement OR specification OR srs) OR Abstract:(requirement OR specification OR srs) OR Keyword:(requirement OR specification OR srs))</t>
  </si>
  <si>
    <t>https://docs.google.com/spreadsheets/d/13yiTLz32wg5tqFLjhBf1tw27MsPFcOOPWintxS5dKT0/edit#gid=1923005921</t>
  </si>
  <si>
    <t>SRCTITLE ( euromicro AND software AND engineering )</t>
  </si>
  <si>
    <t>SRCTITLE ( euromicro AND software AND engineering ) AND TITLE-ABS-KEY ( requirement* OR srs OR specification* ) AND TITLE-ABS-KEY ( experiment* )</t>
  </si>
  <si>
    <t>https://docs.google.com/spreadsheets/d/1Js0x7bebVjhhmgXh6NoE9pShBVhNkoBLXPa6xmtvDnw/edit#gid=494709066</t>
  </si>
  <si>
    <t>Total</t>
  </si>
  <si>
    <t>Website</t>
  </si>
  <si>
    <t>Rank</t>
  </si>
  <si>
    <t>Relevance</t>
  </si>
  <si>
    <t>Automated Software Engineering Conference</t>
  </si>
  <si>
    <t>https://conf.researchr.org/series/ase</t>
  </si>
  <si>
    <t>ASE</t>
  </si>
  <si>
    <t>A*</t>
  </si>
  <si>
    <t>Relevant</t>
  </si>
  <si>
    <t>Architectural Support for Programming Languages and Operating Systems</t>
  </si>
  <si>
    <t>ASPLOS</t>
  </si>
  <si>
    <t>Irrelevant</t>
  </si>
  <si>
    <t>Computer Aided Verification</t>
  </si>
  <si>
    <t>CAV</t>
  </si>
  <si>
    <t>European Software Engineering Conference and the ACM SIGSOFT Symposium on the Foundations of Software Engineering</t>
  </si>
  <si>
    <t>https://www.esec-fse.org/</t>
  </si>
  <si>
    <t>ESEC/FSE</t>
  </si>
  <si>
    <t>International Conference on Software Engineering</t>
  </si>
  <si>
    <t>https://conf.researchr.org/series/icse</t>
  </si>
  <si>
    <t>ICSE</t>
  </si>
  <si>
    <t>ACM International Symposium on Computer Architecture</t>
  </si>
  <si>
    <t>https://dl.acm.org/conference/isca</t>
  </si>
  <si>
    <t>ISCA</t>
  </si>
  <si>
    <t>ACM-SIGPLAN Conference on Programming Language Design and Implementation</t>
  </si>
  <si>
    <t>PLDI</t>
  </si>
  <si>
    <t>ACM-SIGACT Symposium on Principles of Programming Languages</t>
  </si>
  <si>
    <t>POPL</t>
  </si>
  <si>
    <t>Measurement and Modeling of Computer Systems</t>
  </si>
  <si>
    <t>https://www.sigmetrics.org/</t>
  </si>
  <si>
    <t>SIGMETRICS</t>
  </si>
  <si>
    <t>IEEE International Requirements Engineering Conference</t>
  </si>
  <si>
    <t>https://conf.researchr.org/series/RE</t>
  </si>
  <si>
    <t>RE</t>
  </si>
  <si>
    <t>A</t>
  </si>
  <si>
    <t>International Conference in Business Process Management</t>
  </si>
  <si>
    <t>https://bpm-conference.org/</t>
  </si>
  <si>
    <t>BPM</t>
  </si>
  <si>
    <t>International Symposium on Code Generation and Optimization</t>
  </si>
  <si>
    <t>https://dl.acm.org/conference/cgo</t>
  </si>
  <si>
    <t>CGO</t>
  </si>
  <si>
    <t>International Conference on Evaluation and Assessment in Software Engineering</t>
  </si>
  <si>
    <t>https://conf.researchr.org/series/ease</t>
  </si>
  <si>
    <t>EASE</t>
  </si>
  <si>
    <t>European Conference on Object-Oriented Programming</t>
  </si>
  <si>
    <t>https://2022.ecoop.org/series/ecoop</t>
  </si>
  <si>
    <t>ECOOP</t>
  </si>
  <si>
    <t>European Conference on Software Architecture</t>
  </si>
  <si>
    <t>https://conf.researchr.org/series/ecsa</t>
  </si>
  <si>
    <t>ECSA</t>
  </si>
  <si>
    <t>International Symposium on Empirical Software Engineering and Measurement</t>
  </si>
  <si>
    <t>https://conf.researchr.org/series/esem</t>
  </si>
  <si>
    <t>ESEM</t>
  </si>
  <si>
    <t>European Symposium on Programming</t>
  </si>
  <si>
    <t>https://etaps.org/about/esop/</t>
  </si>
  <si>
    <t>ESOP</t>
  </si>
  <si>
    <t>International Symposium on Formal Methods</t>
  </si>
  <si>
    <t>FM</t>
  </si>
  <si>
    <t>Foundations of Software Science and Computational Structures</t>
  </si>
  <si>
    <t>FOSSACS</t>
  </si>
  <si>
    <t>International Conference on Functional Programming</t>
  </si>
  <si>
    <t>ICFP</t>
  </si>
  <si>
    <t>IEEE International Conference on Program Comprehension</t>
  </si>
  <si>
    <t>https://conf.researchr.org/series/icpc</t>
  </si>
  <si>
    <t>ICPC</t>
  </si>
  <si>
    <t>International Conference on Software Architecture</t>
  </si>
  <si>
    <t>https://icsa-conferences.org/series/</t>
  </si>
  <si>
    <t>ICSA</t>
  </si>
  <si>
    <t>IEEE International Conference on Software Maintenance and Evolution</t>
  </si>
  <si>
    <t>https://conf.researchr.org/series/icsme</t>
  </si>
  <si>
    <t>ICSME</t>
  </si>
  <si>
    <t>International Conference on Software Testing, Verification and Validation</t>
  </si>
  <si>
    <t>https://conf.researchr.org/series/icst</t>
  </si>
  <si>
    <t>ICST</t>
  </si>
  <si>
    <t>International Joint Conference on Automated Reasoning</t>
  </si>
  <si>
    <t>IJCAR</t>
  </si>
  <si>
    <t>International Symposium on Software Reliability Engineering</t>
  </si>
  <si>
    <t>https://issre.github.io/2023/</t>
  </si>
  <si>
    <t>ISSRE</t>
  </si>
  <si>
    <t>International Symposium on Software Testing and Analysis</t>
  </si>
  <si>
    <t>https://conf.researchr.org/series/issta</t>
  </si>
  <si>
    <t>ISSTA</t>
  </si>
  <si>
    <t>International Conference on Model Driven Engineering Languages and Systems</t>
  </si>
  <si>
    <t>https://conf.researchr.org/series/models</t>
  </si>
  <si>
    <t>MODELS</t>
  </si>
  <si>
    <t>IEEE International Working Conference on Mining Software Repositories</t>
  </si>
  <si>
    <t>https://conf.researchr.org/series/msr</t>
  </si>
  <si>
    <t>MSR</t>
  </si>
  <si>
    <t>ACM Conference on Object Oriented Programming Systems Languages and Applications</t>
  </si>
  <si>
    <t>https://www.sigplan.org/Conferences/OOPSLA/</t>
  </si>
  <si>
    <t>OOPSLA</t>
  </si>
  <si>
    <t>IEEE International Conference on Software Analysis, Evolution and Reengineering</t>
  </si>
  <si>
    <t>https://conf.researchr.org/series/saner</t>
  </si>
  <si>
    <t>SANER</t>
  </si>
  <si>
    <t>International Symposium on Software Engineering for Adaptive and Self-Managing Systems</t>
  </si>
  <si>
    <t>https://conf.researchr.org/series/seams</t>
  </si>
  <si>
    <t>SEAMS</t>
  </si>
  <si>
    <t>Tools and Algorithms for Construction and Analysis of Systems</t>
  </si>
  <si>
    <t>https://tacas.info/</t>
  </si>
  <si>
    <t>TACAS</t>
  </si>
  <si>
    <t>International Working Conference on Requirements Engineering: Foundation for Software Quality</t>
  </si>
  <si>
    <t>https://2024.refsq.org/series/refsq</t>
  </si>
  <si>
    <t>REFSQ</t>
  </si>
  <si>
    <t>B</t>
  </si>
  <si>
    <t>International Conference on Product-Focused Software Process Improvement</t>
  </si>
  <si>
    <r>
      <rPr>
        <color rgb="FF1155CC"/>
        <u/>
      </rPr>
      <t>https://www.profes-conferences.org/</t>
    </r>
    <r>
      <rPr/>
      <t xml:space="preserve"> </t>
    </r>
  </si>
  <si>
    <t>PROFES</t>
  </si>
  <si>
    <t>Euromicro Conference on Software Engineering and Advanced Applications</t>
  </si>
  <si>
    <t>https://dsd-seaa2023.com/seaa/</t>
  </si>
  <si>
    <t>SEAA</t>
  </si>
  <si>
    <t>ACM Computing Surveys</t>
  </si>
  <si>
    <t>https://dl.acm.org/journal/csur</t>
  </si>
  <si>
    <t>CSUR</t>
  </si>
  <si>
    <t>ACM Transactions on Computer Systems</t>
  </si>
  <si>
    <t>https://dl.acm.org/journal/tocs</t>
  </si>
  <si>
    <t>TOCS</t>
  </si>
  <si>
    <t>ACM Transactions on Programming Languages and Systems</t>
  </si>
  <si>
    <t>https://dl.acm.org/journal/toplas</t>
  </si>
  <si>
    <t>TOPLAS</t>
  </si>
  <si>
    <t>ACM Transactions on Software Engineering and Methodology</t>
  </si>
  <si>
    <t>https://dl.acm.org/journal/tosem</t>
  </si>
  <si>
    <t>TOSEM</t>
  </si>
  <si>
    <t>IEEE Transactions on Computers</t>
  </si>
  <si>
    <t>https://www.computer.org/csdl/journal/tc</t>
  </si>
  <si>
    <t>TC</t>
  </si>
  <si>
    <t>IEEE Transactions on Multimedia</t>
  </si>
  <si>
    <t>TMM</t>
  </si>
  <si>
    <t>IEEE Transactions on Services Computing</t>
  </si>
  <si>
    <t>IEEE Transactions on Software Engineering</t>
  </si>
  <si>
    <t>https://www.computer.org/csdl/journal/ts</t>
  </si>
  <si>
    <t>TSE</t>
  </si>
  <si>
    <t>IEEE Transactions on Information Forensics and Security</t>
  </si>
  <si>
    <t>Empirical Software Engineering</t>
  </si>
  <si>
    <t>https://www.springer.com/journal/10664</t>
  </si>
  <si>
    <t>EMSE</t>
  </si>
  <si>
    <t>ACM Transactions on Privacy and Security</t>
  </si>
  <si>
    <t>https://dl.acm.org/journal/tops</t>
  </si>
  <si>
    <t>TOPS</t>
  </si>
  <si>
    <t>IEEE Transactions on Dependable and Secure Computing</t>
  </si>
  <si>
    <t>https://www.computer.org/csdl/journal/tq</t>
  </si>
  <si>
    <t>TDSC</t>
  </si>
  <si>
    <t>IEEE Transactions on Reliability</t>
  </si>
  <si>
    <t>https://rs.ieee.org/publications/transactions-on-reliability.html</t>
  </si>
  <si>
    <t>RS</t>
  </si>
  <si>
    <t>Journal of Systems and Software</t>
  </si>
  <si>
    <t>https://www.sciencedirect.com/journal/journal-of-systems-and-software</t>
  </si>
  <si>
    <t>JSS</t>
  </si>
  <si>
    <t>Science of Computer Programming</t>
  </si>
  <si>
    <t>Theoretical Computer Science</t>
  </si>
  <si>
    <t>Theory and Practice of Logic Programming</t>
  </si>
  <si>
    <t>Information and Software Technology</t>
  </si>
  <si>
    <t>https://www.sciencedirect.com/journal/information-and-software-technology</t>
  </si>
  <si>
    <t>IST</t>
  </si>
  <si>
    <t>Constraints</t>
  </si>
  <si>
    <t>Journal of Functional Programming</t>
  </si>
  <si>
    <t>Requirements Engineering</t>
  </si>
  <si>
    <t>https://www.springer.com/journal/766</t>
  </si>
  <si>
    <t>REJ</t>
  </si>
  <si>
    <t>Journal of Software: Evolution and Process</t>
  </si>
  <si>
    <t>https://onlinelibrary.wiley.com/journal/20477481</t>
  </si>
  <si>
    <t>JSEP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</si>
</sst>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2CC"/>
        <bgColor rgb="FFFFF2CC"/>
      </patternFill>
    </fill>
  </fills>
  <borders count="4">
    <border/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2" fillId="0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shrinkToFit="0" wrapText="1"/>
    </xf>
    <xf borderId="2" fillId="0" fontId="2" numFmtId="0" xfId="0" applyBorder="1" applyFont="1"/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 shrinkToFit="0" wrapText="1"/>
    </xf>
    <xf borderId="3" fillId="0" fontId="5" numFmtId="0" xfId="0" applyAlignment="1" applyBorder="1" applyFont="1">
      <alignment readingOrder="0"/>
    </xf>
    <xf borderId="3" fillId="0" fontId="2" numFmtId="0" xfId="0" applyBorder="1" applyFont="1"/>
    <xf borderId="1" fillId="3" fontId="2" numFmtId="0" xfId="0" applyAlignment="1" applyBorder="1" applyFill="1" applyFont="1">
      <alignment readingOrder="0" shrinkToFit="0" wrapText="1"/>
    </xf>
    <xf borderId="0" fillId="2" fontId="1" numFmtId="0" xfId="0" applyFont="1"/>
    <xf borderId="0" fillId="2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>
        <color rgb="FFFFFFFF"/>
      </font>
      <fill>
        <patternFill patternType="solid">
          <fgColor rgb="FF0B5394"/>
          <bgColor rgb="FF0B539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3_V1bFgl5VY4egORwspdNfkmDLk-pFeD_PKYC7-zK0c/edit" TargetMode="External"/><Relationship Id="rId22" Type="http://schemas.openxmlformats.org/officeDocument/2006/relationships/hyperlink" Target="https://docs.google.com/spreadsheets/d/1cvXGnCvcOQT6ErQ_c1Lx9satDg-8z3kF_ngk_2pCHF0/edit" TargetMode="External"/><Relationship Id="rId21" Type="http://schemas.openxmlformats.org/officeDocument/2006/relationships/hyperlink" Target="https://docs.google.com/spreadsheets/d/1otqpvZcxkrW5NLrajDI_wtL-PwyIAjIZesWebL8rEFA/edit" TargetMode="External"/><Relationship Id="rId24" Type="http://schemas.openxmlformats.org/officeDocument/2006/relationships/hyperlink" Target="https://docs.google.com/spreadsheets/d/1MxY-sMyOvfkwK73Y1Ht5_-Gw1SH9uj4CPqjX2DliC28/edit" TargetMode="External"/><Relationship Id="rId23" Type="http://schemas.openxmlformats.org/officeDocument/2006/relationships/hyperlink" Target="https://docs.google.com/spreadsheets/d/1vNCSvwWkknUK8DSp0lA6cuRU8u41V_baEsPCEy1aH9c/edit" TargetMode="External"/><Relationship Id="rId1" Type="http://schemas.openxmlformats.org/officeDocument/2006/relationships/hyperlink" Target="https://docs.google.com/spreadsheets/d/1HgVTGacHA4ooe0TRD4bHdG2wA6oy-3yVrrhxpW9jnVs/edit" TargetMode="External"/><Relationship Id="rId2" Type="http://schemas.openxmlformats.org/officeDocument/2006/relationships/hyperlink" Target="https://docs.google.com/spreadsheets/d/1GT2KBo6IE8Zj4Z7Mmcm8HiycoqxJvg2_H_16FTYQk6M/edit" TargetMode="External"/><Relationship Id="rId3" Type="http://schemas.openxmlformats.org/officeDocument/2006/relationships/hyperlink" Target="https://docs.google.com/spreadsheets/d/1v76xo1SaWAEzmLTT1gyH51xHs99CoKFRfrGW27fxilI/edit" TargetMode="External"/><Relationship Id="rId4" Type="http://schemas.openxmlformats.org/officeDocument/2006/relationships/hyperlink" Target="https://docs.google.com/spreadsheets/d/1wnt4oYasCzH8UAHPj7M7MC5gGS-6FYd7YFjmLJnYTCM/edit" TargetMode="External"/><Relationship Id="rId9" Type="http://schemas.openxmlformats.org/officeDocument/2006/relationships/hyperlink" Target="https://docs.google.com/spreadsheets/d/1EKKjupCZrZeEc_gy13XtPpL77CFV-55FNyH5blcuVBM/edit" TargetMode="External"/><Relationship Id="rId26" Type="http://schemas.openxmlformats.org/officeDocument/2006/relationships/hyperlink" Target="https://docs.google.com/spreadsheets/d/1Q4exiBVwfWsuUZ_snN6jj6cFug95FyCJhA_jQw-I0QU/edit" TargetMode="External"/><Relationship Id="rId25" Type="http://schemas.openxmlformats.org/officeDocument/2006/relationships/hyperlink" Target="https://docs.google.com/spreadsheets/d/1n1M7_FqvKoTpe5lFsLRmdLcUszH7SotDzdmoNe6o_o0/edit" TargetMode="External"/><Relationship Id="rId28" Type="http://schemas.openxmlformats.org/officeDocument/2006/relationships/hyperlink" Target="https://docs.google.com/spreadsheets/d/14l31fNEvi89F0F7bmRDtqu7pCCTEbenFJswg1FrP9Mo/edit" TargetMode="External"/><Relationship Id="rId27" Type="http://schemas.openxmlformats.org/officeDocument/2006/relationships/hyperlink" Target="https://docs.google.com/spreadsheets/d/1XvzaxhnVLonnLZfMCl1tEyfNSsdoznN8KzIk9jWkVto/edit" TargetMode="External"/><Relationship Id="rId5" Type="http://schemas.openxmlformats.org/officeDocument/2006/relationships/hyperlink" Target="https://docs.google.com/spreadsheets/d/1ZorXlWn4uh3LmF59rQCShdPQEd-aFLFmH-CmDr8cOT0/edit" TargetMode="External"/><Relationship Id="rId6" Type="http://schemas.openxmlformats.org/officeDocument/2006/relationships/hyperlink" Target="https://docs.google.com/spreadsheets/d/1AmhVykXSpIeaxvKY62Po1W_UOLsl3oU9tLNIWVnDFV4/edit" TargetMode="External"/><Relationship Id="rId29" Type="http://schemas.openxmlformats.org/officeDocument/2006/relationships/hyperlink" Target="https://docs.google.com/spreadsheets/d/1wUWDU9Y-P5rIV4Y9kJOUvoHAeI7ArnzQK-loWlW_8vQ/edit" TargetMode="External"/><Relationship Id="rId7" Type="http://schemas.openxmlformats.org/officeDocument/2006/relationships/hyperlink" Target="https://docs.google.com/spreadsheets/d/1Qe4eMGWl0MgrzUJz6H2jyygdajy5rCNSKKP_psNXv5Q/edit" TargetMode="External"/><Relationship Id="rId8" Type="http://schemas.openxmlformats.org/officeDocument/2006/relationships/hyperlink" Target="https://docs.google.com/spreadsheets/d/1xSFl5lTyOdJIsZZ8gRfjRd7nVnsZg8MCtX3k_QGopD8/edit" TargetMode="External"/><Relationship Id="rId31" Type="http://schemas.openxmlformats.org/officeDocument/2006/relationships/hyperlink" Target="https://docs.google.com/spreadsheets/d/1llNi2OVof2gqxemSkuwWz01E-vjrMO8gdTVzRueBqjw/edit" TargetMode="External"/><Relationship Id="rId30" Type="http://schemas.openxmlformats.org/officeDocument/2006/relationships/hyperlink" Target="https://docs.google.com/spreadsheets/d/1VZrLz8Ro4R0S3x_x_qLBQ2aSTs58uxaYToKZHOkG7PQ/edit" TargetMode="External"/><Relationship Id="rId11" Type="http://schemas.openxmlformats.org/officeDocument/2006/relationships/hyperlink" Target="https://docs.google.com/spreadsheets/d/11b2j1Vg6M5L1VaEyS7ZJAv2j96S9zqK05JaiHum86SY/edit" TargetMode="External"/><Relationship Id="rId33" Type="http://schemas.openxmlformats.org/officeDocument/2006/relationships/hyperlink" Target="https://docs.google.com/spreadsheets/d/1b_UQms0QKKtKjwMuCe5uK2SxR_MQGt42Aw06k4MwB6g/edit" TargetMode="External"/><Relationship Id="rId10" Type="http://schemas.openxmlformats.org/officeDocument/2006/relationships/hyperlink" Target="https://docs.google.com/spreadsheets/d/1pnqmg1SWFQ-KaQuHaN0lNzq3oYt_zFc2EsIWzAkmx64/edit" TargetMode="External"/><Relationship Id="rId32" Type="http://schemas.openxmlformats.org/officeDocument/2006/relationships/hyperlink" Target="https://docs.google.com/spreadsheets/d/165YlaQC88FZroM_RxAEAnEs-SprSVDk8VJOJFu9zcVY/edit" TargetMode="External"/><Relationship Id="rId13" Type="http://schemas.openxmlformats.org/officeDocument/2006/relationships/hyperlink" Target="https://docs.google.com/spreadsheets/d/1yEHcwI1ZRe4CXuhIG5Qk4ps6QGLJeMfUJ1ShKcAfF50/edit" TargetMode="External"/><Relationship Id="rId35" Type="http://schemas.openxmlformats.org/officeDocument/2006/relationships/hyperlink" Target="https://docs.google.com/spreadsheets/d/1Js0x7bebVjhhmgXh6NoE9pShBVhNkoBLXPa6xmtvDnw/edit" TargetMode="External"/><Relationship Id="rId12" Type="http://schemas.openxmlformats.org/officeDocument/2006/relationships/hyperlink" Target="https://docs.google.com/spreadsheets/d/1N9ptdkqtdu9nw4JQY2xpEhPIHgHO95bnmJ9f4D5RrAo/edit" TargetMode="External"/><Relationship Id="rId34" Type="http://schemas.openxmlformats.org/officeDocument/2006/relationships/hyperlink" Target="https://docs.google.com/spreadsheets/d/13yiTLz32wg5tqFLjhBf1tw27MsPFcOOPWintxS5dKT0/edit" TargetMode="External"/><Relationship Id="rId15" Type="http://schemas.openxmlformats.org/officeDocument/2006/relationships/hyperlink" Target="https://docs.google.com/spreadsheets/d/1LOuzVp4h4PqWtcsuvvzpwJV2-4Vx5A1SWHHtwCwYYUw/edit" TargetMode="External"/><Relationship Id="rId14" Type="http://schemas.openxmlformats.org/officeDocument/2006/relationships/hyperlink" Target="https://docs.google.com/spreadsheets/d/1ORbwp5b1r7BsonyJAfzzRqdHoehvKTg-L_okppY13XI/edit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docs.google.com/spreadsheets/d/1ydLDiVXetbV4i8Mpnmvo_ATQI7KY_RmrUy3GMNPGz_g/edit" TargetMode="External"/><Relationship Id="rId16" Type="http://schemas.openxmlformats.org/officeDocument/2006/relationships/hyperlink" Target="https://docs.google.com/spreadsheets/d/1MGOL2ZCWdHLea3lqRfyc3oA33YwUUmM2jaOlotpvAmA/edit" TargetMode="External"/><Relationship Id="rId19" Type="http://schemas.openxmlformats.org/officeDocument/2006/relationships/hyperlink" Target="https://docs.google.com/spreadsheets/d/1DKaAElaMhyZsU2x1MJIjX8Hf0KXMMbcm4DSYnPUvifQ/edit" TargetMode="External"/><Relationship Id="rId18" Type="http://schemas.openxmlformats.org/officeDocument/2006/relationships/hyperlink" Target="https://docs.google.com/spreadsheets/d/14xdpeMA2XsF7qxyajHuAMxKGRGhL0v78q0ZPOeK6EH0/edit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conf.researchr.org/series/models" TargetMode="External"/><Relationship Id="rId22" Type="http://schemas.openxmlformats.org/officeDocument/2006/relationships/hyperlink" Target="https://www.sigplan.org/Conferences/OOPSLA/" TargetMode="External"/><Relationship Id="rId21" Type="http://schemas.openxmlformats.org/officeDocument/2006/relationships/hyperlink" Target="https://conf.researchr.org/series/msr" TargetMode="External"/><Relationship Id="rId24" Type="http://schemas.openxmlformats.org/officeDocument/2006/relationships/hyperlink" Target="https://conf.researchr.org/series/seams" TargetMode="External"/><Relationship Id="rId23" Type="http://schemas.openxmlformats.org/officeDocument/2006/relationships/hyperlink" Target="https://conf.researchr.org/series/saner" TargetMode="External"/><Relationship Id="rId1" Type="http://schemas.openxmlformats.org/officeDocument/2006/relationships/hyperlink" Target="https://conf.researchr.org/series/ase" TargetMode="External"/><Relationship Id="rId2" Type="http://schemas.openxmlformats.org/officeDocument/2006/relationships/hyperlink" Target="https://www.esec-fse.org/" TargetMode="External"/><Relationship Id="rId3" Type="http://schemas.openxmlformats.org/officeDocument/2006/relationships/hyperlink" Target="https://conf.researchr.org/series/icse" TargetMode="External"/><Relationship Id="rId4" Type="http://schemas.openxmlformats.org/officeDocument/2006/relationships/hyperlink" Target="https://dl.acm.org/conference/isca" TargetMode="External"/><Relationship Id="rId9" Type="http://schemas.openxmlformats.org/officeDocument/2006/relationships/hyperlink" Target="https://conf.researchr.org/series/ease" TargetMode="External"/><Relationship Id="rId26" Type="http://schemas.openxmlformats.org/officeDocument/2006/relationships/hyperlink" Target="https://2024.refsq.org/series/refsq" TargetMode="External"/><Relationship Id="rId25" Type="http://schemas.openxmlformats.org/officeDocument/2006/relationships/hyperlink" Target="https://tacas.info/" TargetMode="External"/><Relationship Id="rId28" Type="http://schemas.openxmlformats.org/officeDocument/2006/relationships/hyperlink" Target="https://dsd-seaa2023.com/seaa/" TargetMode="External"/><Relationship Id="rId27" Type="http://schemas.openxmlformats.org/officeDocument/2006/relationships/hyperlink" Target="https://www.profes-conferences.org/" TargetMode="External"/><Relationship Id="rId5" Type="http://schemas.openxmlformats.org/officeDocument/2006/relationships/hyperlink" Target="https://www.sigmetrics.org/" TargetMode="External"/><Relationship Id="rId6" Type="http://schemas.openxmlformats.org/officeDocument/2006/relationships/hyperlink" Target="https://conf.researchr.org/series/RE" TargetMode="External"/><Relationship Id="rId29" Type="http://schemas.openxmlformats.org/officeDocument/2006/relationships/drawing" Target="../drawings/drawing2.xml"/><Relationship Id="rId7" Type="http://schemas.openxmlformats.org/officeDocument/2006/relationships/hyperlink" Target="https://bpm-conference.org/" TargetMode="External"/><Relationship Id="rId8" Type="http://schemas.openxmlformats.org/officeDocument/2006/relationships/hyperlink" Target="https://dl.acm.org/conference/cgo" TargetMode="External"/><Relationship Id="rId11" Type="http://schemas.openxmlformats.org/officeDocument/2006/relationships/hyperlink" Target="https://conf.researchr.org/series/ecsa" TargetMode="External"/><Relationship Id="rId10" Type="http://schemas.openxmlformats.org/officeDocument/2006/relationships/hyperlink" Target="https://2022.ecoop.org/series/ecoop" TargetMode="External"/><Relationship Id="rId13" Type="http://schemas.openxmlformats.org/officeDocument/2006/relationships/hyperlink" Target="https://etaps.org/about/esop/" TargetMode="External"/><Relationship Id="rId12" Type="http://schemas.openxmlformats.org/officeDocument/2006/relationships/hyperlink" Target="https://conf.researchr.org/series/esem" TargetMode="External"/><Relationship Id="rId15" Type="http://schemas.openxmlformats.org/officeDocument/2006/relationships/hyperlink" Target="https://icsa-conferences.org/series/" TargetMode="External"/><Relationship Id="rId14" Type="http://schemas.openxmlformats.org/officeDocument/2006/relationships/hyperlink" Target="https://conf.researchr.org/series/icpc" TargetMode="External"/><Relationship Id="rId17" Type="http://schemas.openxmlformats.org/officeDocument/2006/relationships/hyperlink" Target="https://conf.researchr.org/series/icst" TargetMode="External"/><Relationship Id="rId16" Type="http://schemas.openxmlformats.org/officeDocument/2006/relationships/hyperlink" Target="https://conf.researchr.org/series/icsme" TargetMode="External"/><Relationship Id="rId19" Type="http://schemas.openxmlformats.org/officeDocument/2006/relationships/hyperlink" Target="https://conf.researchr.org/series/issta" TargetMode="External"/><Relationship Id="rId18" Type="http://schemas.openxmlformats.org/officeDocument/2006/relationships/hyperlink" Target="https://issre.github.io/2023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l.acm.org/journal/csur" TargetMode="External"/><Relationship Id="rId2" Type="http://schemas.openxmlformats.org/officeDocument/2006/relationships/hyperlink" Target="https://dl.acm.org/journal/tocs" TargetMode="External"/><Relationship Id="rId3" Type="http://schemas.openxmlformats.org/officeDocument/2006/relationships/hyperlink" Target="https://dl.acm.org/journal/toplas" TargetMode="External"/><Relationship Id="rId4" Type="http://schemas.openxmlformats.org/officeDocument/2006/relationships/hyperlink" Target="https://dl.acm.org/journal/tosem" TargetMode="External"/><Relationship Id="rId9" Type="http://schemas.openxmlformats.org/officeDocument/2006/relationships/hyperlink" Target="https://www.computer.org/csdl/journal/tq" TargetMode="External"/><Relationship Id="rId5" Type="http://schemas.openxmlformats.org/officeDocument/2006/relationships/hyperlink" Target="https://www.computer.org/csdl/journal/tc" TargetMode="External"/><Relationship Id="rId6" Type="http://schemas.openxmlformats.org/officeDocument/2006/relationships/hyperlink" Target="https://www.computer.org/csdl/journal/ts" TargetMode="External"/><Relationship Id="rId7" Type="http://schemas.openxmlformats.org/officeDocument/2006/relationships/hyperlink" Target="https://www.springer.com/journal/10664" TargetMode="External"/><Relationship Id="rId8" Type="http://schemas.openxmlformats.org/officeDocument/2006/relationships/hyperlink" Target="https://dl.acm.org/journal/tops" TargetMode="External"/><Relationship Id="rId11" Type="http://schemas.openxmlformats.org/officeDocument/2006/relationships/hyperlink" Target="https://www.sciencedirect.com/journal/journal-of-systems-and-software" TargetMode="External"/><Relationship Id="rId10" Type="http://schemas.openxmlformats.org/officeDocument/2006/relationships/hyperlink" Target="https://rs.ieee.org/publications/transactions-on-reliability.html" TargetMode="External"/><Relationship Id="rId13" Type="http://schemas.openxmlformats.org/officeDocument/2006/relationships/hyperlink" Target="https://www.springer.com/journal/766" TargetMode="External"/><Relationship Id="rId12" Type="http://schemas.openxmlformats.org/officeDocument/2006/relationships/hyperlink" Target="https://www.sciencedirect.com/journal/information-and-software-technology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onlinelibrary.wiley.com/journal/204774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62.63"/>
    <col customWidth="1" min="3" max="3" width="10.13"/>
    <col customWidth="1" min="4" max="4" width="18.88"/>
    <col customWidth="1" min="5" max="5" width="43.88"/>
    <col customWidth="1" min="6" max="6" width="87.63"/>
    <col customWidth="1" min="7" max="7" width="16.38"/>
    <col customWidth="1" hidden="1" min="8" max="8" width="31.38"/>
    <col customWidth="1" min="9" max="9" width="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</row>
    <row r="2">
      <c r="A2" s="4" t="b">
        <v>1</v>
      </c>
      <c r="B2" s="5" t="str">
        <f>IFERROR(__xludf.DUMMYFUNCTION("{FILTER(Journals!A:A, Journals!E:E=""Relevant""); FILTER(Conferences!A:A, Conferences!E:E=""Relevant"")}"),"ACM Computing Surveys")</f>
        <v>ACM Computing Surveys</v>
      </c>
      <c r="C2" s="6" t="str">
        <f>IF(ISBLANK(B2), "", IF(COUNTIF(Conferences!A:A, B2)&gt;0, VLOOKUP(B2, Conferences!A:C, 3, FALSE), VLOOKUP(B2, Journals!A:C, 3, FALSE)))</f>
        <v>CSUR</v>
      </c>
      <c r="D2" s="7" t="s">
        <v>9</v>
      </c>
      <c r="E2" s="8" t="s">
        <v>10</v>
      </c>
      <c r="F2" s="9" t="s">
        <v>11</v>
      </c>
      <c r="G2" s="10" t="s">
        <v>12</v>
      </c>
      <c r="H2" s="5" t="str">
        <f>IFERROR(__xludf.DUMMYFUNCTION("IF(ISBLANK(G2), """", IF(D2=""Scopus"", IMPORTRANGE(G2, ""references!D2:D2""), IMPORTRANGE(G2, ""references!C2:C2"")))"),"A survey on data-flow testing")</f>
        <v>A survey on data-flow testing</v>
      </c>
      <c r="I2" s="11">
        <f>IFERROR(__xludf.DUMMYFUNCTION("IF(ISBLANK(G2), """", IF(D2=""Scopus"", COUNTA(IMPORTRANGE(G2, ""references!D2:D"")), COUNTA(IMPORTRANGE(G2, ""references!C2:C""))))"),14.0)</f>
        <v>14</v>
      </c>
    </row>
    <row r="3">
      <c r="A3" s="4" t="b">
        <v>1</v>
      </c>
      <c r="B3" s="5" t="str">
        <f>IFERROR(__xludf.DUMMYFUNCTION("""COMPUTED_VALUE"""),"ACM Transactions on Software Engineering and Methodology")</f>
        <v>ACM Transactions on Software Engineering and Methodology</v>
      </c>
      <c r="C3" s="6" t="str">
        <f>IF(ISBLANK(B3), "", IF(COUNTIF(Conferences!A:A, B3)&gt;0, VLOOKUP(B3, Conferences!A:C, 3, FALSE), VLOOKUP(B3, Journals!A:C, 3, FALSE)))</f>
        <v>TOSEM</v>
      </c>
      <c r="D3" s="7" t="s">
        <v>9</v>
      </c>
      <c r="E3" s="8" t="s">
        <v>13</v>
      </c>
      <c r="F3" s="9" t="s">
        <v>14</v>
      </c>
      <c r="G3" s="12" t="s">
        <v>15</v>
      </c>
      <c r="H3" s="5" t="str">
        <f>IFERROR(__xludf.DUMMYFUNCTION("IF(ISBLANK(G3), """", IF(D3=""Scopus"", IMPORTRANGE(G3, ""references!D2:D2""), IMPORTRANGE(G3, ""references!C2:C2"")))"),"Does automated unit test generation really help software testers? A controlled empirical study")</f>
        <v>Does automated unit test generation really help software testers? A controlled empirical study</v>
      </c>
      <c r="I3" s="11">
        <f>IFERROR(__xludf.DUMMYFUNCTION("IF(ISBLANK(G3), """", IF(D3=""Scopus"", COUNTA(IMPORTRANGE(G3, ""references!D2:D"")), COUNTA(IMPORTRANGE(G3, ""references!C2:C""))))"),45.0)</f>
        <v>45</v>
      </c>
    </row>
    <row r="4">
      <c r="A4" s="4" t="b">
        <v>1</v>
      </c>
      <c r="B4" s="5" t="str">
        <f>IFERROR(__xludf.DUMMYFUNCTION("""COMPUTED_VALUE"""),"IEEE Transactions on Software Engineering")</f>
        <v>IEEE Transactions on Software Engineering</v>
      </c>
      <c r="C4" s="6" t="str">
        <f>IF(ISBLANK(B4), "", IF(COUNTIF(Conferences!A:A, B4)&gt;0, VLOOKUP(B4, Conferences!A:C, 3, FALSE), VLOOKUP(B4, Journals!A:C, 3, FALSE)))</f>
        <v>TSE</v>
      </c>
      <c r="D4" s="7" t="s">
        <v>9</v>
      </c>
      <c r="E4" s="8" t="s">
        <v>13</v>
      </c>
      <c r="F4" s="9" t="s">
        <v>16</v>
      </c>
      <c r="G4" s="12" t="s">
        <v>17</v>
      </c>
      <c r="H4" s="5" t="str">
        <f>IFERROR(__xludf.DUMMYFUNCTION("IF(ISBLANK(G4), """", IF(D4=""Scopus"", IMPORTRANGE(G4, ""references!D2:D2""), IMPORTRANGE(G4, ""references!C2:C2"")))"),"Trident: Controlling Side Effects in Automated Program Repair")</f>
        <v>Trident: Controlling Side Effects in Automated Program Repair</v>
      </c>
      <c r="I4" s="11">
        <f>IFERROR(__xludf.DUMMYFUNCTION("IF(ISBLANK(G4), """", IF(D4=""Scopus"", COUNTA(IMPORTRANGE(G4, ""references!D2:D"")), COUNTA(IMPORTRANGE(G4, ""references!C2:C""))))"),149.0)</f>
        <v>149</v>
      </c>
    </row>
    <row r="5">
      <c r="A5" s="4" t="b">
        <v>1</v>
      </c>
      <c r="B5" s="5" t="str">
        <f>IFERROR(__xludf.DUMMYFUNCTION("""COMPUTED_VALUE"""),"Empirical Software Engineering")</f>
        <v>Empirical Software Engineering</v>
      </c>
      <c r="C5" s="6" t="str">
        <f>IF(ISBLANK(B5), "", IF(COUNTIF(Conferences!A:A, B5)&gt;0, VLOOKUP(B5, Conferences!A:C, 3, FALSE), VLOOKUP(B5, Journals!A:C, 3, FALSE)))</f>
        <v>EMSE</v>
      </c>
      <c r="D5" s="7" t="s">
        <v>9</v>
      </c>
      <c r="E5" s="8" t="s">
        <v>18</v>
      </c>
      <c r="F5" s="9" t="s">
        <v>19</v>
      </c>
      <c r="G5" s="10" t="s">
        <v>20</v>
      </c>
      <c r="H5" s="5" t="str">
        <f>IFERROR(__xludf.DUMMYFUNCTION("IF(ISBLANK(G5), """", IF(D5=""Scopus"", IMPORTRANGE(G5, ""references!D2:D2""), IMPORTRANGE(G5, ""references!C2:C2"")))"),"Detecting requirements defects with NLP patterns: an industrial experience in the railway domain")</f>
        <v>Detecting requirements defects with NLP patterns: an industrial experience in the railway domain</v>
      </c>
      <c r="I5" s="11">
        <f>IFERROR(__xludf.DUMMYFUNCTION("IF(ISBLANK(G5), """", IF(D5=""Scopus"", COUNTA(IMPORTRANGE(G5, ""references!D2:D"")), COUNTA(IMPORTRANGE(G5, ""references!C2:C""))))"),62.0)</f>
        <v>62</v>
      </c>
    </row>
    <row r="6">
      <c r="A6" s="4" t="b">
        <v>1</v>
      </c>
      <c r="B6" s="5" t="str">
        <f>IFERROR(__xludf.DUMMYFUNCTION("""COMPUTED_VALUE"""),"ACM Transactions on Privacy and Security")</f>
        <v>ACM Transactions on Privacy and Security</v>
      </c>
      <c r="C6" s="6" t="str">
        <f>IF(ISBLANK(B6), "", IF(COUNTIF(Conferences!A:A, B6)&gt;0, VLOOKUP(B6, Conferences!A:C, 3, FALSE), VLOOKUP(B6, Journals!A:C, 3, FALSE)))</f>
        <v>TOPS</v>
      </c>
      <c r="D6" s="7" t="s">
        <v>9</v>
      </c>
      <c r="E6" s="8" t="s">
        <v>21</v>
      </c>
      <c r="F6" s="9" t="s">
        <v>22</v>
      </c>
      <c r="G6" s="10" t="s">
        <v>23</v>
      </c>
      <c r="H6" s="5" t="str">
        <f>IFERROR(__xludf.DUMMYFUNCTION("IF(ISBLANK(G6), """", IF(D6=""Scopus"", IMPORTRANGE(G6, ""references!D2:D2""), IMPORTRANGE(G6, ""references!C2:C2"")))"),"ISOTOP: Auditing virtual networks isolation across cloud layers in OpenStack")</f>
        <v>ISOTOP: Auditing virtual networks isolation across cloud layers in OpenStack</v>
      </c>
      <c r="I6" s="11">
        <f>IFERROR(__xludf.DUMMYFUNCTION("IF(ISBLANK(G6), """", IF(D6=""Scopus"", COUNTA(IMPORTRANGE(G6, ""references!D2:D"")), COUNTA(IMPORTRANGE(G6, ""references!C2:C""))))"),6.0)</f>
        <v>6</v>
      </c>
    </row>
    <row r="7">
      <c r="A7" s="4" t="b">
        <v>1</v>
      </c>
      <c r="B7" s="5" t="str">
        <f>IFERROR(__xludf.DUMMYFUNCTION("""COMPUTED_VALUE"""),"IEEE Transactions on Dependable and Secure Computing")</f>
        <v>IEEE Transactions on Dependable and Secure Computing</v>
      </c>
      <c r="C7" s="6" t="str">
        <f>IF(ISBLANK(B7), "", IF(COUNTIF(Conferences!A:A, B7)&gt;0, VLOOKUP(B7, Conferences!A:C, 3, FALSE), VLOOKUP(B7, Journals!A:C, 3, FALSE)))</f>
        <v>TDSC</v>
      </c>
      <c r="D7" s="7" t="s">
        <v>9</v>
      </c>
      <c r="E7" s="8" t="s">
        <v>24</v>
      </c>
      <c r="F7" s="9" t="s">
        <v>25</v>
      </c>
      <c r="G7" s="12" t="s">
        <v>26</v>
      </c>
      <c r="H7" s="5" t="str">
        <f>IFERROR(__xludf.DUMMYFUNCTION("IF(ISBLANK(G7), """", IF(D7=""Scopus"", IMPORTRANGE(G7, ""references!D2:D2""), IMPORTRANGE(G7, ""references!C2:C2"")))"),"VOSA: Verifiable and Oblivious Secure Aggregation for Privacy-Preserving Federated Learning")</f>
        <v>VOSA: Verifiable and Oblivious Secure Aggregation for Privacy-Preserving Federated Learning</v>
      </c>
      <c r="I7" s="11">
        <f>IFERROR(__xludf.DUMMYFUNCTION("IF(ISBLANK(G7), """", IF(D7=""Scopus"", COUNTA(IMPORTRANGE(G7, ""references!D2:D"")), COUNTA(IMPORTRANGE(G7, ""references!C2:C""))))"),72.0)</f>
        <v>72</v>
      </c>
    </row>
    <row r="8">
      <c r="A8" s="4" t="b">
        <v>1</v>
      </c>
      <c r="B8" s="5" t="str">
        <f>IFERROR(__xludf.DUMMYFUNCTION("""COMPUTED_VALUE"""),"Journal of Systems and Software")</f>
        <v>Journal of Systems and Software</v>
      </c>
      <c r="C8" s="6" t="str">
        <f>IF(ISBLANK(B8), "", IF(COUNTIF(Conferences!A:A, B8)&gt;0, VLOOKUP(B8, Conferences!A:C, 3, FALSE), VLOOKUP(B8, Journals!A:C, 3, FALSE)))</f>
        <v>JSS</v>
      </c>
      <c r="D8" s="7" t="s">
        <v>9</v>
      </c>
      <c r="E8" s="8" t="s">
        <v>27</v>
      </c>
      <c r="F8" s="9" t="s">
        <v>28</v>
      </c>
      <c r="G8" s="10" t="s">
        <v>29</v>
      </c>
      <c r="H8" s="5" t="str">
        <f>IFERROR(__xludf.DUMMYFUNCTION("IF(ISBLANK(G8), """", IF(D8=""Scopus"", IMPORTRANGE(G8, ""references!D2:D2""), IMPORTRANGE(G8, ""references!C2:C2"")))"),"Static correction of Maude programs with assertions")</f>
        <v>Static correction of Maude programs with assertions</v>
      </c>
      <c r="I8" s="11">
        <f>IFERROR(__xludf.DUMMYFUNCTION("IF(ISBLANK(G8), """", IF(D8=""Scopus"", COUNTA(IMPORTRANGE(G8, ""references!D2:D"")), COUNTA(IMPORTRANGE(G8, ""references!C2:C""))))"),175.0)</f>
        <v>175</v>
      </c>
    </row>
    <row r="9">
      <c r="A9" s="4" t="b">
        <v>1</v>
      </c>
      <c r="B9" s="5" t="str">
        <f>IFERROR(__xludf.DUMMYFUNCTION("""COMPUTED_VALUE"""),"Information and Software Technology")</f>
        <v>Information and Software Technology</v>
      </c>
      <c r="C9" s="6" t="str">
        <f>IF(ISBLANK(B9), "", IF(COUNTIF(Conferences!A:A, B9)&gt;0, VLOOKUP(B9, Conferences!A:C, 3, FALSE), VLOOKUP(B9, Journals!A:C, 3, FALSE)))</f>
        <v>IST</v>
      </c>
      <c r="D9" s="7" t="s">
        <v>9</v>
      </c>
      <c r="E9" s="8" t="s">
        <v>30</v>
      </c>
      <c r="F9" s="9" t="s">
        <v>31</v>
      </c>
      <c r="G9" s="10" t="s">
        <v>32</v>
      </c>
      <c r="H9" s="5" t="str">
        <f>IFERROR(__xludf.DUMMYFUNCTION("IF(ISBLANK(G9), """", IF(D9=""Scopus"", IMPORTRANGE(G9, ""references!D2:D2""), IMPORTRANGE(G9, ""references!C2:C2"")))"),"Automated model-based performance analysis of software product lines under uncertainty")</f>
        <v>Automated model-based performance analysis of software product lines under uncertainty</v>
      </c>
      <c r="I9" s="11">
        <f>IFERROR(__xludf.DUMMYFUNCTION("IF(ISBLANK(G9), """", IF(D9=""Scopus"", COUNTA(IMPORTRANGE(G9, ""references!D2:D"")), COUNTA(IMPORTRANGE(G9, ""references!C2:C""))))"),164.0)</f>
        <v>164</v>
      </c>
    </row>
    <row r="10">
      <c r="A10" s="4" t="b">
        <v>1</v>
      </c>
      <c r="B10" s="5" t="str">
        <f>IFERROR(__xludf.DUMMYFUNCTION("""COMPUTED_VALUE"""),"Requirements Engineering")</f>
        <v>Requirements Engineering</v>
      </c>
      <c r="C10" s="6" t="str">
        <f>IF(ISBLANK(B10), "", IF(COUNTIF(Conferences!A:A, B10)&gt;0, VLOOKUP(B10, Conferences!A:C, 3, FALSE), VLOOKUP(B10, Journals!A:C, 3, FALSE)))</f>
        <v>REJ</v>
      </c>
      <c r="D10" s="7" t="s">
        <v>9</v>
      </c>
      <c r="E10" s="8" t="s">
        <v>33</v>
      </c>
      <c r="F10" s="9" t="s">
        <v>34</v>
      </c>
      <c r="G10" s="12" t="s">
        <v>35</v>
      </c>
      <c r="H10" s="5" t="str">
        <f>IFERROR(__xludf.DUMMYFUNCTION("IF(ISBLANK(G10), """", IF(D10=""Scopus"", IMPORTRANGE(G10, ""references!D2:D2""), IMPORTRANGE(G10, ""references!C2:C2"")))"),"On the automatic classification of app reviews")</f>
        <v>On the automatic classification of app reviews</v>
      </c>
      <c r="I10" s="11">
        <f>IFERROR(__xludf.DUMMYFUNCTION("IF(ISBLANK(G10), """", IF(D10=""Scopus"", COUNTA(IMPORTRANGE(G10, ""references!D2:D"")), COUNTA(IMPORTRANGE(G10, ""references!C2:C""))))"),57.0)</f>
        <v>57</v>
      </c>
    </row>
    <row r="11">
      <c r="A11" s="4" t="b">
        <v>1</v>
      </c>
      <c r="B11" s="5" t="str">
        <f>IFERROR(__xludf.DUMMYFUNCTION("""COMPUTED_VALUE"""),"Journal of Software: Evolution and Process")</f>
        <v>Journal of Software: Evolution and Process</v>
      </c>
      <c r="C11" s="6" t="str">
        <f>IF(ISBLANK(B11), "", IF(COUNTIF(Conferences!A:A, B11)&gt;0, VLOOKUP(B11, Conferences!A:C, 3, FALSE), VLOOKUP(B11, Journals!A:C, 3, FALSE)))</f>
        <v>JSEP</v>
      </c>
      <c r="D11" s="7" t="s">
        <v>9</v>
      </c>
      <c r="E11" s="8" t="s">
        <v>36</v>
      </c>
      <c r="F11" s="9" t="s">
        <v>37</v>
      </c>
      <c r="G11" s="10" t="s">
        <v>38</v>
      </c>
      <c r="H11" s="5" t="str">
        <f>IFERROR(__xludf.DUMMYFUNCTION("IF(ISBLANK(G11), """", IF(D11=""Scopus"", IMPORTRANGE(G11, ""references!D2:D2""), IMPORTRANGE(G11, ""references!C2:C2"")))"),"Web framework points: An effort estimation methodology for Web application development using a content management framework")</f>
        <v>Web framework points: An effort estimation methodology for Web application development using a content management framework</v>
      </c>
      <c r="I11" s="11">
        <f>IFERROR(__xludf.DUMMYFUNCTION("IF(ISBLANK(G11), """", IF(D11=""Scopus"", COUNTA(IMPORTRANGE(G11, ""references!D2:D"")), COUNTA(IMPORTRANGE(G11, ""references!C2:C""))))"),18.0)</f>
        <v>18</v>
      </c>
    </row>
    <row r="12">
      <c r="A12" s="13" t="b">
        <v>1</v>
      </c>
      <c r="B12" s="14" t="str">
        <f>IFERROR(__xludf.DUMMYFUNCTION("""COMPUTED_VALUE"""),"Automated Software Engineering Conference")</f>
        <v>Automated Software Engineering Conference</v>
      </c>
      <c r="C12" s="15" t="str">
        <f>IF(ISBLANK(B12), "", IF(COUNTIF(Conferences!A:A, B12)&gt;0, VLOOKUP(B12, Conferences!A:C, 3, FALSE), VLOOKUP(B12, Journals!A:C, 3, FALSE)))</f>
        <v>ASE</v>
      </c>
      <c r="D12" s="16" t="s">
        <v>9</v>
      </c>
      <c r="E12" s="17" t="s">
        <v>39</v>
      </c>
      <c r="F12" s="18" t="s">
        <v>40</v>
      </c>
      <c r="G12" s="19" t="s">
        <v>41</v>
      </c>
      <c r="H12" s="14" t="str">
        <f>IFERROR(__xludf.DUMMYFUNCTION("IF(ISBLANK(G12), """", IF(D12=""Scopus"", IMPORTRANGE(G12, ""references!D2:D2""), IMPORTRANGE(G12, ""references!C2:C2"")))"),"Tool-assisted unit test selection based on operational violations")</f>
        <v>Tool-assisted unit test selection based on operational violations</v>
      </c>
      <c r="I12" s="20">
        <f>IFERROR(__xludf.DUMMYFUNCTION("IF(ISBLANK(G12), """", IF(D12=""Scopus"", COUNTA(IMPORTRANGE(G12, ""references!D2:D"")), COUNTA(IMPORTRANGE(G12, ""references!C2:C""))))"),46.0)</f>
        <v>46</v>
      </c>
    </row>
    <row r="13">
      <c r="A13" s="4" t="b">
        <v>1</v>
      </c>
      <c r="B13" s="5" t="str">
        <f>IFERROR(__xludf.DUMMYFUNCTION("""COMPUTED_VALUE"""),"European Software Engineering Conference and the ACM SIGSOFT Symposium on the Foundations of Software Engineering")</f>
        <v>European Software Engineering Conference and the ACM SIGSOFT Symposium on the Foundations of Software Engineering</v>
      </c>
      <c r="C13" s="6" t="str">
        <f>IF(ISBLANK(B13), "", IF(COUNTIF(Conferences!A:A, B13)&gt;0, VLOOKUP(B13, Conferences!A:C, 3, FALSE), VLOOKUP(B13, Journals!A:C, 3, FALSE)))</f>
        <v>ESEC/FSE</v>
      </c>
      <c r="D13" s="7" t="s">
        <v>9</v>
      </c>
      <c r="E13" s="8" t="s">
        <v>42</v>
      </c>
      <c r="F13" s="21" t="s">
        <v>43</v>
      </c>
      <c r="G13" s="10" t="s">
        <v>44</v>
      </c>
      <c r="H13" s="5" t="str">
        <f>IFERROR(__xludf.DUMMYFUNCTION("IF(ISBLANK(G13), """", IF(D13=""Scopus"", IMPORTRANGE(G13, ""references!D2:D2""), IMPORTRANGE(G13, ""references!C2:C2"")))"),"Automated multi-objective control for self-adaptive software design")</f>
        <v>Automated multi-objective control for self-adaptive software design</v>
      </c>
      <c r="I13" s="11">
        <f>IFERROR(__xludf.DUMMYFUNCTION("IF(ISBLANK(G13), """", IF(D13=""Scopus"", COUNTA(IMPORTRANGE(G13, ""references!D2:D"")), COUNTA(IMPORTRANGE(G13, ""references!C2:C""))))"),52.0)</f>
        <v>52</v>
      </c>
    </row>
    <row r="14">
      <c r="A14" s="4" t="b">
        <v>1</v>
      </c>
      <c r="B14" s="5" t="str">
        <f>IFERROR(__xludf.DUMMYFUNCTION("""COMPUTED_VALUE"""),"International Conference on Software Engineering")</f>
        <v>International Conference on Software Engineering</v>
      </c>
      <c r="C14" s="6" t="str">
        <f>IF(ISBLANK(B14), "", IF(COUNTIF(Conferences!A:A, B14)&gt;0, VLOOKUP(B14, Conferences!A:C, 3, FALSE), VLOOKUP(B14, Journals!A:C, 3, FALSE)))</f>
        <v>ICSE</v>
      </c>
      <c r="D14" s="7" t="s">
        <v>9</v>
      </c>
      <c r="E14" s="8" t="s">
        <v>45</v>
      </c>
      <c r="F14" s="21" t="s">
        <v>46</v>
      </c>
      <c r="G14" s="10" t="s">
        <v>47</v>
      </c>
      <c r="H14" s="5" t="str">
        <f>IFERROR(__xludf.DUMMYFUNCTION("IF(ISBLANK(G14), """", IF(D14=""Scopus"", IMPORTRANGE(G14, ""references!D2:D2""), IMPORTRANGE(G14, ""references!C2:C2"")))"),"APICAD: Augmenting API Misuse Detection through Specifications from Code and Documents")</f>
        <v>APICAD: Augmenting API Misuse Detection through Specifications from Code and Documents</v>
      </c>
      <c r="I14" s="11">
        <f>IFERROR(__xludf.DUMMYFUNCTION("IF(ISBLANK(G14), """", IF(D14=""Scopus"", COUNTA(IMPORTRANGE(G14, ""references!D2:D"")), COUNTA(IMPORTRANGE(G14, ""references!C2:C""))))"),152.0)</f>
        <v>152</v>
      </c>
    </row>
    <row r="15">
      <c r="A15" s="4" t="b">
        <v>1</v>
      </c>
      <c r="B15" s="5" t="str">
        <f>IFERROR(__xludf.DUMMYFUNCTION("""COMPUTED_VALUE"""),"IEEE International Requirements Engineering Conference")</f>
        <v>IEEE International Requirements Engineering Conference</v>
      </c>
      <c r="C15" s="6" t="str">
        <f>IF(ISBLANK(B15), "", IF(COUNTIF(Conferences!A:A, B15)&gt;0, VLOOKUP(B15, Conferences!A:C, 3, FALSE), VLOOKUP(B15, Journals!A:C, 3, FALSE)))</f>
        <v>RE</v>
      </c>
      <c r="D15" s="7" t="s">
        <v>9</v>
      </c>
      <c r="E15" s="8" t="s">
        <v>33</v>
      </c>
      <c r="F15" s="9" t="s">
        <v>48</v>
      </c>
      <c r="G15" s="10" t="s">
        <v>49</v>
      </c>
      <c r="H15" s="5" t="str">
        <f>IFERROR(__xludf.DUMMYFUNCTION("IF(ISBLANK(G15), """", IF(D15=""Scopus"", IMPORTRANGE(G15, ""references!D2:D2""), IMPORTRANGE(G15, ""references!C2:C2"")))"),"ShapeRE: Towards a Multi-Dimensional Representation for Requirements of Sustainable Software")</f>
        <v>ShapeRE: Towards a Multi-Dimensional Representation for Requirements of Sustainable Software</v>
      </c>
      <c r="I15" s="11">
        <f>IFERROR(__xludf.DUMMYFUNCTION("IF(ISBLANK(G15), """", IF(D15=""Scopus"", COUNTA(IMPORTRANGE(G15, ""references!D2:D"")), COUNTA(IMPORTRANGE(G15, ""references!C2:C""))))"),120.0)</f>
        <v>120</v>
      </c>
    </row>
    <row r="16">
      <c r="A16" s="4" t="b">
        <v>1</v>
      </c>
      <c r="B16" s="5" t="str">
        <f>IFERROR(__xludf.DUMMYFUNCTION("""COMPUTED_VALUE"""),"International Conference on Evaluation and Assessment in Software Engineering")</f>
        <v>International Conference on Evaluation and Assessment in Software Engineering</v>
      </c>
      <c r="C16" s="6" t="str">
        <f>IF(ISBLANK(B16), "", IF(COUNTIF(Conferences!A:A, B16)&gt;0, VLOOKUP(B16, Conferences!A:C, 3, FALSE), VLOOKUP(B16, Journals!A:C, 3, FALSE)))</f>
        <v>EASE</v>
      </c>
      <c r="D16" s="7" t="s">
        <v>9</v>
      </c>
      <c r="E16" s="8" t="s">
        <v>50</v>
      </c>
      <c r="F16" s="9" t="s">
        <v>51</v>
      </c>
      <c r="G16" s="10" t="s">
        <v>52</v>
      </c>
      <c r="H16" s="5" t="str">
        <f>IFERROR(__xludf.DUMMYFUNCTION("IF(ISBLANK(G16), """", IF(D16=""Scopus"", IMPORTRANGE(G16, ""references!D2:D2""), IMPORTRANGE(G16, ""references!C2:C2"")))"),"Empirical validation of a requirements engineering process guide")</f>
        <v>Empirical validation of a requirements engineering process guide</v>
      </c>
      <c r="I16" s="11">
        <f>IFERROR(__xludf.DUMMYFUNCTION("IF(ISBLANK(G16), """", IF(D16=""Scopus"", COUNTA(IMPORTRANGE(G16, ""references!D2:D"")), COUNTA(IMPORTRANGE(G16, ""references!C2:C""))))"),3.0)</f>
        <v>3</v>
      </c>
    </row>
    <row r="17">
      <c r="A17" s="4" t="b">
        <v>1</v>
      </c>
      <c r="B17" s="5" t="str">
        <f>IFERROR(__xludf.DUMMYFUNCTION("""COMPUTED_VALUE"""),"European Conference on Object-Oriented Programming")</f>
        <v>European Conference on Object-Oriented Programming</v>
      </c>
      <c r="C17" s="6" t="str">
        <f>IF(ISBLANK(B17), "", IF(COUNTIF(Conferences!A:A, B17)&gt;0, VLOOKUP(B17, Conferences!A:C, 3, FALSE), VLOOKUP(B17, Journals!A:C, 3, FALSE)))</f>
        <v>ECOOP</v>
      </c>
      <c r="D17" s="7" t="s">
        <v>9</v>
      </c>
      <c r="E17" s="8" t="s">
        <v>53</v>
      </c>
      <c r="F17" s="9" t="s">
        <v>54</v>
      </c>
      <c r="G17" s="10" t="s">
        <v>55</v>
      </c>
      <c r="H17" s="5" t="str">
        <f>IFERROR(__xludf.DUMMYFUNCTION("IF(ISBLANK(G17), """", IF(D17=""Scopus"", IMPORTRANGE(G17, ""references!D2:D2""), IMPORTRANGE(G17, ""references!C2:C2"")))"),"Reliability of transaction identification in use cases")</f>
        <v>Reliability of transaction identification in use cases</v>
      </c>
      <c r="I17" s="11">
        <f>IFERROR(__xludf.DUMMYFUNCTION("IF(ISBLANK(G17), """", IF(D17=""Scopus"", COUNTA(IMPORTRANGE(G17, ""references!D2:D"")), COUNTA(IMPORTRANGE(G17, ""references!C2:C""))))"),1.0)</f>
        <v>1</v>
      </c>
    </row>
    <row r="18">
      <c r="A18" s="4" t="b">
        <v>1</v>
      </c>
      <c r="B18" s="5" t="str">
        <f>IFERROR(__xludf.DUMMYFUNCTION("""COMPUTED_VALUE"""),"European Conference on Software Architecture")</f>
        <v>European Conference on Software Architecture</v>
      </c>
      <c r="C18" s="6" t="str">
        <f>IF(ISBLANK(B18), "", IF(COUNTIF(Conferences!A:A, B18)&gt;0, VLOOKUP(B18, Conferences!A:C, 3, FALSE), VLOOKUP(B18, Journals!A:C, 3, FALSE)))</f>
        <v>ECSA</v>
      </c>
      <c r="D18" s="7" t="s">
        <v>9</v>
      </c>
      <c r="E18" s="8" t="s">
        <v>56</v>
      </c>
      <c r="F18" s="9" t="s">
        <v>57</v>
      </c>
      <c r="G18" s="12" t="s">
        <v>58</v>
      </c>
      <c r="H18" s="5" t="str">
        <f>IFERROR(__xludf.DUMMYFUNCTION("IF(ISBLANK(G18), """", IF(D18=""Scopus"", IMPORTRANGE(G18, ""references!D2:D2""), IMPORTRANGE(G18, ""references!C2:C2"")))"),"Modeling constraints improves software architecture design reasoning")</f>
        <v>Modeling constraints improves software architecture design reasoning</v>
      </c>
      <c r="I18" s="11">
        <f>IFERROR(__xludf.DUMMYFUNCTION("IF(ISBLANK(G18), """", IF(D18=""Scopus"", COUNTA(IMPORTRANGE(G18, ""references!D2:D"")), COUNTA(IMPORTRANGE(G18, ""references!C2:C""))))"),1.0)</f>
        <v>1</v>
      </c>
    </row>
    <row r="19">
      <c r="A19" s="4" t="b">
        <v>1</v>
      </c>
      <c r="B19" s="5" t="str">
        <f>IFERROR(__xludf.DUMMYFUNCTION("""COMPUTED_VALUE"""),"International Symposium on Empirical Software Engineering and Measurement")</f>
        <v>International Symposium on Empirical Software Engineering and Measurement</v>
      </c>
      <c r="C19" s="6" t="str">
        <f>IF(ISBLANK(B19), "", IF(COUNTIF(Conferences!A:A, B19)&gt;0, VLOOKUP(B19, Conferences!A:C, 3, FALSE), VLOOKUP(B19, Journals!A:C, 3, FALSE)))</f>
        <v>ESEM</v>
      </c>
      <c r="D19" s="7" t="s">
        <v>9</v>
      </c>
      <c r="E19" s="8" t="s">
        <v>18</v>
      </c>
      <c r="F19" s="9" t="s">
        <v>59</v>
      </c>
      <c r="G19" s="10" t="s">
        <v>60</v>
      </c>
      <c r="H19" s="5" t="str">
        <f>IFERROR(__xludf.DUMMYFUNCTION("IF(ISBLANK(G19), """", IF(D19=""Scopus"", IMPORTRANGE(G19, ""references!D2:D2""), IMPORTRANGE(G19, ""references!C2:C2"")))"),"The Influence of Requirements in Software Model Development in an Industrial Environment")</f>
        <v>The Influence of Requirements in Software Model Development in an Industrial Environment</v>
      </c>
      <c r="I19" s="11">
        <f>IFERROR(__xludf.DUMMYFUNCTION("IF(ISBLANK(G19), """", IF(D19=""Scopus"", COUNTA(IMPORTRANGE(G19, ""references!D2:D"")), COUNTA(IMPORTRANGE(G19, ""references!C2:C""))))"),39.0)</f>
        <v>39</v>
      </c>
    </row>
    <row r="20">
      <c r="A20" s="4" t="b">
        <v>1</v>
      </c>
      <c r="B20" s="5" t="str">
        <f>IFERROR(__xludf.DUMMYFUNCTION("""COMPUTED_VALUE"""),"International Symposium on Formal Methods")</f>
        <v>International Symposium on Formal Methods</v>
      </c>
      <c r="C20" s="6" t="str">
        <f>IF(ISBLANK(B20), "", IF(COUNTIF(Conferences!A:A, B20)&gt;0, VLOOKUP(B20, Conferences!A:C, 3, FALSE), VLOOKUP(B20, Journals!A:C, 3, FALSE)))</f>
        <v>FM</v>
      </c>
      <c r="D20" s="7" t="s">
        <v>61</v>
      </c>
      <c r="E20" s="8" t="s">
        <v>62</v>
      </c>
      <c r="F20" s="9" t="s">
        <v>63</v>
      </c>
      <c r="G20" s="12" t="s">
        <v>64</v>
      </c>
      <c r="H20" s="5" t="str">
        <f>IFERROR(__xludf.DUMMYFUNCTION("IF(ISBLANK(G20), """", IF(D20=""Scopus"", IMPORTRANGE(G20, ""references!D2:D2""), IMPORTRANGE(G20, ""references!C2:C2"")))"),"Automated Verification of Dense-Time MTL Specifications Via Discrete-Time Approximation")</f>
        <v>Automated Verification of Dense-Time MTL Specifications Via Discrete-Time Approximation</v>
      </c>
      <c r="I20" s="11">
        <f>IFERROR(__xludf.DUMMYFUNCTION("IF(ISBLANK(G20), """", IF(D20=""Scopus"", COUNTA(IMPORTRANGE(G20, ""references!D2:D"")), COUNTA(IMPORTRANGE(G20, ""references!C2:C""))))"),1.0)</f>
        <v>1</v>
      </c>
    </row>
    <row r="21">
      <c r="A21" s="4" t="b">
        <v>1</v>
      </c>
      <c r="B21" s="5" t="str">
        <f>IFERROR(__xludf.DUMMYFUNCTION("""COMPUTED_VALUE"""),"International Conference on Functional Programming")</f>
        <v>International Conference on Functional Programming</v>
      </c>
      <c r="C21" s="6" t="str">
        <f>IF(ISBLANK(B21), "", IF(COUNTIF(Conferences!A:A, B21)&gt;0, VLOOKUP(B21, Conferences!A:C, 3, FALSE), VLOOKUP(B21, Journals!A:C, 3, FALSE)))</f>
        <v>ICFP</v>
      </c>
      <c r="D21" s="7" t="s">
        <v>9</v>
      </c>
      <c r="E21" s="8" t="s">
        <v>65</v>
      </c>
      <c r="F21" s="9" t="s">
        <v>66</v>
      </c>
      <c r="G21" s="12" t="s">
        <v>67</v>
      </c>
      <c r="H21" s="5" t="str">
        <f>IFERROR(__xludf.DUMMYFUNCTION("IF(ISBLANK(G21), """", IF(D21=""Scopus"", IMPORTRANGE(G21, ""references!D2:D2""), IMPORTRANGE(G21, ""references!C2:C2"")))"),"Lem: Reusable engineering of real-world semantics")</f>
        <v>Lem: Reusable engineering of real-world semantics</v>
      </c>
      <c r="I21" s="11">
        <f>IFERROR(__xludf.DUMMYFUNCTION("IF(ISBLANK(G21), """", IF(D21=""Scopus"", COUNTA(IMPORTRANGE(G21, ""references!D2:D"")), COUNTA(IMPORTRANGE(G21, ""references!C2:C""))))"),4.0)</f>
        <v>4</v>
      </c>
    </row>
    <row r="22">
      <c r="A22" s="4" t="b">
        <v>1</v>
      </c>
      <c r="B22" s="5" t="str">
        <f>IFERROR(__xludf.DUMMYFUNCTION("""COMPUTED_VALUE"""),"IEEE International Conference on Program Comprehension")</f>
        <v>IEEE International Conference on Program Comprehension</v>
      </c>
      <c r="C22" s="6" t="str">
        <f>IF(ISBLANK(B22), "", IF(COUNTIF(Conferences!A:A, B22)&gt;0, VLOOKUP(B22, Conferences!A:C, 3, FALSE), VLOOKUP(B22, Journals!A:C, 3, FALSE)))</f>
        <v>ICPC</v>
      </c>
      <c r="D22" s="7" t="s">
        <v>9</v>
      </c>
      <c r="E22" s="8" t="s">
        <v>68</v>
      </c>
      <c r="F22" s="9" t="s">
        <v>69</v>
      </c>
      <c r="G22" s="12" t="s">
        <v>70</v>
      </c>
      <c r="H22" s="5" t="str">
        <f>IFERROR(__xludf.DUMMYFUNCTION("IF(ISBLANK(G22), """", IF(D22=""Scopus"", IMPORTRANGE(G22, ""references!D2:D2""), IMPORTRANGE(G22, ""references!C2:C2"")))"),"Proceedings of the 16th IEEE International Conference on Program Conprenension, ICPC")</f>
        <v>Proceedings of the 16th IEEE International Conference on Program Conprenension, ICPC</v>
      </c>
      <c r="I22" s="11">
        <f>IFERROR(__xludf.DUMMYFUNCTION("IF(ISBLANK(G22), """", IF(D22=""Scopus"", COUNTA(IMPORTRANGE(G22, ""references!D2:D"")), COUNTA(IMPORTRANGE(G22, ""references!C2:C""))))"),12.0)</f>
        <v>12</v>
      </c>
    </row>
    <row r="23">
      <c r="A23" s="4" t="b">
        <v>1</v>
      </c>
      <c r="B23" s="5" t="str">
        <f>IFERROR(__xludf.DUMMYFUNCTION("""COMPUTED_VALUE"""),"International Conference on Software Architecture")</f>
        <v>International Conference on Software Architecture</v>
      </c>
      <c r="C23" s="6" t="str">
        <f>IF(ISBLANK(B23), "", IF(COUNTIF(Conferences!A:A, B23)&gt;0, VLOOKUP(B23, Conferences!A:C, 3, FALSE), VLOOKUP(B23, Journals!A:C, 3, FALSE)))</f>
        <v>ICSA</v>
      </c>
      <c r="D23" s="7" t="s">
        <v>9</v>
      </c>
      <c r="E23" s="8" t="s">
        <v>71</v>
      </c>
      <c r="F23" s="9" t="s">
        <v>72</v>
      </c>
      <c r="G23" s="12" t="s">
        <v>73</v>
      </c>
      <c r="H23" s="5" t="str">
        <f>IFERROR(__xludf.DUMMYFUNCTION("IF(ISBLANK(G23), """", IF(D23=""Scopus"", IMPORTRANGE(G23, ""references!D2:D2""), IMPORTRANGE(G23, ""references!C2:C2"")))"),"Predicting Latency of Blockchain-Based Systems Using Architectural Modelling and Simulation")</f>
        <v>Predicting Latency of Blockchain-Based Systems Using Architectural Modelling and Simulation</v>
      </c>
      <c r="I23" s="11">
        <f>IFERROR(__xludf.DUMMYFUNCTION("IF(ISBLANK(G23), """", IF(D23=""Scopus"", COUNTA(IMPORTRANGE(G23, ""references!D2:D"")), COUNTA(IMPORTRANGE(G23, ""references!C2:C""))))"),4.0)</f>
        <v>4</v>
      </c>
    </row>
    <row r="24">
      <c r="A24" s="4" t="b">
        <v>1</v>
      </c>
      <c r="B24" s="5" t="str">
        <f>IFERROR(__xludf.DUMMYFUNCTION("""COMPUTED_VALUE"""),"IEEE International Conference on Software Maintenance and Evolution")</f>
        <v>IEEE International Conference on Software Maintenance and Evolution</v>
      </c>
      <c r="C24" s="6" t="str">
        <f>IF(ISBLANK(B24), "", IF(COUNTIF(Conferences!A:A, B24)&gt;0, VLOOKUP(B24, Conferences!A:C, 3, FALSE), VLOOKUP(B24, Journals!A:C, 3, FALSE)))</f>
        <v>ICSME</v>
      </c>
      <c r="D24" s="7" t="s">
        <v>9</v>
      </c>
      <c r="E24" s="8" t="s">
        <v>74</v>
      </c>
      <c r="F24" s="9" t="s">
        <v>75</v>
      </c>
      <c r="G24" s="10" t="s">
        <v>76</v>
      </c>
      <c r="H24" s="5" t="str">
        <f>IFERROR(__xludf.DUMMYFUNCTION("IF(ISBLANK(G24), """", IF(D24=""Scopus"", IMPORTRANGE(G24, ""references!D2:D2""), IMPORTRANGE(G24, ""references!C2:C2"")))"),"Lib Metamorphosis: A Performance Analysis Framework for Exchanging Data Structures in Performance Sensitive Applications")</f>
        <v>Lib Metamorphosis: A Performance Analysis Framework for Exchanging Data Structures in Performance Sensitive Applications</v>
      </c>
      <c r="I24" s="11">
        <f>IFERROR(__xludf.DUMMYFUNCTION("IF(ISBLANK(G24), """", IF(D24=""Scopus"", COUNTA(IMPORTRANGE(G24, ""references!D2:D"")), COUNTA(IMPORTRANGE(G24, ""references!C2:C""))))"),8.0)</f>
        <v>8</v>
      </c>
    </row>
    <row r="25">
      <c r="A25" s="4" t="b">
        <v>1</v>
      </c>
      <c r="B25" s="5" t="str">
        <f>IFERROR(__xludf.DUMMYFUNCTION("""COMPUTED_VALUE"""),"International Conference on Software Testing, Verification and Validation")</f>
        <v>International Conference on Software Testing, Verification and Validation</v>
      </c>
      <c r="C25" s="6" t="str">
        <f>IF(ISBLANK(B25), "", IF(COUNTIF(Conferences!A:A, B25)&gt;0, VLOOKUP(B25, Conferences!A:C, 3, FALSE), VLOOKUP(B25, Journals!A:C, 3, FALSE)))</f>
        <v>ICST</v>
      </c>
      <c r="D25" s="7" t="s">
        <v>9</v>
      </c>
      <c r="E25" s="8" t="s">
        <v>77</v>
      </c>
      <c r="F25" s="9" t="s">
        <v>78</v>
      </c>
      <c r="G25" s="10" t="s">
        <v>79</v>
      </c>
      <c r="H25" s="5" t="str">
        <f>IFERROR(__xludf.DUMMYFUNCTION("IF(ISBLANK(G25), """", IF(D25=""Scopus"", IMPORTRANGE(G25, ""references!D2:D2""), IMPORTRANGE(G25, ""references!C2:C2"")))"),"ATOM: Automatic Maintenance of GUI Test Scripts for Evolving Mobile Applications")</f>
        <v>ATOM: Automatic Maintenance of GUI Test Scripts for Evolving Mobile Applications</v>
      </c>
      <c r="I25" s="11">
        <f>IFERROR(__xludf.DUMMYFUNCTION("IF(ISBLANK(G25), """", IF(D25=""Scopus"", COUNTA(IMPORTRANGE(G25, ""references!D2:D"")), COUNTA(IMPORTRANGE(G25, ""references!C2:C""))))"),28.0)</f>
        <v>28</v>
      </c>
    </row>
    <row r="26">
      <c r="A26" s="4" t="b">
        <v>1</v>
      </c>
      <c r="B26" s="5" t="str">
        <f>IFERROR(__xludf.DUMMYFUNCTION("""COMPUTED_VALUE"""),"International Symposium on Software Reliability Engineering")</f>
        <v>International Symposium on Software Reliability Engineering</v>
      </c>
      <c r="C26" s="6" t="str">
        <f>IF(ISBLANK(B26), "", IF(COUNTIF(Conferences!A:A, B26)&gt;0, VLOOKUP(B26, Conferences!A:C, 3, FALSE), VLOOKUP(B26, Journals!A:C, 3, FALSE)))</f>
        <v>ISSRE</v>
      </c>
      <c r="D26" s="7" t="s">
        <v>9</v>
      </c>
      <c r="E26" s="8" t="s">
        <v>80</v>
      </c>
      <c r="F26" s="9" t="s">
        <v>81</v>
      </c>
      <c r="G26" s="12" t="s">
        <v>82</v>
      </c>
      <c r="H26" s="5" t="str">
        <f>IFERROR(__xludf.DUMMYFUNCTION("IF(ISBLANK(G26), """", IF(D26=""Scopus"", IMPORTRANGE(G26, ""references!D2:D2""), IMPORTRANGE(G26, ""references!C2:C2"")))"),"Connection test coverage to software dependability")</f>
        <v>Connection test coverage to software dependability</v>
      </c>
      <c r="I26" s="11">
        <f>IFERROR(__xludf.DUMMYFUNCTION("IF(ISBLANK(G26), """", IF(D26=""Scopus"", COUNTA(IMPORTRANGE(G26, ""references!D2:D"")), COUNTA(IMPORTRANGE(G26, ""references!C2:C""))))"),38.0)</f>
        <v>38</v>
      </c>
    </row>
    <row r="27">
      <c r="A27" s="4" t="b">
        <v>1</v>
      </c>
      <c r="B27" s="5" t="str">
        <f>IFERROR(__xludf.DUMMYFUNCTION("""COMPUTED_VALUE"""),"International Symposium on Software Testing and Analysis")</f>
        <v>International Symposium on Software Testing and Analysis</v>
      </c>
      <c r="C27" s="6" t="str">
        <f>IF(ISBLANK(B27), "", IF(COUNTIF(Conferences!A:A, B27)&gt;0, VLOOKUP(B27, Conferences!A:C, 3, FALSE), VLOOKUP(B27, Journals!A:C, 3, FALSE)))</f>
        <v>ISSTA</v>
      </c>
      <c r="D27" s="7" t="s">
        <v>9</v>
      </c>
      <c r="E27" s="8" t="s">
        <v>83</v>
      </c>
      <c r="F27" s="9" t="s">
        <v>84</v>
      </c>
      <c r="G27" s="10" t="s">
        <v>85</v>
      </c>
      <c r="H27" s="5" t="str">
        <f>IFERROR(__xludf.DUMMYFUNCTION("IF(ISBLANK(G27), """", IF(D27=""Scopus"", IMPORTRANGE(G27, ""references!D2:D2""), IMPORTRANGE(G27, ""references!C2:C2"")))"),"Software assurance by bounded exhaustive testing")</f>
        <v>Software assurance by bounded exhaustive testing</v>
      </c>
      <c r="I27" s="11">
        <f>IFERROR(__xludf.DUMMYFUNCTION("IF(ISBLANK(G27), """", IF(D27=""Scopus"", COUNTA(IMPORTRANGE(G27, ""references!D2:D"")), COUNTA(IMPORTRANGE(G27, ""references!C2:C""))))"),43.0)</f>
        <v>43</v>
      </c>
    </row>
    <row r="28">
      <c r="A28" s="4" t="b">
        <v>1</v>
      </c>
      <c r="B28" s="5" t="str">
        <f>IFERROR(__xludf.DUMMYFUNCTION("""COMPUTED_VALUE"""),"International Conference on Model Driven Engineering Languages and Systems")</f>
        <v>International Conference on Model Driven Engineering Languages and Systems</v>
      </c>
      <c r="C28" s="6" t="str">
        <f>IF(ISBLANK(B28), "", IF(COUNTIF(Conferences!A:A, B28)&gt;0, VLOOKUP(B28, Conferences!A:C, 3, FALSE), VLOOKUP(B28, Journals!A:C, 3, FALSE)))</f>
        <v>MODELS</v>
      </c>
      <c r="D28" s="7" t="s">
        <v>9</v>
      </c>
      <c r="E28" s="8" t="s">
        <v>86</v>
      </c>
      <c r="F28" s="21" t="s">
        <v>87</v>
      </c>
      <c r="G28" s="12" t="s">
        <v>88</v>
      </c>
      <c r="H28" s="5" t="str">
        <f>IFERROR(__xludf.DUMMYFUNCTION("IF(ISBLANK(G28), """", IF(D28=""Scopus"", IMPORTRANGE(G28, ""references!D2:D2""), IMPORTRANGE(G28, ""references!C2:C2"")))"),"Proceedings - 25th ACM/IEEE International Conference on Model Driven Engineering Languages and Systems, MODELS 2022")</f>
        <v>Proceedings - 25th ACM/IEEE International Conference on Model Driven Engineering Languages and Systems, MODELS 2022</v>
      </c>
      <c r="I28" s="11">
        <f>IFERROR(__xludf.DUMMYFUNCTION("IF(ISBLANK(G28), """", IF(D28=""Scopus"", COUNTA(IMPORTRANGE(G28, ""references!D2:D"")), COUNTA(IMPORTRANGE(G28, ""references!C2:C""))))"),13.0)</f>
        <v>13</v>
      </c>
    </row>
    <row r="29">
      <c r="A29" s="4" t="b">
        <v>1</v>
      </c>
      <c r="B29" s="5" t="str">
        <f>IFERROR(__xludf.DUMMYFUNCTION("""COMPUTED_VALUE"""),"IEEE International Working Conference on Mining Software Repositories")</f>
        <v>IEEE International Working Conference on Mining Software Repositories</v>
      </c>
      <c r="C29" s="6" t="str">
        <f>IF(ISBLANK(B29), "", IF(COUNTIF(Conferences!A:A, B29)&gt;0, VLOOKUP(B29, Conferences!A:C, 3, FALSE), VLOOKUP(B29, Journals!A:C, 3, FALSE)))</f>
        <v>MSR</v>
      </c>
      <c r="D29" s="7" t="s">
        <v>9</v>
      </c>
      <c r="E29" s="8" t="s">
        <v>89</v>
      </c>
      <c r="F29" s="9" t="s">
        <v>90</v>
      </c>
      <c r="G29" s="10" t="s">
        <v>91</v>
      </c>
      <c r="H29" s="5" t="str">
        <f>IFERROR(__xludf.DUMMYFUNCTION("IF(ISBLANK(G29), """", IF(D29=""Scopus"", IMPORTRANGE(G29, ""references!D2:D2""), IMPORTRANGE(G29, ""references!C2:C2"")))"),"Revisiting software development effort estimation based on early phase development activities")</f>
        <v>Revisiting software development effort estimation based on early phase development activities</v>
      </c>
      <c r="I29" s="11">
        <f>IFERROR(__xludf.DUMMYFUNCTION("IF(ISBLANK(G29), """", IF(D29=""Scopus"", COUNTA(IMPORTRANGE(G29, ""references!D2:D"")), COUNTA(IMPORTRANGE(G29, ""references!C2:C""))))"),1.0)</f>
        <v>1</v>
      </c>
    </row>
    <row r="30">
      <c r="A30" s="4" t="b">
        <v>1</v>
      </c>
      <c r="B30" s="5" t="str">
        <f>IFERROR(__xludf.DUMMYFUNCTION("""COMPUTED_VALUE"""),"ACM Conference on Object Oriented Programming Systems Languages and Applications")</f>
        <v>ACM Conference on Object Oriented Programming Systems Languages and Applications</v>
      </c>
      <c r="C30" s="6" t="str">
        <f>IF(ISBLANK(B30), "", IF(COUNTIF(Conferences!A:A, B30)&gt;0, VLOOKUP(B30, Conferences!A:C, 3, FALSE), VLOOKUP(B30, Journals!A:C, 3, FALSE)))</f>
        <v>OOPSLA</v>
      </c>
      <c r="D30" s="7" t="s">
        <v>9</v>
      </c>
      <c r="E30" s="8" t="s">
        <v>92</v>
      </c>
      <c r="F30" s="9" t="s">
        <v>93</v>
      </c>
      <c r="G30" s="12" t="s">
        <v>94</v>
      </c>
      <c r="H30" s="5" t="str">
        <f>IFERROR(__xludf.DUMMYFUNCTION("IF(ISBLANK(G30), """", IF(D30=""Scopus"", IMPORTRANGE(G30, ""references!D2:D2""), IMPORTRANGE(G30, ""references!C2:C2"")))"),"MOP: An efficient and generic runtime verification framework")</f>
        <v>MOP: An efficient and generic runtime verification framework</v>
      </c>
      <c r="I30" s="11">
        <f>IFERROR(__xludf.DUMMYFUNCTION("IF(ISBLANK(G30), """", IF(D30=""Scopus"", COUNTA(IMPORTRANGE(G30, ""references!D2:D"")), COUNTA(IMPORTRANGE(G30, ""references!C2:C""))))"),28.0)</f>
        <v>28</v>
      </c>
    </row>
    <row r="31">
      <c r="A31" s="4" t="b">
        <v>1</v>
      </c>
      <c r="B31" s="5" t="str">
        <f>IFERROR(__xludf.DUMMYFUNCTION("""COMPUTED_VALUE"""),"IEEE International Conference on Software Analysis, Evolution and Reengineering")</f>
        <v>IEEE International Conference on Software Analysis, Evolution and Reengineering</v>
      </c>
      <c r="C31" s="6" t="str">
        <f>IF(ISBLANK(B31), "", IF(COUNTIF(Conferences!A:A, B31)&gt;0, VLOOKUP(B31, Conferences!A:C, 3, FALSE), VLOOKUP(B31, Journals!A:C, 3, FALSE)))</f>
        <v>SANER</v>
      </c>
      <c r="D31" s="7" t="s">
        <v>9</v>
      </c>
      <c r="E31" s="8" t="s">
        <v>95</v>
      </c>
      <c r="F31" s="9" t="s">
        <v>96</v>
      </c>
      <c r="G31" s="10" t="s">
        <v>97</v>
      </c>
      <c r="H31" s="5" t="str">
        <f>IFERROR(__xludf.DUMMYFUNCTION("IF(ISBLANK(G31), """", IF(D31=""Scopus"", IMPORTRANGE(G31, ""references!D2:D2""), IMPORTRANGE(G31, ""references!C2:C2"")))"),"MulCS: Towards a Unified Deep Representation for Multilingual Code Search")</f>
        <v>MulCS: Towards a Unified Deep Representation for Multilingual Code Search</v>
      </c>
      <c r="I31" s="11">
        <f>IFERROR(__xludf.DUMMYFUNCTION("IF(ISBLANK(G31), """", IF(D31=""Scopus"", COUNTA(IMPORTRANGE(G31, ""references!D2:D"")), COUNTA(IMPORTRANGE(G31, ""references!C2:C""))))"),16.0)</f>
        <v>16</v>
      </c>
    </row>
    <row r="32">
      <c r="A32" s="4" t="b">
        <v>1</v>
      </c>
      <c r="B32" s="5" t="str">
        <f>IFERROR(__xludf.DUMMYFUNCTION("""COMPUTED_VALUE"""),"International Symposium on Software Engineering for Adaptive and Self-Managing Systems")</f>
        <v>International Symposium on Software Engineering for Adaptive and Self-Managing Systems</v>
      </c>
      <c r="C32" s="6" t="str">
        <f>IF(ISBLANK(B32), "", IF(COUNTIF(Conferences!A:A, B32)&gt;0, VLOOKUP(B32, Conferences!A:C, 3, FALSE), VLOOKUP(B32, Journals!A:C, 3, FALSE)))</f>
        <v>SEAMS</v>
      </c>
      <c r="D32" s="7" t="s">
        <v>9</v>
      </c>
      <c r="E32" s="8" t="s">
        <v>98</v>
      </c>
      <c r="F32" s="9" t="s">
        <v>99</v>
      </c>
      <c r="G32" s="12" t="s">
        <v>100</v>
      </c>
      <c r="H32" s="5" t="str">
        <f>IFERROR(__xludf.DUMMYFUNCTION("IF(ISBLANK(G32), """", IF(D32=""Scopus"", IMPORTRANGE(G32, ""references!D2:D2""), IMPORTRANGE(G32, ""references!C2:C2"")))"),"Using component ensembles for modeling autonomic component collaboration in smart farming")</f>
        <v>Using component ensembles for modeling autonomic component collaboration in smart farming</v>
      </c>
      <c r="I32" s="11">
        <f>IFERROR(__xludf.DUMMYFUNCTION("IF(ISBLANK(G32), """", IF(D32=""Scopus"", COUNTA(IMPORTRANGE(G32, ""references!D2:D"")), COUNTA(IMPORTRANGE(G32, ""references!C2:C""))))"),8.0)</f>
        <v>8</v>
      </c>
    </row>
    <row r="33">
      <c r="A33" s="4" t="b">
        <v>1</v>
      </c>
      <c r="B33" s="5" t="str">
        <f>IFERROR(__xludf.DUMMYFUNCTION("""COMPUTED_VALUE"""),"Tools and Algorithms for Construction and Analysis of Systems")</f>
        <v>Tools and Algorithms for Construction and Analysis of Systems</v>
      </c>
      <c r="C33" s="6" t="str">
        <f>IF(ISBLANK(B33), "", IF(COUNTIF(Conferences!A:A, B33)&gt;0, VLOOKUP(B33, Conferences!A:C, 3, FALSE), VLOOKUP(B33, Journals!A:C, 3, FALSE)))</f>
        <v>TACAS</v>
      </c>
      <c r="D33" s="7" t="s">
        <v>61</v>
      </c>
      <c r="E33" s="8" t="s">
        <v>101</v>
      </c>
      <c r="F33" s="9" t="s">
        <v>102</v>
      </c>
      <c r="G33" s="10" t="s">
        <v>103</v>
      </c>
      <c r="H33" s="5" t="str">
        <f>IFERROR(__xludf.DUMMYFUNCTION("IF(ISBLANK(G33), """", IF(D33=""Scopus"", IMPORTRANGE(G33, ""references!D2:D2""), IMPORTRANGE(G33, ""references!C2:C2"")))"),"On Memory-Block Traversal Problems in Model-Checking Timed-Systems")</f>
        <v>On Memory-Block Traversal Problems in Model-Checking Timed-Systems</v>
      </c>
      <c r="I33" s="11">
        <f>IFERROR(__xludf.DUMMYFUNCTION("IF(ISBLANK(G33), """", IF(D33=""Scopus"", COUNTA(IMPORTRANGE(G33, ""references!D2:D"")), COUNTA(IMPORTRANGE(G33, ""references!C2:C""))))"),1.0)</f>
        <v>1</v>
      </c>
    </row>
    <row r="34">
      <c r="A34" s="4" t="b">
        <v>1</v>
      </c>
      <c r="B34" s="5" t="str">
        <f>IFERROR(__xludf.DUMMYFUNCTION("""COMPUTED_VALUE"""),"International Working Conference on Requirements Engineering: Foundation for Software Quality")</f>
        <v>International Working Conference on Requirements Engineering: Foundation for Software Quality</v>
      </c>
      <c r="C34" s="6" t="str">
        <f>IF(ISBLANK(B34), "", IF(COUNTIF(Conferences!A:A, B34)&gt;0, VLOOKUP(B34, Conferences!A:C, 3, FALSE), VLOOKUP(B34, Journals!A:C, 3, FALSE)))</f>
        <v>REFSQ</v>
      </c>
      <c r="D34" s="7" t="s">
        <v>61</v>
      </c>
      <c r="E34" s="8" t="s">
        <v>104</v>
      </c>
      <c r="F34" s="9" t="s">
        <v>105</v>
      </c>
      <c r="G34" s="10" t="s">
        <v>106</v>
      </c>
      <c r="H34" s="5" t="str">
        <f>IFERROR(__xludf.DUMMYFUNCTION("IF(ISBLANK(G34), """", IF(D34=""Scopus"", IMPORTRANGE(G34, ""references!D2:D2""), IMPORTRANGE(G34, ""references!C2:C2"")))"),"Using Eye Tracking Data to Improve Requirements Specification Use")</f>
        <v>Using Eye Tracking Data to Improve Requirements Specification Use</v>
      </c>
      <c r="I34" s="11">
        <f>IFERROR(__xludf.DUMMYFUNCTION("IF(ISBLANK(G34), """", IF(D34=""Scopus"", COUNTA(IMPORTRANGE(G34, ""references!D2:D"")), COUNTA(IMPORTRANGE(G34, ""references!C2:C""))))"),20.0)</f>
        <v>20</v>
      </c>
    </row>
    <row r="35">
      <c r="A35" s="4" t="b">
        <v>1</v>
      </c>
      <c r="B35" s="5" t="str">
        <f>IFERROR(__xludf.DUMMYFUNCTION("""COMPUTED_VALUE"""),"International Conference on Product-Focused Software Process Improvement")</f>
        <v>International Conference on Product-Focused Software Process Improvement</v>
      </c>
      <c r="C35" s="6" t="str">
        <f>IF(ISBLANK(B35), "", IF(COUNTIF(Conferences!A:A, B35)&gt;0, VLOOKUP(B35, Conferences!A:C, 3, FALSE), VLOOKUP(B35, Journals!A:C, 3, FALSE)))</f>
        <v>PROFES</v>
      </c>
      <c r="D35" s="7" t="s">
        <v>61</v>
      </c>
      <c r="E35" s="8" t="s">
        <v>107</v>
      </c>
      <c r="F35" s="9" t="s">
        <v>108</v>
      </c>
      <c r="G35" s="12" t="s">
        <v>109</v>
      </c>
      <c r="H35" s="5" t="str">
        <f>IFERROR(__xludf.DUMMYFUNCTION("IF(ISBLANK(G35), """", IF(D35=""Scopus"", IMPORTRANGE(G35, ""references!D2:D2""), IMPORTRANGE(G35, ""references!C2:C2"")))"),"Using a Data-Driven Context Model to Support the Elicitation of Context-Aware Functionalities – A Controlled Experiment")</f>
        <v>Using a Data-Driven Context Model to Support the Elicitation of Context-Aware Functionalities – A Controlled Experiment</v>
      </c>
      <c r="I35" s="11">
        <f>IFERROR(__xludf.DUMMYFUNCTION("IF(ISBLANK(G35), """", IF(D35=""Scopus"", COUNTA(IMPORTRANGE(G35, ""references!D2:D"")), COUNTA(IMPORTRANGE(G35, ""references!C2:C""))))"),22.0)</f>
        <v>22</v>
      </c>
    </row>
    <row r="36">
      <c r="A36" s="4" t="b">
        <v>1</v>
      </c>
      <c r="B36" s="5" t="str">
        <f>IFERROR(__xludf.DUMMYFUNCTION("""COMPUTED_VALUE"""),"Euromicro Conference on Software Engineering and Advanced Applications")</f>
        <v>Euromicro Conference on Software Engineering and Advanced Applications</v>
      </c>
      <c r="C36" s="6" t="str">
        <f>IF(ISBLANK(B36), "", IF(COUNTIF(Conferences!A:A, B36)&gt;0, VLOOKUP(B36, Conferences!A:C, 3, FALSE), VLOOKUP(B36, Journals!A:C, 3, FALSE)))</f>
        <v>SEAA</v>
      </c>
      <c r="D36" s="7" t="s">
        <v>9</v>
      </c>
      <c r="E36" s="8" t="s">
        <v>110</v>
      </c>
      <c r="F36" s="9" t="s">
        <v>111</v>
      </c>
      <c r="G36" s="10" t="s">
        <v>112</v>
      </c>
      <c r="H36" s="5" t="str">
        <f>IFERROR(__xludf.DUMMYFUNCTION("IF(ISBLANK(G36), """", IF(D36=""Scopus"", IMPORTRANGE(G36, ""references!D2:D2""), IMPORTRANGE(G36, ""references!C2:C2"")))"),"The effect of competitor interaction on startup's product development")</f>
        <v>The effect of competitor interaction on startup's product development</v>
      </c>
      <c r="I36" s="11">
        <f>IFERROR(__xludf.DUMMYFUNCTION("IF(ISBLANK(G36), """", IF(D36=""Scopus"", COUNTA(IMPORTRANGE(G36, ""references!D2:D"")), COUNTA(IMPORTRANGE(G36, ""references!C2:C""))))"),23.0)</f>
        <v>23</v>
      </c>
    </row>
    <row r="37">
      <c r="A37" s="1">
        <f>COUNTIF(A2:A36, TRUE)</f>
        <v>35</v>
      </c>
      <c r="B37" s="2" t="s">
        <v>113</v>
      </c>
      <c r="C37" s="22"/>
      <c r="D37" s="22"/>
      <c r="E37" s="23"/>
      <c r="F37" s="23"/>
      <c r="G37" s="22"/>
      <c r="H37" s="23"/>
      <c r="I37" s="22">
        <f>SUM(I2:I36)</f>
        <v>1446</v>
      </c>
    </row>
  </sheetData>
  <conditionalFormatting sqref="A2:A36">
    <cfRule type="cellIs" dxfId="0" priority="1" operator="equal">
      <formula>"TRUE"</formula>
    </cfRule>
  </conditionalFormatting>
  <dataValidations>
    <dataValidation type="list" allowBlank="1" showErrorMessage="1" sqref="D2:D36">
      <formula1>"Scopus,ACM Library"</formula1>
    </dataValidation>
  </dataValidations>
  <hyperlinks>
    <hyperlink r:id="rId1" location="gid=319269851" ref="G2"/>
    <hyperlink r:id="rId2" location="gid=93092510" ref="G3"/>
    <hyperlink r:id="rId3" location="gid=1612515869" ref="G4"/>
    <hyperlink r:id="rId4" location="gid=1224761936" ref="G5"/>
    <hyperlink r:id="rId5" location="gid=2015104068" ref="G6"/>
    <hyperlink r:id="rId6" location="gid=211543681" ref="G7"/>
    <hyperlink r:id="rId7" location="gid=1917798017" ref="G8"/>
    <hyperlink r:id="rId8" location="gid=67356075" ref="G9"/>
    <hyperlink r:id="rId9" location="gid=975674041" ref="G10"/>
    <hyperlink r:id="rId10" location="gid=1396296961" ref="G11"/>
    <hyperlink r:id="rId11" ref="G12"/>
    <hyperlink r:id="rId12" location="gid=1069134018" ref="G13"/>
    <hyperlink r:id="rId13" location="gid=699010025" ref="G14"/>
    <hyperlink r:id="rId14" location="gid=179184925" ref="G15"/>
    <hyperlink r:id="rId15" location="gid=124726605" ref="G16"/>
    <hyperlink r:id="rId16" location="gid=278406573" ref="G17"/>
    <hyperlink r:id="rId17" location="gid=148061028" ref="G18"/>
    <hyperlink r:id="rId18" location="gid=6035656" ref="G19"/>
    <hyperlink r:id="rId19" location="gid=1595065698" ref="G20"/>
    <hyperlink r:id="rId20" location="gid=242159364" ref="G21"/>
    <hyperlink r:id="rId21" location="gid=1799234774" ref="G22"/>
    <hyperlink r:id="rId22" location="gid=520454048" ref="G23"/>
    <hyperlink r:id="rId23" location="gid=2125832681" ref="G24"/>
    <hyperlink r:id="rId24" location="gid=131874323" ref="G25"/>
    <hyperlink r:id="rId25" ref="G26"/>
    <hyperlink r:id="rId26" location="gid=1293119058" ref="G27"/>
    <hyperlink r:id="rId27" location="gid=1078202975" ref="G28"/>
    <hyperlink r:id="rId28" location="gid=677594614" ref="G29"/>
    <hyperlink r:id="rId29" location="gid=237537826" ref="G30"/>
    <hyperlink r:id="rId30" location="gid=1394394135" ref="G31"/>
    <hyperlink r:id="rId31" location="gid=11668175" ref="G32"/>
    <hyperlink r:id="rId32" location="gid=1918850643" ref="G33"/>
    <hyperlink r:id="rId33" location="gid=931158059" ref="G34"/>
    <hyperlink r:id="rId34" location="gid=1923005921" ref="G35"/>
    <hyperlink r:id="rId35" location="gid=494709066" ref="G36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63"/>
    <col customWidth="1" min="2" max="2" width="37.63"/>
    <col customWidth="1" min="4" max="4" width="5.13"/>
    <col customWidth="1" min="5" max="5" width="12.63"/>
  </cols>
  <sheetData>
    <row r="1">
      <c r="A1" s="2" t="s">
        <v>1</v>
      </c>
      <c r="B1" s="2" t="s">
        <v>114</v>
      </c>
      <c r="C1" s="3" t="s">
        <v>2</v>
      </c>
      <c r="D1" s="3" t="s">
        <v>115</v>
      </c>
      <c r="E1" s="3" t="s">
        <v>116</v>
      </c>
    </row>
    <row r="2">
      <c r="A2" s="8" t="s">
        <v>117</v>
      </c>
      <c r="B2" s="12" t="s">
        <v>118</v>
      </c>
      <c r="C2" s="7" t="s">
        <v>119</v>
      </c>
      <c r="D2" s="7" t="s">
        <v>120</v>
      </c>
      <c r="E2" s="7" t="s">
        <v>121</v>
      </c>
    </row>
    <row r="3">
      <c r="A3" s="8" t="s">
        <v>122</v>
      </c>
      <c r="B3" s="7"/>
      <c r="C3" s="7" t="s">
        <v>123</v>
      </c>
      <c r="D3" s="7" t="s">
        <v>120</v>
      </c>
      <c r="E3" s="7" t="s">
        <v>124</v>
      </c>
    </row>
    <row r="4">
      <c r="A4" s="8" t="s">
        <v>125</v>
      </c>
      <c r="B4" s="7"/>
      <c r="C4" s="7" t="s">
        <v>126</v>
      </c>
      <c r="D4" s="7" t="s">
        <v>120</v>
      </c>
      <c r="E4" s="7" t="s">
        <v>124</v>
      </c>
    </row>
    <row r="5">
      <c r="A5" s="8" t="s">
        <v>127</v>
      </c>
      <c r="B5" s="10" t="s">
        <v>128</v>
      </c>
      <c r="C5" s="7" t="s">
        <v>129</v>
      </c>
      <c r="D5" s="7" t="s">
        <v>120</v>
      </c>
      <c r="E5" s="7" t="s">
        <v>121</v>
      </c>
    </row>
    <row r="6">
      <c r="A6" s="8" t="s">
        <v>130</v>
      </c>
      <c r="B6" s="10" t="s">
        <v>131</v>
      </c>
      <c r="C6" s="7" t="s">
        <v>132</v>
      </c>
      <c r="D6" s="7" t="s">
        <v>120</v>
      </c>
      <c r="E6" s="7" t="s">
        <v>121</v>
      </c>
    </row>
    <row r="7">
      <c r="A7" s="8" t="s">
        <v>133</v>
      </c>
      <c r="B7" s="10" t="s">
        <v>134</v>
      </c>
      <c r="C7" s="7" t="s">
        <v>135</v>
      </c>
      <c r="D7" s="7" t="s">
        <v>120</v>
      </c>
      <c r="E7" s="7" t="s">
        <v>124</v>
      </c>
    </row>
    <row r="8">
      <c r="A8" s="8" t="s">
        <v>136</v>
      </c>
      <c r="B8" s="7"/>
      <c r="C8" s="7" t="s">
        <v>137</v>
      </c>
      <c r="D8" s="7" t="s">
        <v>120</v>
      </c>
      <c r="E8" s="7" t="s">
        <v>124</v>
      </c>
    </row>
    <row r="9">
      <c r="A9" s="8" t="s">
        <v>138</v>
      </c>
      <c r="B9" s="7"/>
      <c r="C9" s="7" t="s">
        <v>139</v>
      </c>
      <c r="D9" s="7" t="s">
        <v>120</v>
      </c>
      <c r="E9" s="7" t="s">
        <v>124</v>
      </c>
    </row>
    <row r="10">
      <c r="A10" s="8" t="s">
        <v>140</v>
      </c>
      <c r="B10" s="10" t="s">
        <v>141</v>
      </c>
      <c r="C10" s="7" t="s">
        <v>142</v>
      </c>
      <c r="D10" s="7" t="s">
        <v>120</v>
      </c>
      <c r="E10" s="7" t="s">
        <v>124</v>
      </c>
    </row>
    <row r="11">
      <c r="A11" s="8" t="s">
        <v>143</v>
      </c>
      <c r="B11" s="12" t="s">
        <v>144</v>
      </c>
      <c r="C11" s="7" t="s">
        <v>145</v>
      </c>
      <c r="D11" s="7" t="s">
        <v>146</v>
      </c>
      <c r="E11" s="7" t="s">
        <v>121</v>
      </c>
    </row>
    <row r="12">
      <c r="A12" s="8" t="s">
        <v>147</v>
      </c>
      <c r="B12" s="10" t="s">
        <v>148</v>
      </c>
      <c r="C12" s="7" t="s">
        <v>149</v>
      </c>
      <c r="D12" s="7" t="s">
        <v>146</v>
      </c>
      <c r="E12" s="7" t="s">
        <v>124</v>
      </c>
    </row>
    <row r="13">
      <c r="A13" s="8" t="s">
        <v>150</v>
      </c>
      <c r="B13" s="10" t="s">
        <v>151</v>
      </c>
      <c r="C13" s="7" t="s">
        <v>152</v>
      </c>
      <c r="D13" s="7" t="s">
        <v>146</v>
      </c>
      <c r="E13" s="7" t="s">
        <v>124</v>
      </c>
    </row>
    <row r="14">
      <c r="A14" s="8" t="s">
        <v>153</v>
      </c>
      <c r="B14" s="12" t="s">
        <v>154</v>
      </c>
      <c r="C14" s="7" t="s">
        <v>155</v>
      </c>
      <c r="D14" s="7" t="s">
        <v>146</v>
      </c>
      <c r="E14" s="7" t="s">
        <v>121</v>
      </c>
    </row>
    <row r="15">
      <c r="A15" s="8" t="s">
        <v>156</v>
      </c>
      <c r="B15" s="10" t="s">
        <v>157</v>
      </c>
      <c r="C15" s="7" t="s">
        <v>158</v>
      </c>
      <c r="D15" s="7" t="s">
        <v>146</v>
      </c>
      <c r="E15" s="7" t="s">
        <v>121</v>
      </c>
    </row>
    <row r="16">
      <c r="A16" s="8" t="s">
        <v>159</v>
      </c>
      <c r="B16" s="10" t="s">
        <v>160</v>
      </c>
      <c r="C16" s="7" t="s">
        <v>161</v>
      </c>
      <c r="D16" s="7" t="s">
        <v>146</v>
      </c>
      <c r="E16" s="7" t="s">
        <v>121</v>
      </c>
    </row>
    <row r="17">
      <c r="A17" s="8" t="s">
        <v>162</v>
      </c>
      <c r="B17" s="10" t="s">
        <v>163</v>
      </c>
      <c r="C17" s="7" t="s">
        <v>164</v>
      </c>
      <c r="D17" s="7" t="s">
        <v>146</v>
      </c>
      <c r="E17" s="7" t="s">
        <v>121</v>
      </c>
    </row>
    <row r="18">
      <c r="A18" s="8" t="s">
        <v>165</v>
      </c>
      <c r="B18" s="10" t="s">
        <v>166</v>
      </c>
      <c r="C18" s="7" t="s">
        <v>167</v>
      </c>
      <c r="D18" s="7" t="s">
        <v>146</v>
      </c>
      <c r="E18" s="7" t="s">
        <v>124</v>
      </c>
    </row>
    <row r="19">
      <c r="A19" s="8" t="s">
        <v>168</v>
      </c>
      <c r="B19" s="7"/>
      <c r="C19" s="7" t="s">
        <v>169</v>
      </c>
      <c r="D19" s="7" t="s">
        <v>146</v>
      </c>
      <c r="E19" s="7" t="s">
        <v>121</v>
      </c>
    </row>
    <row r="20">
      <c r="A20" s="8" t="s">
        <v>170</v>
      </c>
      <c r="B20" s="7"/>
      <c r="C20" s="7" t="s">
        <v>171</v>
      </c>
      <c r="D20" s="7" t="s">
        <v>146</v>
      </c>
      <c r="E20" s="7" t="s">
        <v>124</v>
      </c>
    </row>
    <row r="21">
      <c r="A21" s="8" t="s">
        <v>172</v>
      </c>
      <c r="B21" s="7"/>
      <c r="C21" s="7" t="s">
        <v>173</v>
      </c>
      <c r="D21" s="7" t="s">
        <v>146</v>
      </c>
      <c r="E21" s="7" t="s">
        <v>121</v>
      </c>
    </row>
    <row r="22">
      <c r="A22" s="8" t="s">
        <v>174</v>
      </c>
      <c r="B22" s="10" t="s">
        <v>175</v>
      </c>
      <c r="C22" s="7" t="s">
        <v>176</v>
      </c>
      <c r="D22" s="7" t="s">
        <v>146</v>
      </c>
      <c r="E22" s="7" t="s">
        <v>121</v>
      </c>
    </row>
    <row r="23">
      <c r="A23" s="8" t="s">
        <v>177</v>
      </c>
      <c r="B23" s="12" t="s">
        <v>178</v>
      </c>
      <c r="C23" s="7" t="s">
        <v>179</v>
      </c>
      <c r="D23" s="7" t="s">
        <v>146</v>
      </c>
      <c r="E23" s="7" t="s">
        <v>121</v>
      </c>
    </row>
    <row r="24">
      <c r="A24" s="8" t="s">
        <v>180</v>
      </c>
      <c r="B24" s="12" t="s">
        <v>181</v>
      </c>
      <c r="C24" s="7" t="s">
        <v>182</v>
      </c>
      <c r="D24" s="7" t="s">
        <v>146</v>
      </c>
      <c r="E24" s="7" t="s">
        <v>121</v>
      </c>
    </row>
    <row r="25">
      <c r="A25" s="8" t="s">
        <v>183</v>
      </c>
      <c r="B25" s="12" t="s">
        <v>184</v>
      </c>
      <c r="C25" s="7" t="s">
        <v>185</v>
      </c>
      <c r="D25" s="7" t="s">
        <v>146</v>
      </c>
      <c r="E25" s="7" t="s">
        <v>121</v>
      </c>
    </row>
    <row r="26">
      <c r="A26" s="8" t="s">
        <v>186</v>
      </c>
      <c r="B26" s="7"/>
      <c r="C26" s="7" t="s">
        <v>187</v>
      </c>
      <c r="D26" s="7" t="s">
        <v>146</v>
      </c>
      <c r="E26" s="7" t="s">
        <v>124</v>
      </c>
    </row>
    <row r="27">
      <c r="A27" s="8" t="s">
        <v>188</v>
      </c>
      <c r="B27" s="10" t="s">
        <v>189</v>
      </c>
      <c r="C27" s="7" t="s">
        <v>190</v>
      </c>
      <c r="D27" s="7" t="s">
        <v>146</v>
      </c>
      <c r="E27" s="7" t="s">
        <v>121</v>
      </c>
    </row>
    <row r="28">
      <c r="A28" s="8" t="s">
        <v>191</v>
      </c>
      <c r="B28" s="12" t="s">
        <v>192</v>
      </c>
      <c r="C28" s="7" t="s">
        <v>193</v>
      </c>
      <c r="D28" s="7" t="s">
        <v>146</v>
      </c>
      <c r="E28" s="7" t="s">
        <v>121</v>
      </c>
    </row>
    <row r="29">
      <c r="A29" s="8" t="s">
        <v>194</v>
      </c>
      <c r="B29" s="12" t="s">
        <v>195</v>
      </c>
      <c r="C29" s="7" t="s">
        <v>196</v>
      </c>
      <c r="D29" s="7" t="s">
        <v>146</v>
      </c>
      <c r="E29" s="7" t="s">
        <v>121</v>
      </c>
    </row>
    <row r="30">
      <c r="A30" s="8" t="s">
        <v>197</v>
      </c>
      <c r="B30" s="10" t="s">
        <v>198</v>
      </c>
      <c r="C30" s="7" t="s">
        <v>199</v>
      </c>
      <c r="D30" s="7" t="s">
        <v>146</v>
      </c>
      <c r="E30" s="7" t="s">
        <v>121</v>
      </c>
    </row>
    <row r="31">
      <c r="A31" s="8" t="s">
        <v>200</v>
      </c>
      <c r="B31" s="10" t="s">
        <v>201</v>
      </c>
      <c r="C31" s="7" t="s">
        <v>202</v>
      </c>
      <c r="D31" s="7" t="s">
        <v>146</v>
      </c>
      <c r="E31" s="7" t="s">
        <v>121</v>
      </c>
    </row>
    <row r="32">
      <c r="A32" s="8" t="s">
        <v>203</v>
      </c>
      <c r="B32" s="10" t="s">
        <v>204</v>
      </c>
      <c r="C32" s="7" t="s">
        <v>205</v>
      </c>
      <c r="D32" s="7" t="s">
        <v>146</v>
      </c>
      <c r="E32" s="7" t="s">
        <v>121</v>
      </c>
    </row>
    <row r="33">
      <c r="A33" s="8" t="s">
        <v>206</v>
      </c>
      <c r="B33" s="10" t="s">
        <v>207</v>
      </c>
      <c r="C33" s="7" t="s">
        <v>208</v>
      </c>
      <c r="D33" s="7" t="s">
        <v>146</v>
      </c>
      <c r="E33" s="7" t="s">
        <v>121</v>
      </c>
    </row>
    <row r="34">
      <c r="A34" s="8" t="s">
        <v>209</v>
      </c>
      <c r="B34" s="12" t="s">
        <v>210</v>
      </c>
      <c r="C34" s="7" t="s">
        <v>211</v>
      </c>
      <c r="D34" s="7" t="s">
        <v>146</v>
      </c>
      <c r="E34" s="7" t="s">
        <v>121</v>
      </c>
    </row>
    <row r="35">
      <c r="A35" s="7" t="s">
        <v>212</v>
      </c>
      <c r="B35" s="12" t="s">
        <v>213</v>
      </c>
      <c r="C35" s="7" t="s">
        <v>214</v>
      </c>
      <c r="D35" s="7" t="s">
        <v>215</v>
      </c>
      <c r="E35" s="7" t="s">
        <v>121</v>
      </c>
    </row>
    <row r="36">
      <c r="A36" s="8" t="s">
        <v>216</v>
      </c>
      <c r="B36" s="24" t="s">
        <v>217</v>
      </c>
      <c r="C36" s="7" t="s">
        <v>218</v>
      </c>
      <c r="D36" s="7" t="s">
        <v>215</v>
      </c>
      <c r="E36" s="7" t="s">
        <v>121</v>
      </c>
    </row>
    <row r="37">
      <c r="A37" s="7" t="s">
        <v>219</v>
      </c>
      <c r="B37" s="12" t="s">
        <v>220</v>
      </c>
      <c r="C37" s="7" t="s">
        <v>221</v>
      </c>
      <c r="D37" s="7" t="s">
        <v>215</v>
      </c>
      <c r="E37" s="7" t="s">
        <v>121</v>
      </c>
    </row>
  </sheetData>
  <dataValidations>
    <dataValidation type="list" allowBlank="1" showErrorMessage="1" sqref="E2:E37">
      <formula1>"Relevant,Unknown,Irrelevant"</formula1>
    </dataValidation>
  </dataValidations>
  <hyperlinks>
    <hyperlink r:id="rId1" ref="B2"/>
    <hyperlink r:id="rId2" ref="B5"/>
    <hyperlink r:id="rId3" ref="B6"/>
    <hyperlink r:id="rId4" ref="B7"/>
    <hyperlink r:id="rId5" ref="B10"/>
    <hyperlink r:id="rId6" ref="B11"/>
    <hyperlink r:id="rId7" ref="B12"/>
    <hyperlink r:id="rId8" ref="B13"/>
    <hyperlink r:id="rId9" ref="B14"/>
    <hyperlink r:id="rId10" ref="B15"/>
    <hyperlink r:id="rId11" ref="B16"/>
    <hyperlink r:id="rId12" ref="B17"/>
    <hyperlink r:id="rId13" ref="B18"/>
    <hyperlink r:id="rId14" ref="B22"/>
    <hyperlink r:id="rId15" ref="B23"/>
    <hyperlink r:id="rId16" ref="B24"/>
    <hyperlink r:id="rId17" ref="B25"/>
    <hyperlink r:id="rId18" ref="B27"/>
    <hyperlink r:id="rId19" ref="B28"/>
    <hyperlink r:id="rId20" ref="B29"/>
    <hyperlink r:id="rId21" ref="B30"/>
    <hyperlink r:id="rId22" ref="B31"/>
    <hyperlink r:id="rId23" ref="B32"/>
    <hyperlink r:id="rId24" ref="B33"/>
    <hyperlink r:id="rId25" ref="B34"/>
    <hyperlink r:id="rId26" ref="B35"/>
    <hyperlink r:id="rId27" ref="B36"/>
    <hyperlink r:id="rId28" ref="B37"/>
  </hyperlinks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63"/>
    <col customWidth="1" min="2" max="2" width="37.63"/>
    <col customWidth="1" min="4" max="4" width="5.13"/>
    <col customWidth="1" min="5" max="5" width="12.63"/>
  </cols>
  <sheetData>
    <row r="1">
      <c r="A1" s="2" t="s">
        <v>1</v>
      </c>
      <c r="B1" s="2" t="s">
        <v>114</v>
      </c>
      <c r="C1" s="3" t="s">
        <v>2</v>
      </c>
      <c r="D1" s="3" t="s">
        <v>115</v>
      </c>
      <c r="E1" s="3" t="s">
        <v>116</v>
      </c>
    </row>
    <row r="2">
      <c r="A2" s="8" t="s">
        <v>222</v>
      </c>
      <c r="B2" s="12" t="s">
        <v>223</v>
      </c>
      <c r="C2" s="7" t="s">
        <v>224</v>
      </c>
      <c r="D2" s="7" t="s">
        <v>120</v>
      </c>
      <c r="E2" s="7" t="s">
        <v>121</v>
      </c>
    </row>
    <row r="3">
      <c r="A3" s="8" t="s">
        <v>225</v>
      </c>
      <c r="B3" s="12" t="s">
        <v>226</v>
      </c>
      <c r="C3" s="7" t="s">
        <v>227</v>
      </c>
      <c r="D3" s="7" t="s">
        <v>120</v>
      </c>
      <c r="E3" s="7" t="s">
        <v>124</v>
      </c>
    </row>
    <row r="4">
      <c r="A4" s="8" t="s">
        <v>228</v>
      </c>
      <c r="B4" s="10" t="s">
        <v>229</v>
      </c>
      <c r="C4" s="7" t="s">
        <v>230</v>
      </c>
      <c r="D4" s="7" t="s">
        <v>120</v>
      </c>
      <c r="E4" s="7" t="s">
        <v>124</v>
      </c>
    </row>
    <row r="5">
      <c r="A5" s="8" t="s">
        <v>231</v>
      </c>
      <c r="B5" s="10" t="s">
        <v>232</v>
      </c>
      <c r="C5" s="7" t="s">
        <v>233</v>
      </c>
      <c r="D5" s="7" t="s">
        <v>120</v>
      </c>
      <c r="E5" s="7" t="s">
        <v>121</v>
      </c>
    </row>
    <row r="6">
      <c r="A6" s="8" t="s">
        <v>234</v>
      </c>
      <c r="B6" s="12" t="s">
        <v>235</v>
      </c>
      <c r="C6" s="7" t="s">
        <v>236</v>
      </c>
      <c r="D6" s="7" t="s">
        <v>120</v>
      </c>
      <c r="E6" s="7" t="s">
        <v>124</v>
      </c>
    </row>
    <row r="7">
      <c r="A7" s="8" t="s">
        <v>237</v>
      </c>
      <c r="C7" s="7" t="s">
        <v>238</v>
      </c>
      <c r="D7" s="7" t="s">
        <v>120</v>
      </c>
      <c r="E7" s="7" t="s">
        <v>124</v>
      </c>
    </row>
    <row r="8">
      <c r="A8" s="8" t="s">
        <v>239</v>
      </c>
      <c r="D8" s="7" t="s">
        <v>120</v>
      </c>
      <c r="E8" s="7" t="s">
        <v>124</v>
      </c>
    </row>
    <row r="9">
      <c r="A9" s="8" t="s">
        <v>240</v>
      </c>
      <c r="B9" s="10" t="s">
        <v>241</v>
      </c>
      <c r="C9" s="7" t="s">
        <v>242</v>
      </c>
      <c r="D9" s="7" t="s">
        <v>120</v>
      </c>
      <c r="E9" s="7" t="s">
        <v>121</v>
      </c>
    </row>
    <row r="10">
      <c r="A10" s="8" t="s">
        <v>243</v>
      </c>
      <c r="D10" s="7" t="s">
        <v>146</v>
      </c>
      <c r="E10" s="7" t="s">
        <v>124</v>
      </c>
    </row>
    <row r="11">
      <c r="A11" s="8" t="s">
        <v>244</v>
      </c>
      <c r="B11" s="10" t="s">
        <v>245</v>
      </c>
      <c r="C11" s="7" t="s">
        <v>246</v>
      </c>
      <c r="D11" s="7" t="s">
        <v>146</v>
      </c>
      <c r="E11" s="7" t="s">
        <v>121</v>
      </c>
    </row>
    <row r="12">
      <c r="A12" s="8" t="s">
        <v>247</v>
      </c>
      <c r="B12" s="10" t="s">
        <v>248</v>
      </c>
      <c r="C12" s="7" t="s">
        <v>249</v>
      </c>
      <c r="D12" s="7" t="s">
        <v>146</v>
      </c>
      <c r="E12" s="7" t="s">
        <v>121</v>
      </c>
    </row>
    <row r="13">
      <c r="A13" s="8" t="s">
        <v>250</v>
      </c>
      <c r="B13" s="12" t="s">
        <v>251</v>
      </c>
      <c r="C13" s="7" t="s">
        <v>252</v>
      </c>
      <c r="D13" s="7" t="s">
        <v>146</v>
      </c>
      <c r="E13" s="7" t="s">
        <v>121</v>
      </c>
    </row>
    <row r="14">
      <c r="A14" s="8" t="s">
        <v>253</v>
      </c>
      <c r="B14" s="12" t="s">
        <v>254</v>
      </c>
      <c r="C14" s="7" t="s">
        <v>255</v>
      </c>
      <c r="D14" s="7" t="s">
        <v>146</v>
      </c>
      <c r="E14" s="7" t="s">
        <v>124</v>
      </c>
    </row>
    <row r="15">
      <c r="A15" s="8" t="s">
        <v>256</v>
      </c>
      <c r="B15" s="10" t="s">
        <v>257</v>
      </c>
      <c r="C15" s="7" t="s">
        <v>258</v>
      </c>
      <c r="D15" s="7" t="s">
        <v>146</v>
      </c>
      <c r="E15" s="7" t="s">
        <v>121</v>
      </c>
    </row>
    <row r="16">
      <c r="A16" s="8" t="s">
        <v>259</v>
      </c>
      <c r="D16" s="7" t="s">
        <v>146</v>
      </c>
      <c r="E16" s="7" t="s">
        <v>124</v>
      </c>
    </row>
    <row r="17">
      <c r="A17" s="8" t="s">
        <v>260</v>
      </c>
      <c r="D17" s="7" t="s">
        <v>146</v>
      </c>
      <c r="E17" s="7" t="s">
        <v>124</v>
      </c>
    </row>
    <row r="18">
      <c r="A18" s="8" t="s">
        <v>261</v>
      </c>
      <c r="D18" s="7" t="s">
        <v>146</v>
      </c>
      <c r="E18" s="7" t="s">
        <v>124</v>
      </c>
    </row>
    <row r="19">
      <c r="A19" s="8" t="s">
        <v>262</v>
      </c>
      <c r="B19" s="10" t="s">
        <v>263</v>
      </c>
      <c r="C19" s="7" t="s">
        <v>264</v>
      </c>
      <c r="D19" s="7" t="s">
        <v>146</v>
      </c>
      <c r="E19" s="7" t="s">
        <v>121</v>
      </c>
    </row>
    <row r="20">
      <c r="A20" s="8" t="s">
        <v>265</v>
      </c>
      <c r="D20" s="7" t="s">
        <v>146</v>
      </c>
      <c r="E20" s="7" t="s">
        <v>124</v>
      </c>
    </row>
    <row r="21">
      <c r="A21" s="8" t="s">
        <v>266</v>
      </c>
      <c r="D21" s="7" t="s">
        <v>146</v>
      </c>
      <c r="E21" s="7" t="s">
        <v>124</v>
      </c>
    </row>
    <row r="22">
      <c r="A22" s="8" t="s">
        <v>267</v>
      </c>
      <c r="B22" s="10" t="s">
        <v>268</v>
      </c>
      <c r="C22" s="7" t="s">
        <v>269</v>
      </c>
      <c r="D22" s="7" t="s">
        <v>215</v>
      </c>
      <c r="E22" s="7" t="s">
        <v>121</v>
      </c>
    </row>
    <row r="23">
      <c r="A23" s="8" t="s">
        <v>270</v>
      </c>
      <c r="B23" s="12" t="s">
        <v>271</v>
      </c>
      <c r="C23" s="7" t="s">
        <v>272</v>
      </c>
      <c r="D23" s="7" t="s">
        <v>215</v>
      </c>
      <c r="E23" s="7" t="s">
        <v>121</v>
      </c>
    </row>
  </sheetData>
  <dataValidations>
    <dataValidation type="list" allowBlank="1" showErrorMessage="1" sqref="E2:E23">
      <formula1>"Relevant,Unknown,Irrelevant"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9"/>
    <hyperlink r:id="rId7" ref="B11"/>
    <hyperlink r:id="rId8" ref="B12"/>
    <hyperlink r:id="rId9" ref="B13"/>
    <hyperlink r:id="rId10" ref="B14"/>
    <hyperlink r:id="rId11" ref="B15"/>
    <hyperlink r:id="rId12" ref="B19"/>
    <hyperlink r:id="rId13" ref="B22"/>
    <hyperlink r:id="rId14" ref="B23"/>
  </hyperlinks>
  <drawing r:id="rId15"/>
</worksheet>
</file>