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ndidates" sheetId="1" r:id="rId4"/>
    <sheet state="visible" name="Venues" sheetId="2" r:id="rId5"/>
    <sheet state="visible" name="Overlap" sheetId="3" r:id="rId6"/>
    <sheet state="visible" name="Overlap 2" sheetId="4" r:id="rId7"/>
    <sheet state="visible" name="Agreement" sheetId="5" r:id="rId8"/>
    <sheet state="visible" name="Agreement 2" sheetId="6" r:id="rId9"/>
  </sheets>
  <definedNames>
    <definedName hidden="1" localSheetId="0" name="_xlnm._FilterDatabase">Candidates!$I$1:$P$1447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1028">
      <text>
        <t xml:space="preserve">this DOI is incorrect
	-Julian Frattini
It should be 10.1109/RE.2007.17
	-Julian Frattini</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Check this box when done deciding the respective primary study.
	-Julian Frattini</t>
      </text>
    </comment>
    <comment authorId="0" ref="O1">
      <text>
        <t xml:space="preserve">Verdict (i.e., included or not), which is automatically determined
	-Julian Frattini</t>
      </text>
    </comment>
    <comment authorId="0" ref="P1">
      <text>
        <t xml:space="preserve">Select if you are unsure about the inclusion/exclision
	-Julian Frattini</t>
      </text>
    </comment>
    <comment authorId="0" ref="N1">
      <text>
        <t xml:space="preserve">The study is a duplicate or extension of an already included study.
	-Julian Frattini</t>
      </text>
    </comment>
    <comment authorId="0" ref="M1">
      <text>
        <t xml:space="preserve">The publication is not available via BTH’s access program.
	-Julian Frattini</t>
      </text>
    </comment>
    <comment authorId="0" ref="L1">
      <text>
        <t xml:space="preserve">The study is not written in English.
	-Julian Frattini</t>
      </text>
    </comment>
    <comment authorId="0" ref="K1">
      <text>
        <t xml:space="preserve">The output of the experimental task is not a variant of the input requirement.
	-Julian Frattini</t>
      </text>
    </comment>
    <comment authorId="0" ref="J1">
      <text>
        <t xml:space="preserve">The experimental task uses a requirements specification as an input.
	-Julian Frattini</t>
      </text>
    </comment>
    <comment authorId="0" ref="I1">
      <text>
        <t xml:space="preserve">The primary study presents an experiment with human subjects as one of its core contributions.
	-Julian Frattini</t>
      </text>
    </comment>
  </commentList>
</comments>
</file>

<file path=xl/comments3.xml><?xml version="1.0" encoding="utf-8"?>
<comments xmlns:r="http://schemas.openxmlformats.org/officeDocument/2006/relationships" xmlns="http://schemas.openxmlformats.org/spreadsheetml/2006/main">
  <authors>
    <author/>
  </authors>
  <commentList>
    <comment authorId="0" ref="Q15">
      <text>
        <t xml:space="preserve">@julian.frattini95@gmail.com
_julian.frattini95@gmail.com zugewiesen_
	-Jannik Fischbach</t>
      </text>
    </comment>
  </commentList>
</comments>
</file>

<file path=xl/sharedStrings.xml><?xml version="1.0" encoding="utf-8"?>
<sst xmlns="http://schemas.openxmlformats.org/spreadsheetml/2006/main" count="1716" uniqueCount="1548">
  <si>
    <t>ID</t>
  </si>
  <si>
    <t>DOI</t>
  </si>
  <si>
    <t>Authors</t>
  </si>
  <si>
    <t>Title</t>
  </si>
  <si>
    <t>Venue</t>
  </si>
  <si>
    <t>Abstract</t>
  </si>
  <si>
    <t>Keywords</t>
  </si>
  <si>
    <t>I1</t>
  </si>
  <si>
    <t>I2</t>
  </si>
  <si>
    <t>I3</t>
  </si>
  <si>
    <t>E1</t>
  </si>
  <si>
    <t>E2</t>
  </si>
  <si>
    <t>E3</t>
  </si>
  <si>
    <t>V</t>
  </si>
  <si>
    <t>?</t>
  </si>
  <si>
    <t>Comments</t>
  </si>
  <si>
    <t>Not an experiment, but a survey</t>
  </si>
  <si>
    <t>E4</t>
  </si>
  <si>
    <t>E5</t>
  </si>
  <si>
    <t>E6</t>
  </si>
  <si>
    <t>E7</t>
  </si>
  <si>
    <t>E8</t>
  </si>
  <si>
    <t>E9</t>
  </si>
  <si>
    <t>E10</t>
  </si>
  <si>
    <t>E11</t>
  </si>
  <si>
    <t>E12</t>
  </si>
  <si>
    <t>E13</t>
  </si>
  <si>
    <t>E14</t>
  </si>
  <si>
    <t>E15</t>
  </si>
  <si>
    <t>E16</t>
  </si>
  <si>
    <t>"Experimental results on some case studies" tends to mean "case studies" rather than "experiments"</t>
  </si>
  <si>
    <t>E17</t>
  </si>
  <si>
    <t>E18</t>
  </si>
  <si>
    <t>E19</t>
  </si>
  <si>
    <t>Models can potentially specify requirements. In that case, I2 is fulfilled</t>
  </si>
  <si>
    <t>E20</t>
  </si>
  <si>
    <t>A DRD is not a requirements document</t>
  </si>
  <si>
    <t>E21</t>
  </si>
  <si>
    <t>E22</t>
  </si>
  <si>
    <t>E23</t>
  </si>
  <si>
    <t>E24</t>
  </si>
  <si>
    <t>E25</t>
  </si>
  <si>
    <t>E26</t>
  </si>
  <si>
    <t>E27</t>
  </si>
  <si>
    <t>E28</t>
  </si>
  <si>
    <t>E29</t>
  </si>
  <si>
    <t>E30</t>
  </si>
  <si>
    <t>The abstract does not present any artifacts generated by the experimental task - rather, the output of the task seems to be used to improve the input (the requirements specifications)</t>
  </si>
  <si>
    <t>E31</t>
  </si>
  <si>
    <t>E32</t>
  </si>
  <si>
    <t>Not really an experiment, and the output of the task is an improved version of the input, hence I3 is also no met</t>
  </si>
  <si>
    <t>E33</t>
  </si>
  <si>
    <t>E34</t>
  </si>
  <si>
    <t>E35</t>
  </si>
  <si>
    <t>We can assume that "graphical and textual pattern-based behavioral constraint representations" are some sort of requirements specifications</t>
  </si>
  <si>
    <t>E36</t>
  </si>
  <si>
    <t>E37</t>
  </si>
  <si>
    <t>E38</t>
  </si>
  <si>
    <t>E39</t>
  </si>
  <si>
    <t>E40</t>
  </si>
  <si>
    <t>We do not consider test cases as requirements specifications</t>
  </si>
  <si>
    <t>E41</t>
  </si>
  <si>
    <t>E42</t>
  </si>
  <si>
    <t>"Experimental results" are not a clear enough indicator for I1</t>
  </si>
  <si>
    <t>E43</t>
  </si>
  <si>
    <t>E44</t>
  </si>
  <si>
    <t>E45</t>
  </si>
  <si>
    <t>The abstract does not mention an experiment, but the title does. The input to the experimental task seems to be safety requirements and a design in SysML, the output a conformance score.</t>
  </si>
  <si>
    <t>E46</t>
  </si>
  <si>
    <t>I3 is not met as this approach aims to improve the input requirements, not produce new artifacts for the SE process</t>
  </si>
  <si>
    <t>E47</t>
  </si>
  <si>
    <t>E48</t>
  </si>
  <si>
    <t>E49</t>
  </si>
  <si>
    <t>E50</t>
  </si>
  <si>
    <t>E51</t>
  </si>
  <si>
    <t>E52</t>
  </si>
  <si>
    <t>E53</t>
  </si>
  <si>
    <t>The input to the experimental task, the documentation of the design patterns, is a solution-space document, not a problem-space document</t>
  </si>
  <si>
    <t>E54</t>
  </si>
  <si>
    <t>E55</t>
  </si>
  <si>
    <t>E56</t>
  </si>
  <si>
    <t>E57</t>
  </si>
  <si>
    <t>E58</t>
  </si>
  <si>
    <t>E59</t>
  </si>
  <si>
    <t>E60</t>
  </si>
  <si>
    <t>E61</t>
  </si>
  <si>
    <t>E62</t>
  </si>
  <si>
    <t>E63</t>
  </si>
  <si>
    <t>E64</t>
  </si>
  <si>
    <t>E65</t>
  </si>
  <si>
    <t>E66</t>
  </si>
  <si>
    <t>E67</t>
  </si>
  <si>
    <t>Not really an experiment, but an interesting case of requirements-impact prediction</t>
  </si>
  <si>
    <t>E68</t>
  </si>
  <si>
    <t>E69</t>
  </si>
  <si>
    <t>E70</t>
  </si>
  <si>
    <t>E71</t>
  </si>
  <si>
    <t>E72</t>
  </si>
  <si>
    <t>E73</t>
  </si>
  <si>
    <t>E74</t>
  </si>
  <si>
    <t>E75</t>
  </si>
  <si>
    <t>E76</t>
  </si>
  <si>
    <t>Not an experiment, but "test case prioritization based on requirements" is an interesting candidate for a requirements-dependent activity</t>
  </si>
  <si>
    <t>E77</t>
  </si>
  <si>
    <t>E78</t>
  </si>
  <si>
    <t>E79</t>
  </si>
  <si>
    <t>E80</t>
  </si>
  <si>
    <t>E81</t>
  </si>
  <si>
    <t>E82</t>
  </si>
  <si>
    <t>E83</t>
  </si>
  <si>
    <t>E84</t>
  </si>
  <si>
    <t>E85</t>
  </si>
  <si>
    <t>E86</t>
  </si>
  <si>
    <t>E87</t>
  </si>
  <si>
    <t>E88</t>
  </si>
  <si>
    <t>E89</t>
  </si>
  <si>
    <t>E90</t>
  </si>
  <si>
    <t>E91</t>
  </si>
  <si>
    <t>E92</t>
  </si>
  <si>
    <t>E93</t>
  </si>
  <si>
    <t>E94</t>
  </si>
  <si>
    <t>E95</t>
  </si>
  <si>
    <t>E96</t>
  </si>
  <si>
    <t>E97</t>
  </si>
  <si>
    <t>E98</t>
  </si>
  <si>
    <t>Interesting abstract, but not fitting for our search: requirements are the input, not the output of the experimental task.</t>
  </si>
  <si>
    <t>E99</t>
  </si>
  <si>
    <t>E100</t>
  </si>
  <si>
    <t>E101</t>
  </si>
  <si>
    <t>The input to the experimental task is a "system specification", which is not a requirements artifact.</t>
  </si>
  <si>
    <t>E102</t>
  </si>
  <si>
    <t>E103</t>
  </si>
  <si>
    <t>E104</t>
  </si>
  <si>
    <t>E105</t>
  </si>
  <si>
    <t>E106</t>
  </si>
  <si>
    <t>E107</t>
  </si>
  <si>
    <t>Not quite our definition of experiments</t>
  </si>
  <si>
    <t>E108</t>
  </si>
  <si>
    <t>E109</t>
  </si>
  <si>
    <t>E110</t>
  </si>
  <si>
    <t>E111</t>
  </si>
  <si>
    <t>E112</t>
  </si>
  <si>
    <t>E113</t>
  </si>
  <si>
    <t>E114</t>
  </si>
  <si>
    <t>Interesting abstract, but it does not instill confidence that I1 is met.</t>
  </si>
  <si>
    <t>E115</t>
  </si>
  <si>
    <t>E116</t>
  </si>
  <si>
    <t>E117</t>
  </si>
  <si>
    <t>E118</t>
  </si>
  <si>
    <t>E119</t>
  </si>
  <si>
    <t>E120</t>
  </si>
  <si>
    <t>E121</t>
  </si>
  <si>
    <t>E122</t>
  </si>
  <si>
    <t>E123</t>
  </si>
  <si>
    <t>E124</t>
  </si>
  <si>
    <t>E125</t>
  </si>
  <si>
    <t>E126</t>
  </si>
  <si>
    <t>E127</t>
  </si>
  <si>
    <t>E128</t>
  </si>
  <si>
    <t>E129</t>
  </si>
  <si>
    <t>E130</t>
  </si>
  <si>
    <t>E131</t>
  </si>
  <si>
    <t>E132</t>
  </si>
  <si>
    <t>E133</t>
  </si>
  <si>
    <t>E134</t>
  </si>
  <si>
    <t>E135</t>
  </si>
  <si>
    <t>E136</t>
  </si>
  <si>
    <t>E137</t>
  </si>
  <si>
    <t>E138</t>
  </si>
  <si>
    <t>E139</t>
  </si>
  <si>
    <t>E140</t>
  </si>
  <si>
    <t>The authors claim that they perform a controlled experiment, which we have to believe for now</t>
  </si>
  <si>
    <t>E141</t>
  </si>
  <si>
    <t>E142</t>
  </si>
  <si>
    <t>E143</t>
  </si>
  <si>
    <t>E144</t>
  </si>
  <si>
    <t>E145</t>
  </si>
  <si>
    <t>E146</t>
  </si>
  <si>
    <t>I2 is only met when assuming that issue reports can contain requirements (which some RE researchers subscribe to).</t>
  </si>
  <si>
    <t>E147</t>
  </si>
  <si>
    <t>E148</t>
  </si>
  <si>
    <t>E149</t>
  </si>
  <si>
    <t>E150</t>
  </si>
  <si>
    <t>E151</t>
  </si>
  <si>
    <t>E152</t>
  </si>
  <si>
    <t>E153</t>
  </si>
  <si>
    <t>E154</t>
  </si>
  <si>
    <t>"Some application examples and experimental results are provided" is not strong enough to assume that I1 is met.</t>
  </si>
  <si>
    <t>E155</t>
  </si>
  <si>
    <t>E156</t>
  </si>
  <si>
    <t>E157</t>
  </si>
  <si>
    <t>I2 is only met when assuming that LTL, PSP, and EPL are used to specify requirements, not the system.</t>
  </si>
  <si>
    <t>E158</t>
  </si>
  <si>
    <t>E159</t>
  </si>
  <si>
    <t>E160</t>
  </si>
  <si>
    <t>The method is not really an experiment. There is no factor among the independent variables</t>
  </si>
  <si>
    <t>E161</t>
  </si>
  <si>
    <t>E162</t>
  </si>
  <si>
    <t>E163</t>
  </si>
  <si>
    <t>E164</t>
  </si>
  <si>
    <t>Extension of E145</t>
  </si>
  <si>
    <t>E165</t>
  </si>
  <si>
    <t>E166</t>
  </si>
  <si>
    <t>E167</t>
  </si>
  <si>
    <t>E168</t>
  </si>
  <si>
    <t>E169</t>
  </si>
  <si>
    <t>E170</t>
  </si>
  <si>
    <t>E171</t>
  </si>
  <si>
    <t>E172</t>
  </si>
  <si>
    <t>E173</t>
  </si>
  <si>
    <t>E174</t>
  </si>
  <si>
    <t>Duplicate to E160</t>
  </si>
  <si>
    <t>E175</t>
  </si>
  <si>
    <t>E176</t>
  </si>
  <si>
    <t>E177</t>
  </si>
  <si>
    <t>E178</t>
  </si>
  <si>
    <t>E179</t>
  </si>
  <si>
    <t>E180</t>
  </si>
  <si>
    <t>E181</t>
  </si>
  <si>
    <t>E182</t>
  </si>
  <si>
    <t>E183</t>
  </si>
  <si>
    <t>E184</t>
  </si>
  <si>
    <t>E185</t>
  </si>
  <si>
    <t>E186</t>
  </si>
  <si>
    <t>E187</t>
  </si>
  <si>
    <t>E188</t>
  </si>
  <si>
    <t>E189</t>
  </si>
  <si>
    <t>E190</t>
  </si>
  <si>
    <t>E191</t>
  </si>
  <si>
    <t>E192</t>
  </si>
  <si>
    <t>E193</t>
  </si>
  <si>
    <t>E194</t>
  </si>
  <si>
    <t>E195</t>
  </si>
  <si>
    <t>E196</t>
  </si>
  <si>
    <t>E197</t>
  </si>
  <si>
    <t>E198</t>
  </si>
  <si>
    <t>E199</t>
  </si>
  <si>
    <t>E200</t>
  </si>
  <si>
    <t>E201</t>
  </si>
  <si>
    <t>E202</t>
  </si>
  <si>
    <t>E203</t>
  </si>
  <si>
    <t>E204</t>
  </si>
  <si>
    <t>E205</t>
  </si>
  <si>
    <t>E206</t>
  </si>
  <si>
    <t>E207</t>
  </si>
  <si>
    <t>E208</t>
  </si>
  <si>
    <t>E209</t>
  </si>
  <si>
    <t>E210</t>
  </si>
  <si>
    <t>E211</t>
  </si>
  <si>
    <t>E212</t>
  </si>
  <si>
    <t>E213</t>
  </si>
  <si>
    <t>E214</t>
  </si>
  <si>
    <t>E215</t>
  </si>
  <si>
    <t>E216</t>
  </si>
  <si>
    <t>E217</t>
  </si>
  <si>
    <t>E218</t>
  </si>
  <si>
    <t>E219</t>
  </si>
  <si>
    <t>Extension of AE145</t>
  </si>
  <si>
    <t>E220</t>
  </si>
  <si>
    <t>E221</t>
  </si>
  <si>
    <t>E222</t>
  </si>
  <si>
    <t>E223</t>
  </si>
  <si>
    <t>E224</t>
  </si>
  <si>
    <t>E225</t>
  </si>
  <si>
    <t>E226</t>
  </si>
  <si>
    <t>E227</t>
  </si>
  <si>
    <t>E228</t>
  </si>
  <si>
    <t>E229</t>
  </si>
  <si>
    <t>E230</t>
  </si>
  <si>
    <t>E231</t>
  </si>
  <si>
    <t>E232</t>
  </si>
  <si>
    <t>E233</t>
  </si>
  <si>
    <t>E234</t>
  </si>
  <si>
    <t>E235</t>
  </si>
  <si>
    <t>E236</t>
  </si>
  <si>
    <t>E237</t>
  </si>
  <si>
    <t>E238</t>
  </si>
  <si>
    <t>E239</t>
  </si>
  <si>
    <t>E240</t>
  </si>
  <si>
    <t>E241</t>
  </si>
  <si>
    <t>External replication of E225</t>
  </si>
  <si>
    <t>E242</t>
  </si>
  <si>
    <t>E243</t>
  </si>
  <si>
    <t>E244</t>
  </si>
  <si>
    <t>E245</t>
  </si>
  <si>
    <t>E246</t>
  </si>
  <si>
    <t>E247</t>
  </si>
  <si>
    <t>E248</t>
  </si>
  <si>
    <t>E249</t>
  </si>
  <si>
    <t>E250</t>
  </si>
  <si>
    <t>E251</t>
  </si>
  <si>
    <t>E252</t>
  </si>
  <si>
    <t>E253</t>
  </si>
  <si>
    <t>E254</t>
  </si>
  <si>
    <t>E255</t>
  </si>
  <si>
    <t>E256</t>
  </si>
  <si>
    <t>E257</t>
  </si>
  <si>
    <t>E258</t>
  </si>
  <si>
    <t>E259</t>
  </si>
  <si>
    <t>E260</t>
  </si>
  <si>
    <t>E261</t>
  </si>
  <si>
    <t>E262</t>
  </si>
  <si>
    <t>E263</t>
  </si>
  <si>
    <t>E264</t>
  </si>
  <si>
    <t>E265</t>
  </si>
  <si>
    <t>E266</t>
  </si>
  <si>
    <t>E267</t>
  </si>
  <si>
    <t>E268</t>
  </si>
  <si>
    <t>E269</t>
  </si>
  <si>
    <t>E270</t>
  </si>
  <si>
    <t>E271</t>
  </si>
  <si>
    <t>E272</t>
  </si>
  <si>
    <t>E273</t>
  </si>
  <si>
    <t>E274</t>
  </si>
  <si>
    <t>E275</t>
  </si>
  <si>
    <t>E276</t>
  </si>
  <si>
    <t>E277</t>
  </si>
  <si>
    <t>E278</t>
  </si>
  <si>
    <t>E279</t>
  </si>
  <si>
    <t>E280</t>
  </si>
  <si>
    <t>E281</t>
  </si>
  <si>
    <t>E282</t>
  </si>
  <si>
    <t>E283</t>
  </si>
  <si>
    <t>E284</t>
  </si>
  <si>
    <t>E285</t>
  </si>
  <si>
    <t>E286</t>
  </si>
  <si>
    <t>E287</t>
  </si>
  <si>
    <t>E288</t>
  </si>
  <si>
    <t>E289</t>
  </si>
  <si>
    <t>E290</t>
  </si>
  <si>
    <t>E291</t>
  </si>
  <si>
    <t>E292</t>
  </si>
  <si>
    <t>E293</t>
  </si>
  <si>
    <t>E294</t>
  </si>
  <si>
    <t>E295</t>
  </si>
  <si>
    <t>E296</t>
  </si>
  <si>
    <t>E297</t>
  </si>
  <si>
    <t>E298</t>
  </si>
  <si>
    <t>E299</t>
  </si>
  <si>
    <t>E300</t>
  </si>
  <si>
    <t>E301</t>
  </si>
  <si>
    <t>E302</t>
  </si>
  <si>
    <t>E303</t>
  </si>
  <si>
    <t>E304</t>
  </si>
  <si>
    <t>E305</t>
  </si>
  <si>
    <t>E306</t>
  </si>
  <si>
    <t>E307</t>
  </si>
  <si>
    <t>E308</t>
  </si>
  <si>
    <t>E309</t>
  </si>
  <si>
    <t>E310</t>
  </si>
  <si>
    <t>E311</t>
  </si>
  <si>
    <t>E312</t>
  </si>
  <si>
    <t>E313</t>
  </si>
  <si>
    <t>E314</t>
  </si>
  <si>
    <t>E315</t>
  </si>
  <si>
    <t>E316</t>
  </si>
  <si>
    <t>E317</t>
  </si>
  <si>
    <t>E318</t>
  </si>
  <si>
    <t>E319</t>
  </si>
  <si>
    <t>E320</t>
  </si>
  <si>
    <t>E321</t>
  </si>
  <si>
    <t>E322</t>
  </si>
  <si>
    <t>E323</t>
  </si>
  <si>
    <t>E324</t>
  </si>
  <si>
    <t>E325</t>
  </si>
  <si>
    <t>E326</t>
  </si>
  <si>
    <t>E327</t>
  </si>
  <si>
    <t>E328</t>
  </si>
  <si>
    <t>E329</t>
  </si>
  <si>
    <t>E330</t>
  </si>
  <si>
    <t>E331</t>
  </si>
  <si>
    <t>E332</t>
  </si>
  <si>
    <t>E333</t>
  </si>
  <si>
    <t>E334</t>
  </si>
  <si>
    <t>E335</t>
  </si>
  <si>
    <t>E336</t>
  </si>
  <si>
    <t>E337</t>
  </si>
  <si>
    <t>E338</t>
  </si>
  <si>
    <t>E339</t>
  </si>
  <si>
    <t>E340</t>
  </si>
  <si>
    <t>E341</t>
  </si>
  <si>
    <t>E342</t>
  </si>
  <si>
    <t>E343</t>
  </si>
  <si>
    <t>E344</t>
  </si>
  <si>
    <t>E345</t>
  </si>
  <si>
    <t>E346</t>
  </si>
  <si>
    <t>E347</t>
  </si>
  <si>
    <t>E348</t>
  </si>
  <si>
    <t>E349</t>
  </si>
  <si>
    <t>E350</t>
  </si>
  <si>
    <t>The method can be viewed as a study, but here the subjects are not the participants but the project-based approaches.</t>
  </si>
  <si>
    <t>E351</t>
  </si>
  <si>
    <t>E352</t>
  </si>
  <si>
    <t>E353</t>
  </si>
  <si>
    <t>E354</t>
  </si>
  <si>
    <t>E355</t>
  </si>
  <si>
    <t>E356</t>
  </si>
  <si>
    <t>E357</t>
  </si>
  <si>
    <t>E358</t>
  </si>
  <si>
    <t>E359</t>
  </si>
  <si>
    <t>E360</t>
  </si>
  <si>
    <t>E361</t>
  </si>
  <si>
    <t>E362</t>
  </si>
  <si>
    <t>E363</t>
  </si>
  <si>
    <t>E364</t>
  </si>
  <si>
    <t>E365</t>
  </si>
  <si>
    <t>E366</t>
  </si>
  <si>
    <t>E367</t>
  </si>
  <si>
    <t>E368</t>
  </si>
  <si>
    <t>E369</t>
  </si>
  <si>
    <t>E370</t>
  </si>
  <si>
    <t>E371</t>
  </si>
  <si>
    <t>E372</t>
  </si>
  <si>
    <t>E373</t>
  </si>
  <si>
    <t>E374</t>
  </si>
  <si>
    <t>E375</t>
  </si>
  <si>
    <t>E376</t>
  </si>
  <si>
    <t>E377</t>
  </si>
  <si>
    <t>The authors conducted a survey, not an experiment</t>
  </si>
  <si>
    <t>E378</t>
  </si>
  <si>
    <t>E379</t>
  </si>
  <si>
    <t>E380</t>
  </si>
  <si>
    <t>E381</t>
  </si>
  <si>
    <t>E382</t>
  </si>
  <si>
    <t>E383</t>
  </si>
  <si>
    <t>E384</t>
  </si>
  <si>
    <t>E385</t>
  </si>
  <si>
    <t>E386</t>
  </si>
  <si>
    <t>E387</t>
  </si>
  <si>
    <t>E388</t>
  </si>
  <si>
    <t>E389</t>
  </si>
  <si>
    <t>E390</t>
  </si>
  <si>
    <t>E391</t>
  </si>
  <si>
    <t>E392</t>
  </si>
  <si>
    <t>E393</t>
  </si>
  <si>
    <t>E394</t>
  </si>
  <si>
    <t>E395</t>
  </si>
  <si>
    <t>E396</t>
  </si>
  <si>
    <t>E397</t>
  </si>
  <si>
    <t>E398</t>
  </si>
  <si>
    <t>E399</t>
  </si>
  <si>
    <t>E400</t>
  </si>
  <si>
    <t>E401</t>
  </si>
  <si>
    <t>E402</t>
  </si>
  <si>
    <t>E403</t>
  </si>
  <si>
    <t>E404</t>
  </si>
  <si>
    <t>E405</t>
  </si>
  <si>
    <t>E406</t>
  </si>
  <si>
    <t>E407</t>
  </si>
  <si>
    <t>E408</t>
  </si>
  <si>
    <t>E409</t>
  </si>
  <si>
    <t>E410</t>
  </si>
  <si>
    <t>E411</t>
  </si>
  <si>
    <t>E412</t>
  </si>
  <si>
    <t>E413</t>
  </si>
  <si>
    <t>E414</t>
  </si>
  <si>
    <t>E415</t>
  </si>
  <si>
    <t>Very close to E411</t>
  </si>
  <si>
    <t>E416</t>
  </si>
  <si>
    <t>E417</t>
  </si>
  <si>
    <t>E418</t>
  </si>
  <si>
    <t>E419</t>
  </si>
  <si>
    <t>E420</t>
  </si>
  <si>
    <t>E421</t>
  </si>
  <si>
    <t>E422</t>
  </si>
  <si>
    <t>E423</t>
  </si>
  <si>
    <t>E424</t>
  </si>
  <si>
    <t>E425</t>
  </si>
  <si>
    <t>E426</t>
  </si>
  <si>
    <t>E427</t>
  </si>
  <si>
    <t>E428</t>
  </si>
  <si>
    <t>E429</t>
  </si>
  <si>
    <t>E430</t>
  </si>
  <si>
    <t>E431</t>
  </si>
  <si>
    <t>E432</t>
  </si>
  <si>
    <t>E433</t>
  </si>
  <si>
    <t>E434</t>
  </si>
  <si>
    <t>E435</t>
  </si>
  <si>
    <t>E436</t>
  </si>
  <si>
    <t>E437</t>
  </si>
  <si>
    <t>E438</t>
  </si>
  <si>
    <t>E439</t>
  </si>
  <si>
    <t>E440</t>
  </si>
  <si>
    <t>E441</t>
  </si>
  <si>
    <t>E442</t>
  </si>
  <si>
    <t>E443</t>
  </si>
  <si>
    <t>E444</t>
  </si>
  <si>
    <t>E445</t>
  </si>
  <si>
    <t>E446</t>
  </si>
  <si>
    <t>E447</t>
  </si>
  <si>
    <t>E448</t>
  </si>
  <si>
    <t>E449</t>
  </si>
  <si>
    <t>E450</t>
  </si>
  <si>
    <t>E451</t>
  </si>
  <si>
    <t>E452</t>
  </si>
  <si>
    <t>E453</t>
  </si>
  <si>
    <t>E454</t>
  </si>
  <si>
    <t>E455</t>
  </si>
  <si>
    <t>E456</t>
  </si>
  <si>
    <t>E457</t>
  </si>
  <si>
    <t>E458</t>
  </si>
  <si>
    <t>E459</t>
  </si>
  <si>
    <t>E460</t>
  </si>
  <si>
    <t>E461</t>
  </si>
  <si>
    <t>E462</t>
  </si>
  <si>
    <t>E463</t>
  </si>
  <si>
    <t>E464</t>
  </si>
  <si>
    <t>E465</t>
  </si>
  <si>
    <t>E466</t>
  </si>
  <si>
    <t>E467</t>
  </si>
  <si>
    <t>E468</t>
  </si>
  <si>
    <t>E469</t>
  </si>
  <si>
    <t>At least one of the outputs of the experimental tasks ("understand requirements specification") meet I3, even though the other one ("detect defects") does not.</t>
  </si>
  <si>
    <t>E470</t>
  </si>
  <si>
    <t>E471</t>
  </si>
  <si>
    <t>E472</t>
  </si>
  <si>
    <t>E473</t>
  </si>
  <si>
    <t>E474</t>
  </si>
  <si>
    <t>E475</t>
  </si>
  <si>
    <t>E476</t>
  </si>
  <si>
    <t>E477</t>
  </si>
  <si>
    <t>E478</t>
  </si>
  <si>
    <t>E479</t>
  </si>
  <si>
    <t>E480</t>
  </si>
  <si>
    <t>E481</t>
  </si>
  <si>
    <t>E482</t>
  </si>
  <si>
    <t>E483</t>
  </si>
  <si>
    <t>E484</t>
  </si>
  <si>
    <t>E485</t>
  </si>
  <si>
    <t>E486</t>
  </si>
  <si>
    <t>E487</t>
  </si>
  <si>
    <t>E488</t>
  </si>
  <si>
    <t>E489</t>
  </si>
  <si>
    <t>E490</t>
  </si>
  <si>
    <t>E491</t>
  </si>
  <si>
    <t>E492</t>
  </si>
  <si>
    <t>E493</t>
  </si>
  <si>
    <t>E494</t>
  </si>
  <si>
    <t>E495</t>
  </si>
  <si>
    <t>E496</t>
  </si>
  <si>
    <t>E497</t>
  </si>
  <si>
    <t>E498</t>
  </si>
  <si>
    <t>E499</t>
  </si>
  <si>
    <t>E500</t>
  </si>
  <si>
    <t>E501</t>
  </si>
  <si>
    <t>E502</t>
  </si>
  <si>
    <t>E503</t>
  </si>
  <si>
    <t>E504</t>
  </si>
  <si>
    <t>E505</t>
  </si>
  <si>
    <t>E506</t>
  </si>
  <si>
    <t>E507</t>
  </si>
  <si>
    <t>E508</t>
  </si>
  <si>
    <t>E509</t>
  </si>
  <si>
    <t>E510</t>
  </si>
  <si>
    <t>E511</t>
  </si>
  <si>
    <t>E512</t>
  </si>
  <si>
    <t>E513</t>
  </si>
  <si>
    <t>E514</t>
  </si>
  <si>
    <t>E515</t>
  </si>
  <si>
    <t>E516</t>
  </si>
  <si>
    <t>E517</t>
  </si>
  <si>
    <t>E518</t>
  </si>
  <si>
    <t>E519</t>
  </si>
  <si>
    <t>E520</t>
  </si>
  <si>
    <t>E521</t>
  </si>
  <si>
    <t>E522</t>
  </si>
  <si>
    <t>E523</t>
  </si>
  <si>
    <t>E524</t>
  </si>
  <si>
    <t>E525</t>
  </si>
  <si>
    <t>E526</t>
  </si>
  <si>
    <t>E527</t>
  </si>
  <si>
    <t>E528</t>
  </si>
  <si>
    <t>E529</t>
  </si>
  <si>
    <t>E530</t>
  </si>
  <si>
    <t>E531</t>
  </si>
  <si>
    <t>E532</t>
  </si>
  <si>
    <t>E533</t>
  </si>
  <si>
    <t>E534</t>
  </si>
  <si>
    <t>E535</t>
  </si>
  <si>
    <t>E536</t>
  </si>
  <si>
    <t>E537</t>
  </si>
  <si>
    <t>E538</t>
  </si>
  <si>
    <t>E539</t>
  </si>
  <si>
    <t>E540</t>
  </si>
  <si>
    <t>E541</t>
  </si>
  <si>
    <t>E542</t>
  </si>
  <si>
    <t>E543</t>
  </si>
  <si>
    <t>E544</t>
  </si>
  <si>
    <t>E545</t>
  </si>
  <si>
    <t>E546</t>
  </si>
  <si>
    <t>E547</t>
  </si>
  <si>
    <t>E548</t>
  </si>
  <si>
    <t>E549</t>
  </si>
  <si>
    <t>E550</t>
  </si>
  <si>
    <t>E551</t>
  </si>
  <si>
    <t>E552</t>
  </si>
  <si>
    <t>E553</t>
  </si>
  <si>
    <t>E554</t>
  </si>
  <si>
    <t>E555</t>
  </si>
  <si>
    <t>E556</t>
  </si>
  <si>
    <t>E557</t>
  </si>
  <si>
    <t>E558</t>
  </si>
  <si>
    <t>E559</t>
  </si>
  <si>
    <t>E560</t>
  </si>
  <si>
    <t>E561</t>
  </si>
  <si>
    <t>E562</t>
  </si>
  <si>
    <t>E563</t>
  </si>
  <si>
    <t>E564</t>
  </si>
  <si>
    <t>E565</t>
  </si>
  <si>
    <t>E566</t>
  </si>
  <si>
    <t>E567</t>
  </si>
  <si>
    <t>Here, UML is used to represent solution-space specifications, not problem-space specifications</t>
  </si>
  <si>
    <t>E568</t>
  </si>
  <si>
    <t>E569</t>
  </si>
  <si>
    <t>E570</t>
  </si>
  <si>
    <t>E571</t>
  </si>
  <si>
    <t>E572</t>
  </si>
  <si>
    <t>E573</t>
  </si>
  <si>
    <t>E574</t>
  </si>
  <si>
    <t>E575</t>
  </si>
  <si>
    <t>E576</t>
  </si>
  <si>
    <t>E577</t>
  </si>
  <si>
    <t>E578</t>
  </si>
  <si>
    <t>E579</t>
  </si>
  <si>
    <t>E580</t>
  </si>
  <si>
    <t>E581</t>
  </si>
  <si>
    <t>E582</t>
  </si>
  <si>
    <t>E583</t>
  </si>
  <si>
    <t>E584</t>
  </si>
  <si>
    <t>E585</t>
  </si>
  <si>
    <t>E586</t>
  </si>
  <si>
    <t>E587</t>
  </si>
  <si>
    <t>E588</t>
  </si>
  <si>
    <t>E589</t>
  </si>
  <si>
    <t>E590</t>
  </si>
  <si>
    <t>E591</t>
  </si>
  <si>
    <t>E592</t>
  </si>
  <si>
    <t>E593</t>
  </si>
  <si>
    <t>E594</t>
  </si>
  <si>
    <t>E595</t>
  </si>
  <si>
    <t>E596</t>
  </si>
  <si>
    <t>E597</t>
  </si>
  <si>
    <t>E598</t>
  </si>
  <si>
    <t>E599</t>
  </si>
  <si>
    <t>E600</t>
  </si>
  <si>
    <t>E601</t>
  </si>
  <si>
    <t>E602</t>
  </si>
  <si>
    <t>E603</t>
  </si>
  <si>
    <t>E604</t>
  </si>
  <si>
    <t>E605</t>
  </si>
  <si>
    <t>E606</t>
  </si>
  <si>
    <t>E607</t>
  </si>
  <si>
    <t>E608</t>
  </si>
  <si>
    <t>E609</t>
  </si>
  <si>
    <t>E610</t>
  </si>
  <si>
    <t>E611</t>
  </si>
  <si>
    <t>E612</t>
  </si>
  <si>
    <t>E613</t>
  </si>
  <si>
    <t>E614</t>
  </si>
  <si>
    <t>E615</t>
  </si>
  <si>
    <t>E616</t>
  </si>
  <si>
    <t>E617</t>
  </si>
  <si>
    <t>E618</t>
  </si>
  <si>
    <t>E619</t>
  </si>
  <si>
    <t>E620</t>
  </si>
  <si>
    <t>E621</t>
  </si>
  <si>
    <t>E622</t>
  </si>
  <si>
    <t>E623</t>
  </si>
  <si>
    <t>E624</t>
  </si>
  <si>
    <t>E625</t>
  </si>
  <si>
    <t>E626</t>
  </si>
  <si>
    <t>E627</t>
  </si>
  <si>
    <t>E628</t>
  </si>
  <si>
    <t>E629</t>
  </si>
  <si>
    <t>E630</t>
  </si>
  <si>
    <t>E631</t>
  </si>
  <si>
    <t>E632</t>
  </si>
  <si>
    <t>E633</t>
  </si>
  <si>
    <t>E634</t>
  </si>
  <si>
    <t>E635</t>
  </si>
  <si>
    <t>E636</t>
  </si>
  <si>
    <t>E637</t>
  </si>
  <si>
    <t>E638</t>
  </si>
  <si>
    <t>E639</t>
  </si>
  <si>
    <t>E640</t>
  </si>
  <si>
    <t>E641</t>
  </si>
  <si>
    <t>E642</t>
  </si>
  <si>
    <t>E643</t>
  </si>
  <si>
    <t>E644</t>
  </si>
  <si>
    <t>E645</t>
  </si>
  <si>
    <t>E646</t>
  </si>
  <si>
    <t>E647</t>
  </si>
  <si>
    <t>E648</t>
  </si>
  <si>
    <t>E649</t>
  </si>
  <si>
    <t>E650</t>
  </si>
  <si>
    <t>E651</t>
  </si>
  <si>
    <t>E652</t>
  </si>
  <si>
    <t>E653</t>
  </si>
  <si>
    <t>E654</t>
  </si>
  <si>
    <t>E655</t>
  </si>
  <si>
    <t>E656</t>
  </si>
  <si>
    <t>E657</t>
  </si>
  <si>
    <t>E658</t>
  </si>
  <si>
    <t>E659</t>
  </si>
  <si>
    <t>E660</t>
  </si>
  <si>
    <t>E661</t>
  </si>
  <si>
    <t>E662</t>
  </si>
  <si>
    <t>E663</t>
  </si>
  <si>
    <t>E664</t>
  </si>
  <si>
    <t>E665</t>
  </si>
  <si>
    <t>E666</t>
  </si>
  <si>
    <t>E667</t>
  </si>
  <si>
    <t>E668</t>
  </si>
  <si>
    <t>E669</t>
  </si>
  <si>
    <t>E670</t>
  </si>
  <si>
    <t>E671</t>
  </si>
  <si>
    <t>E672</t>
  </si>
  <si>
    <t>E673</t>
  </si>
  <si>
    <t>E674</t>
  </si>
  <si>
    <t>E675</t>
  </si>
  <si>
    <t>E676</t>
  </si>
  <si>
    <t>E677</t>
  </si>
  <si>
    <t>E678</t>
  </si>
  <si>
    <t>E679</t>
  </si>
  <si>
    <t>E680</t>
  </si>
  <si>
    <t>E681</t>
  </si>
  <si>
    <t>E682</t>
  </si>
  <si>
    <t>E683</t>
  </si>
  <si>
    <t>E684</t>
  </si>
  <si>
    <t>E685</t>
  </si>
  <si>
    <t>E686</t>
  </si>
  <si>
    <t>E687</t>
  </si>
  <si>
    <t>E688</t>
  </si>
  <si>
    <t>E689</t>
  </si>
  <si>
    <t>E690</t>
  </si>
  <si>
    <t>E691</t>
  </si>
  <si>
    <t>The authors report a case study, not an experiment</t>
  </si>
  <si>
    <t>E692</t>
  </si>
  <si>
    <t>E693</t>
  </si>
  <si>
    <t>E694</t>
  </si>
  <si>
    <t>E695</t>
  </si>
  <si>
    <t>E696</t>
  </si>
  <si>
    <t>E697</t>
  </si>
  <si>
    <t>E698</t>
  </si>
  <si>
    <t>E699</t>
  </si>
  <si>
    <t>E700</t>
  </si>
  <si>
    <t>E701</t>
  </si>
  <si>
    <t>E702</t>
  </si>
  <si>
    <t>E703</t>
  </si>
  <si>
    <t>E704</t>
  </si>
  <si>
    <t>E705</t>
  </si>
  <si>
    <t>E706</t>
  </si>
  <si>
    <t>E707</t>
  </si>
  <si>
    <t>E708</t>
  </si>
  <si>
    <t>E709</t>
  </si>
  <si>
    <t>E710</t>
  </si>
  <si>
    <t>E711</t>
  </si>
  <si>
    <t>E712</t>
  </si>
  <si>
    <t>E713</t>
  </si>
  <si>
    <t>E714</t>
  </si>
  <si>
    <t>E715</t>
  </si>
  <si>
    <t>E716</t>
  </si>
  <si>
    <t>E717</t>
  </si>
  <si>
    <t>E718</t>
  </si>
  <si>
    <t>E719</t>
  </si>
  <si>
    <t>E720</t>
  </si>
  <si>
    <t>E721</t>
  </si>
  <si>
    <t>E722</t>
  </si>
  <si>
    <t>E723</t>
  </si>
  <si>
    <t>E724</t>
  </si>
  <si>
    <t>E725</t>
  </si>
  <si>
    <t>E726</t>
  </si>
  <si>
    <t>E727</t>
  </si>
  <si>
    <t>E728</t>
  </si>
  <si>
    <t>E729</t>
  </si>
  <si>
    <t>E730</t>
  </si>
  <si>
    <t>E731</t>
  </si>
  <si>
    <t>E732</t>
  </si>
  <si>
    <t>E733</t>
  </si>
  <si>
    <t>E734</t>
  </si>
  <si>
    <t>E735</t>
  </si>
  <si>
    <t>E736</t>
  </si>
  <si>
    <t>E737</t>
  </si>
  <si>
    <t>E738</t>
  </si>
  <si>
    <t>E739</t>
  </si>
  <si>
    <t>E740</t>
  </si>
  <si>
    <t>E741</t>
  </si>
  <si>
    <t>E742</t>
  </si>
  <si>
    <t>E743</t>
  </si>
  <si>
    <t>E744</t>
  </si>
  <si>
    <t>E745</t>
  </si>
  <si>
    <t>E746</t>
  </si>
  <si>
    <t>E747</t>
  </si>
  <si>
    <t>E748</t>
  </si>
  <si>
    <t>E749</t>
  </si>
  <si>
    <t>E750</t>
  </si>
  <si>
    <t>E751</t>
  </si>
  <si>
    <t>E752</t>
  </si>
  <si>
    <t>E753</t>
  </si>
  <si>
    <t>E754</t>
  </si>
  <si>
    <t>E755</t>
  </si>
  <si>
    <t>E756</t>
  </si>
  <si>
    <t>E757</t>
  </si>
  <si>
    <t>E758</t>
  </si>
  <si>
    <t>E759</t>
  </si>
  <si>
    <t>E760</t>
  </si>
  <si>
    <t>E761</t>
  </si>
  <si>
    <t>E762</t>
  </si>
  <si>
    <t>E763</t>
  </si>
  <si>
    <t>E764</t>
  </si>
  <si>
    <t>E765</t>
  </si>
  <si>
    <t>E766</t>
  </si>
  <si>
    <t>E767</t>
  </si>
  <si>
    <t>E768</t>
  </si>
  <si>
    <t>E769</t>
  </si>
  <si>
    <t>E770</t>
  </si>
  <si>
    <t>E771</t>
  </si>
  <si>
    <t>E772</t>
  </si>
  <si>
    <t>E773</t>
  </si>
  <si>
    <t>E774</t>
  </si>
  <si>
    <t>E775</t>
  </si>
  <si>
    <t>E776</t>
  </si>
  <si>
    <t>E777</t>
  </si>
  <si>
    <t>E778</t>
  </si>
  <si>
    <t>E779</t>
  </si>
  <si>
    <t>E780</t>
  </si>
  <si>
    <t>E781</t>
  </si>
  <si>
    <t>E782</t>
  </si>
  <si>
    <t>E783</t>
  </si>
  <si>
    <t>E784</t>
  </si>
  <si>
    <t>E785</t>
  </si>
  <si>
    <t>E786</t>
  </si>
  <si>
    <t>E787</t>
  </si>
  <si>
    <t>E788</t>
  </si>
  <si>
    <t>E789</t>
  </si>
  <si>
    <t>E790</t>
  </si>
  <si>
    <t>E791</t>
  </si>
  <si>
    <t>E792</t>
  </si>
  <si>
    <t>E793</t>
  </si>
  <si>
    <t>E794</t>
  </si>
  <si>
    <t>E795</t>
  </si>
  <si>
    <t>E796</t>
  </si>
  <si>
    <t>E797</t>
  </si>
  <si>
    <t>E798</t>
  </si>
  <si>
    <t>E799</t>
  </si>
  <si>
    <t>E800</t>
  </si>
  <si>
    <t>E801</t>
  </si>
  <si>
    <t>E802</t>
  </si>
  <si>
    <t>E803</t>
  </si>
  <si>
    <t>E804</t>
  </si>
  <si>
    <t>E805</t>
  </si>
  <si>
    <t>E806</t>
  </si>
  <si>
    <t>E807</t>
  </si>
  <si>
    <t>E808</t>
  </si>
  <si>
    <t>E809</t>
  </si>
  <si>
    <t>E810</t>
  </si>
  <si>
    <t>E811</t>
  </si>
  <si>
    <t>E812</t>
  </si>
  <si>
    <t>E813</t>
  </si>
  <si>
    <t>E814</t>
  </si>
  <si>
    <t>E815</t>
  </si>
  <si>
    <t>E816</t>
  </si>
  <si>
    <t>E817</t>
  </si>
  <si>
    <t>E818</t>
  </si>
  <si>
    <t>E819</t>
  </si>
  <si>
    <t>E820</t>
  </si>
  <si>
    <t>E821</t>
  </si>
  <si>
    <t>E822</t>
  </si>
  <si>
    <t>E823</t>
  </si>
  <si>
    <t>E824</t>
  </si>
  <si>
    <t>E825</t>
  </si>
  <si>
    <t>E826</t>
  </si>
  <si>
    <t>E827</t>
  </si>
  <si>
    <t>E828</t>
  </si>
  <si>
    <t>E829</t>
  </si>
  <si>
    <t>E830</t>
  </si>
  <si>
    <t>E831</t>
  </si>
  <si>
    <t>E832</t>
  </si>
  <si>
    <t>E833</t>
  </si>
  <si>
    <t>E834</t>
  </si>
  <si>
    <t>E835</t>
  </si>
  <si>
    <t>E836</t>
  </si>
  <si>
    <t>E837</t>
  </si>
  <si>
    <t>E838</t>
  </si>
  <si>
    <t>E839</t>
  </si>
  <si>
    <t>E840</t>
  </si>
  <si>
    <t>E841</t>
  </si>
  <si>
    <t>E842</t>
  </si>
  <si>
    <t>E843</t>
  </si>
  <si>
    <t>E844</t>
  </si>
  <si>
    <t>E845</t>
  </si>
  <si>
    <t>E846</t>
  </si>
  <si>
    <t>E847</t>
  </si>
  <si>
    <t>E848</t>
  </si>
  <si>
    <t>E849</t>
  </si>
  <si>
    <t>E850</t>
  </si>
  <si>
    <t>E851</t>
  </si>
  <si>
    <t>E852</t>
  </si>
  <si>
    <t>E853</t>
  </si>
  <si>
    <t>E854</t>
  </si>
  <si>
    <t>E855</t>
  </si>
  <si>
    <t>E856</t>
  </si>
  <si>
    <t>E857</t>
  </si>
  <si>
    <t>E858</t>
  </si>
  <si>
    <t>E859</t>
  </si>
  <si>
    <t>E860</t>
  </si>
  <si>
    <t>E861</t>
  </si>
  <si>
    <t>E862</t>
  </si>
  <si>
    <t>E863</t>
  </si>
  <si>
    <t>E864</t>
  </si>
  <si>
    <t>E865</t>
  </si>
  <si>
    <t>E866</t>
  </si>
  <si>
    <t>E867</t>
  </si>
  <si>
    <t>E868</t>
  </si>
  <si>
    <t>E869</t>
  </si>
  <si>
    <t>E870</t>
  </si>
  <si>
    <t>E871</t>
  </si>
  <si>
    <t>E872</t>
  </si>
  <si>
    <t>E873</t>
  </si>
  <si>
    <t>E874</t>
  </si>
  <si>
    <t>E875</t>
  </si>
  <si>
    <t>E876</t>
  </si>
  <si>
    <t>E877</t>
  </si>
  <si>
    <t>E878</t>
  </si>
  <si>
    <t>E879</t>
  </si>
  <si>
    <t>E880</t>
  </si>
  <si>
    <t>E881</t>
  </si>
  <si>
    <t>E882</t>
  </si>
  <si>
    <t>E883</t>
  </si>
  <si>
    <t>E884</t>
  </si>
  <si>
    <t>E885</t>
  </si>
  <si>
    <t>E886</t>
  </si>
  <si>
    <t>E887</t>
  </si>
  <si>
    <t>E888</t>
  </si>
  <si>
    <t>E889</t>
  </si>
  <si>
    <t>E890</t>
  </si>
  <si>
    <t>E891</t>
  </si>
  <si>
    <t>E892</t>
  </si>
  <si>
    <t>E893</t>
  </si>
  <si>
    <t>E894</t>
  </si>
  <si>
    <t>E895</t>
  </si>
  <si>
    <t>E896</t>
  </si>
  <si>
    <t>E897</t>
  </si>
  <si>
    <t>E898</t>
  </si>
  <si>
    <t>The "requirements review" task does not meet I3, but "test case development" does.</t>
  </si>
  <si>
    <t>E899</t>
  </si>
  <si>
    <t>E900</t>
  </si>
  <si>
    <t>E901</t>
  </si>
  <si>
    <t>E902</t>
  </si>
  <si>
    <t>This seems like a research preview, i.e., I1 might not be met</t>
  </si>
  <si>
    <t>E903</t>
  </si>
  <si>
    <t>E904</t>
  </si>
  <si>
    <t>E905</t>
  </si>
  <si>
    <t>E906</t>
  </si>
  <si>
    <t>E907</t>
  </si>
  <si>
    <t>E908</t>
  </si>
  <si>
    <t>E909</t>
  </si>
  <si>
    <t>E910</t>
  </si>
  <si>
    <t>E911</t>
  </si>
  <si>
    <t>E912</t>
  </si>
  <si>
    <t>E913</t>
  </si>
  <si>
    <t>E914</t>
  </si>
  <si>
    <t>E915</t>
  </si>
  <si>
    <t>E916</t>
  </si>
  <si>
    <t>E917</t>
  </si>
  <si>
    <t>E918</t>
  </si>
  <si>
    <t>E919</t>
  </si>
  <si>
    <t>E920</t>
  </si>
  <si>
    <t>E921</t>
  </si>
  <si>
    <t>E922</t>
  </si>
  <si>
    <t>E923</t>
  </si>
  <si>
    <t>E924</t>
  </si>
  <si>
    <t>E925</t>
  </si>
  <si>
    <t>E926</t>
  </si>
  <si>
    <t>E927</t>
  </si>
  <si>
    <t>E928</t>
  </si>
  <si>
    <t>E929</t>
  </si>
  <si>
    <t>E930</t>
  </si>
  <si>
    <t>E931</t>
  </si>
  <si>
    <t>E932</t>
  </si>
  <si>
    <t>E933</t>
  </si>
  <si>
    <t>E934</t>
  </si>
  <si>
    <t>E935</t>
  </si>
  <si>
    <t>E936</t>
  </si>
  <si>
    <t>E937</t>
  </si>
  <si>
    <t>E938</t>
  </si>
  <si>
    <t>E939</t>
  </si>
  <si>
    <t>E940</t>
  </si>
  <si>
    <t>E941</t>
  </si>
  <si>
    <t>E942</t>
  </si>
  <si>
    <t>E943</t>
  </si>
  <si>
    <t>E944</t>
  </si>
  <si>
    <t>E945</t>
  </si>
  <si>
    <t>E946</t>
  </si>
  <si>
    <t>E947</t>
  </si>
  <si>
    <t>E948</t>
  </si>
  <si>
    <t>E949</t>
  </si>
  <si>
    <t>E950</t>
  </si>
  <si>
    <t>E951</t>
  </si>
  <si>
    <t>E952</t>
  </si>
  <si>
    <t>E953</t>
  </si>
  <si>
    <t>E954</t>
  </si>
  <si>
    <t>E955</t>
  </si>
  <si>
    <t>E956</t>
  </si>
  <si>
    <t>E957</t>
  </si>
  <si>
    <t>E958</t>
  </si>
  <si>
    <t>E959</t>
  </si>
  <si>
    <t>E960</t>
  </si>
  <si>
    <t>E961</t>
  </si>
  <si>
    <t>E962</t>
  </si>
  <si>
    <t>E963</t>
  </si>
  <si>
    <t>E964</t>
  </si>
  <si>
    <t>E965</t>
  </si>
  <si>
    <t>E966</t>
  </si>
  <si>
    <t>E967</t>
  </si>
  <si>
    <t>E968</t>
  </si>
  <si>
    <t>E969</t>
  </si>
  <si>
    <t>E970</t>
  </si>
  <si>
    <t>E971</t>
  </si>
  <si>
    <t>E972</t>
  </si>
  <si>
    <t>E973</t>
  </si>
  <si>
    <t>E974</t>
  </si>
  <si>
    <t>E975</t>
  </si>
  <si>
    <t>E976</t>
  </si>
  <si>
    <t>E977</t>
  </si>
  <si>
    <t>E978</t>
  </si>
  <si>
    <t>E979</t>
  </si>
  <si>
    <t>E980</t>
  </si>
  <si>
    <t>E981</t>
  </si>
  <si>
    <t>E982</t>
  </si>
  <si>
    <t>E983</t>
  </si>
  <si>
    <t>E984</t>
  </si>
  <si>
    <t>E985</t>
  </si>
  <si>
    <t>E986</t>
  </si>
  <si>
    <t>E987</t>
  </si>
  <si>
    <t>E988</t>
  </si>
  <si>
    <t>E989</t>
  </si>
  <si>
    <t>E990</t>
  </si>
  <si>
    <t>E991</t>
  </si>
  <si>
    <t>E992</t>
  </si>
  <si>
    <t>E993</t>
  </si>
  <si>
    <t>E994</t>
  </si>
  <si>
    <t>E995</t>
  </si>
  <si>
    <t>E996</t>
  </si>
  <si>
    <t>E997</t>
  </si>
  <si>
    <t>E998</t>
  </si>
  <si>
    <t>E999</t>
  </si>
  <si>
    <t>E1000</t>
  </si>
  <si>
    <t>E1001</t>
  </si>
  <si>
    <t>E1002</t>
  </si>
  <si>
    <t>E1003</t>
  </si>
  <si>
    <t>E1004</t>
  </si>
  <si>
    <t>E1005</t>
  </si>
  <si>
    <t>E1006</t>
  </si>
  <si>
    <t>E1007</t>
  </si>
  <si>
    <t>E1008</t>
  </si>
  <si>
    <t>E1009</t>
  </si>
  <si>
    <t>E1010</t>
  </si>
  <si>
    <t>E1011</t>
  </si>
  <si>
    <t>E1012</t>
  </si>
  <si>
    <t>E1013</t>
  </si>
  <si>
    <t>E1014</t>
  </si>
  <si>
    <t>E1015</t>
  </si>
  <si>
    <t>E1016</t>
  </si>
  <si>
    <t>E1017</t>
  </si>
  <si>
    <t>E1018</t>
  </si>
  <si>
    <t>E1019</t>
  </si>
  <si>
    <t>E1020</t>
  </si>
  <si>
    <t>E1021</t>
  </si>
  <si>
    <t>E1022</t>
  </si>
  <si>
    <t>E1023</t>
  </si>
  <si>
    <t>E1024</t>
  </si>
  <si>
    <t>E1025</t>
  </si>
  <si>
    <t>E1026</t>
  </si>
  <si>
    <t>E1027</t>
  </si>
  <si>
    <t>E1028</t>
  </si>
  <si>
    <t>E1029</t>
  </si>
  <si>
    <t>E1030</t>
  </si>
  <si>
    <t>E1031</t>
  </si>
  <si>
    <t>E1032</t>
  </si>
  <si>
    <t>E1033</t>
  </si>
  <si>
    <t>E1034</t>
  </si>
  <si>
    <t>E1035</t>
  </si>
  <si>
    <t>E1036</t>
  </si>
  <si>
    <t>E1037</t>
  </si>
  <si>
    <t>E1038</t>
  </si>
  <si>
    <t>E1039</t>
  </si>
  <si>
    <t>E1040</t>
  </si>
  <si>
    <t>E1041</t>
  </si>
  <si>
    <t>E1042</t>
  </si>
  <si>
    <t>E1043</t>
  </si>
  <si>
    <t>E1044</t>
  </si>
  <si>
    <t>E1045</t>
  </si>
  <si>
    <t>E1046</t>
  </si>
  <si>
    <t>E1047</t>
  </si>
  <si>
    <t>E1048</t>
  </si>
  <si>
    <t>E1049</t>
  </si>
  <si>
    <t>E1050</t>
  </si>
  <si>
    <t>E1051</t>
  </si>
  <si>
    <t>E1052</t>
  </si>
  <si>
    <t>E1053</t>
  </si>
  <si>
    <t>E1054</t>
  </si>
  <si>
    <t>E1055</t>
  </si>
  <si>
    <t>E1056</t>
  </si>
  <si>
    <t>E1057</t>
  </si>
  <si>
    <t>E1058</t>
  </si>
  <si>
    <t>E1059</t>
  </si>
  <si>
    <t>E1060</t>
  </si>
  <si>
    <t>E1061</t>
  </si>
  <si>
    <t>E1062</t>
  </si>
  <si>
    <t>More a survey than an experiment</t>
  </si>
  <si>
    <t>E1063</t>
  </si>
  <si>
    <t>E1064</t>
  </si>
  <si>
    <t>E1065</t>
  </si>
  <si>
    <t>E1066</t>
  </si>
  <si>
    <t>E1067</t>
  </si>
  <si>
    <t>E1068</t>
  </si>
  <si>
    <t>E1069</t>
  </si>
  <si>
    <t>E1070</t>
  </si>
  <si>
    <t>E1071</t>
  </si>
  <si>
    <t>E1072</t>
  </si>
  <si>
    <t>E1073</t>
  </si>
  <si>
    <t>E1074</t>
  </si>
  <si>
    <t>Extension of E720</t>
  </si>
  <si>
    <t>E1075</t>
  </si>
  <si>
    <t>E1076</t>
  </si>
  <si>
    <t>E1077</t>
  </si>
  <si>
    <t>E1078</t>
  </si>
  <si>
    <t>E1079</t>
  </si>
  <si>
    <t>E1080</t>
  </si>
  <si>
    <t>E1081</t>
  </si>
  <si>
    <t>E1082</t>
  </si>
  <si>
    <t>E1083</t>
  </si>
  <si>
    <t>E1084</t>
  </si>
  <si>
    <t>E1085</t>
  </si>
  <si>
    <t>E1086</t>
  </si>
  <si>
    <t>E1087</t>
  </si>
  <si>
    <t>E1088</t>
  </si>
  <si>
    <t>E1089</t>
  </si>
  <si>
    <t>E1090</t>
  </si>
  <si>
    <t>E1091</t>
  </si>
  <si>
    <t>E1092</t>
  </si>
  <si>
    <t>E1093</t>
  </si>
  <si>
    <t>E1094</t>
  </si>
  <si>
    <t>E1095</t>
  </si>
  <si>
    <t>E1096</t>
  </si>
  <si>
    <t>E1097</t>
  </si>
  <si>
    <t>E1098</t>
  </si>
  <si>
    <t>E1099</t>
  </si>
  <si>
    <t>E1100</t>
  </si>
  <si>
    <t>E1101</t>
  </si>
  <si>
    <t>E1102</t>
  </si>
  <si>
    <t>E1103</t>
  </si>
  <si>
    <t>E1104</t>
  </si>
  <si>
    <t>E1105</t>
  </si>
  <si>
    <t>E1106</t>
  </si>
  <si>
    <t>E1107</t>
  </si>
  <si>
    <t>E1108</t>
  </si>
  <si>
    <t>E1109</t>
  </si>
  <si>
    <t>E1110</t>
  </si>
  <si>
    <t>E1111</t>
  </si>
  <si>
    <t>E1112</t>
  </si>
  <si>
    <t>E1113</t>
  </si>
  <si>
    <t>E1114</t>
  </si>
  <si>
    <t>E1115</t>
  </si>
  <si>
    <t>E1116</t>
  </si>
  <si>
    <t>E1117</t>
  </si>
  <si>
    <t>E1118</t>
  </si>
  <si>
    <t>E1119</t>
  </si>
  <si>
    <t>E1120</t>
  </si>
  <si>
    <t>E1121</t>
  </si>
  <si>
    <t>E1122</t>
  </si>
  <si>
    <t>E1123</t>
  </si>
  <si>
    <t>E1124</t>
  </si>
  <si>
    <t>E1125</t>
  </si>
  <si>
    <t>E1126</t>
  </si>
  <si>
    <t>E1127</t>
  </si>
  <si>
    <t>E1128</t>
  </si>
  <si>
    <t>E1129</t>
  </si>
  <si>
    <t>E1130</t>
  </si>
  <si>
    <t>E1131</t>
  </si>
  <si>
    <t>E1132</t>
  </si>
  <si>
    <t>E1133</t>
  </si>
  <si>
    <t>Action research, not an experiment</t>
  </si>
  <si>
    <t>E1134</t>
  </si>
  <si>
    <t>E1135</t>
  </si>
  <si>
    <t>E1136</t>
  </si>
  <si>
    <t>E1137</t>
  </si>
  <si>
    <t>E1138</t>
  </si>
  <si>
    <t>E1139</t>
  </si>
  <si>
    <t>E1140</t>
  </si>
  <si>
    <t>E1141</t>
  </si>
  <si>
    <t>E1142</t>
  </si>
  <si>
    <t>E1143</t>
  </si>
  <si>
    <t>E1144</t>
  </si>
  <si>
    <t>E1145</t>
  </si>
  <si>
    <t>E1146</t>
  </si>
  <si>
    <t>E1147</t>
  </si>
  <si>
    <t>E1148</t>
  </si>
  <si>
    <t>E1149</t>
  </si>
  <si>
    <t>E1150</t>
  </si>
  <si>
    <t>E1151</t>
  </si>
  <si>
    <t>E1152</t>
  </si>
  <si>
    <t>E1153</t>
  </si>
  <si>
    <t>E1154</t>
  </si>
  <si>
    <t>E1155</t>
  </si>
  <si>
    <t>Goal model quality does not satisfy I3, but productivity and ease of use does</t>
  </si>
  <si>
    <t>E1156</t>
  </si>
  <si>
    <t>E1157</t>
  </si>
  <si>
    <t>E1158</t>
  </si>
  <si>
    <t>This one extends E952</t>
  </si>
  <si>
    <t>E1159</t>
  </si>
  <si>
    <t>E1160</t>
  </si>
  <si>
    <t>E1161</t>
  </si>
  <si>
    <t>E1162</t>
  </si>
  <si>
    <t>E1163</t>
  </si>
  <si>
    <t>E1164</t>
  </si>
  <si>
    <t>E1165</t>
  </si>
  <si>
    <t>E1166</t>
  </si>
  <si>
    <t>E1167</t>
  </si>
  <si>
    <t>E1168</t>
  </si>
  <si>
    <t>E1169</t>
  </si>
  <si>
    <t>E1170</t>
  </si>
  <si>
    <t>E1171</t>
  </si>
  <si>
    <t>E1172</t>
  </si>
  <si>
    <t>E1173</t>
  </si>
  <si>
    <t>E1174</t>
  </si>
  <si>
    <t>E1175</t>
  </si>
  <si>
    <t>E1176</t>
  </si>
  <si>
    <t>E1177</t>
  </si>
  <si>
    <t>E1178</t>
  </si>
  <si>
    <t>E1179</t>
  </si>
  <si>
    <t>E1180</t>
  </si>
  <si>
    <t>E1181</t>
  </si>
  <si>
    <t>E1182</t>
  </si>
  <si>
    <t>E1183</t>
  </si>
  <si>
    <t>E1184</t>
  </si>
  <si>
    <t>E1185</t>
  </si>
  <si>
    <t>E1186</t>
  </si>
  <si>
    <t>E1187</t>
  </si>
  <si>
    <t>E1188</t>
  </si>
  <si>
    <t>E1189</t>
  </si>
  <si>
    <t>E1190</t>
  </si>
  <si>
    <t>E1191</t>
  </si>
  <si>
    <t>E1192</t>
  </si>
  <si>
    <t>E1193</t>
  </si>
  <si>
    <t>E1194</t>
  </si>
  <si>
    <t>E1195</t>
  </si>
  <si>
    <t>E1196</t>
  </si>
  <si>
    <t>E1197</t>
  </si>
  <si>
    <t>E1198</t>
  </si>
  <si>
    <t>E1199</t>
  </si>
  <si>
    <t>E1200</t>
  </si>
  <si>
    <t>E1201</t>
  </si>
  <si>
    <t>E1202</t>
  </si>
  <si>
    <t>E1203</t>
  </si>
  <si>
    <t>E1204</t>
  </si>
  <si>
    <t>E1205</t>
  </si>
  <si>
    <t>E1206</t>
  </si>
  <si>
    <t>E1207</t>
  </si>
  <si>
    <t>E1208</t>
  </si>
  <si>
    <t>E1209</t>
  </si>
  <si>
    <t>E1210</t>
  </si>
  <si>
    <t>E1211</t>
  </si>
  <si>
    <t>E1212</t>
  </si>
  <si>
    <t>E1213</t>
  </si>
  <si>
    <t>E1214</t>
  </si>
  <si>
    <t>E1215</t>
  </si>
  <si>
    <t>E1216</t>
  </si>
  <si>
    <t>E1217</t>
  </si>
  <si>
    <t>E1218</t>
  </si>
  <si>
    <t>E1219</t>
  </si>
  <si>
    <t>E1220</t>
  </si>
  <si>
    <t>E1221</t>
  </si>
  <si>
    <t>E1222</t>
  </si>
  <si>
    <t>E1223</t>
  </si>
  <si>
    <t>E1224</t>
  </si>
  <si>
    <t>E1225</t>
  </si>
  <si>
    <t>E1226</t>
  </si>
  <si>
    <t>E1227</t>
  </si>
  <si>
    <t>E1228</t>
  </si>
  <si>
    <t>E1229</t>
  </si>
  <si>
    <t>E1230</t>
  </si>
  <si>
    <t>E1231</t>
  </si>
  <si>
    <t>E1232</t>
  </si>
  <si>
    <t>E1233</t>
  </si>
  <si>
    <t>E1234</t>
  </si>
  <si>
    <t>E1235</t>
  </si>
  <si>
    <t>E1236</t>
  </si>
  <si>
    <t>E1237</t>
  </si>
  <si>
    <t>E1238</t>
  </si>
  <si>
    <t>E1239</t>
  </si>
  <si>
    <t>E1240</t>
  </si>
  <si>
    <t>E1241</t>
  </si>
  <si>
    <t>E1242</t>
  </si>
  <si>
    <t>E1243</t>
  </si>
  <si>
    <t>E1244</t>
  </si>
  <si>
    <t>E1245</t>
  </si>
  <si>
    <t>E1246</t>
  </si>
  <si>
    <t>E1247</t>
  </si>
  <si>
    <t>E1248</t>
  </si>
  <si>
    <t>E1249</t>
  </si>
  <si>
    <t>E1250</t>
  </si>
  <si>
    <t>E1251</t>
  </si>
  <si>
    <t>E1252</t>
  </si>
  <si>
    <t>E1253</t>
  </si>
  <si>
    <t>E1254</t>
  </si>
  <si>
    <t>E1255</t>
  </si>
  <si>
    <t>E1256</t>
  </si>
  <si>
    <t>E1257</t>
  </si>
  <si>
    <t>E1258</t>
  </si>
  <si>
    <t>E1259</t>
  </si>
  <si>
    <t>E1260</t>
  </si>
  <si>
    <t>E1261</t>
  </si>
  <si>
    <t>E1262</t>
  </si>
  <si>
    <t>E1263</t>
  </si>
  <si>
    <t>E1264</t>
  </si>
  <si>
    <t>E1265</t>
  </si>
  <si>
    <t>E1266</t>
  </si>
  <si>
    <t>E1267</t>
  </si>
  <si>
    <t>E1268</t>
  </si>
  <si>
    <t>E1269</t>
  </si>
  <si>
    <t>E1270</t>
  </si>
  <si>
    <t>E1271</t>
  </si>
  <si>
    <t>E1272</t>
  </si>
  <si>
    <t>E1273</t>
  </si>
  <si>
    <t>E1274</t>
  </si>
  <si>
    <t>E1275</t>
  </si>
  <si>
    <t>E1276</t>
  </si>
  <si>
    <t>E1277</t>
  </si>
  <si>
    <t>E1278</t>
  </si>
  <si>
    <t>E1279</t>
  </si>
  <si>
    <t>E1280</t>
  </si>
  <si>
    <t>E1281</t>
  </si>
  <si>
    <t>E1282</t>
  </si>
  <si>
    <t>E1283</t>
  </si>
  <si>
    <t>E1284</t>
  </si>
  <si>
    <t>E1285</t>
  </si>
  <si>
    <t>E1286</t>
  </si>
  <si>
    <t>E1287</t>
  </si>
  <si>
    <t>E1288</t>
  </si>
  <si>
    <t>E1289</t>
  </si>
  <si>
    <t>E1290</t>
  </si>
  <si>
    <t>E1291</t>
  </si>
  <si>
    <t>E1292</t>
  </si>
  <si>
    <t>E1293</t>
  </si>
  <si>
    <t>E1294</t>
  </si>
  <si>
    <t>E1295</t>
  </si>
  <si>
    <t>E1296</t>
  </si>
  <si>
    <t>E1297</t>
  </si>
  <si>
    <t>E1298</t>
  </si>
  <si>
    <t>E1299</t>
  </si>
  <si>
    <t>E1300</t>
  </si>
  <si>
    <t>E1301</t>
  </si>
  <si>
    <t>E1302</t>
  </si>
  <si>
    <t>E1303</t>
  </si>
  <si>
    <t>E1304</t>
  </si>
  <si>
    <t>E1305</t>
  </si>
  <si>
    <t>E1306</t>
  </si>
  <si>
    <t>EvoSuite works on solution-space artifacts</t>
  </si>
  <si>
    <t>E1307</t>
  </si>
  <si>
    <t>E1308</t>
  </si>
  <si>
    <t>E1309</t>
  </si>
  <si>
    <t>E1310</t>
  </si>
  <si>
    <t>E1311</t>
  </si>
  <si>
    <t>E1312</t>
  </si>
  <si>
    <t>E1313</t>
  </si>
  <si>
    <t>E1314</t>
  </si>
  <si>
    <t>E1315</t>
  </si>
  <si>
    <t>E1316</t>
  </si>
  <si>
    <t>E1317</t>
  </si>
  <si>
    <t>E1318</t>
  </si>
  <si>
    <t>E1319</t>
  </si>
  <si>
    <t>E1320</t>
  </si>
  <si>
    <t>E1321</t>
  </si>
  <si>
    <t>E1322</t>
  </si>
  <si>
    <t>E1323</t>
  </si>
  <si>
    <t>E1324</t>
  </si>
  <si>
    <t>E1325</t>
  </si>
  <si>
    <t>E1326</t>
  </si>
  <si>
    <t>E1327</t>
  </si>
  <si>
    <t>E1328</t>
  </si>
  <si>
    <t>E1329</t>
  </si>
  <si>
    <t>E1330</t>
  </si>
  <si>
    <t>E1331</t>
  </si>
  <si>
    <t>E1332</t>
  </si>
  <si>
    <t>E1333</t>
  </si>
  <si>
    <t>E1334</t>
  </si>
  <si>
    <t>E1335</t>
  </si>
  <si>
    <t>E1336</t>
  </si>
  <si>
    <t>E1337</t>
  </si>
  <si>
    <t>E1338</t>
  </si>
  <si>
    <t>E1339</t>
  </si>
  <si>
    <t>E1340</t>
  </si>
  <si>
    <t>E1341</t>
  </si>
  <si>
    <t>In this paper, specifications refers to formal specifications of solution artifacts</t>
  </si>
  <si>
    <t>E1342</t>
  </si>
  <si>
    <t>E1343</t>
  </si>
  <si>
    <t>E1344</t>
  </si>
  <si>
    <t>E1345</t>
  </si>
  <si>
    <t>E1346</t>
  </si>
  <si>
    <t>E1347</t>
  </si>
  <si>
    <t>E1348</t>
  </si>
  <si>
    <t>E1349</t>
  </si>
  <si>
    <t>E1350</t>
  </si>
  <si>
    <t>E1351</t>
  </si>
  <si>
    <t>E1352</t>
  </si>
  <si>
    <t>E1353</t>
  </si>
  <si>
    <t>E1354</t>
  </si>
  <si>
    <t>E1355</t>
  </si>
  <si>
    <t>E1356</t>
  </si>
  <si>
    <t>E1357</t>
  </si>
  <si>
    <t>E1358</t>
  </si>
  <si>
    <t>E1359</t>
  </si>
  <si>
    <t>E1360</t>
  </si>
  <si>
    <t>E1361</t>
  </si>
  <si>
    <t>E1362</t>
  </si>
  <si>
    <t>E1363</t>
  </si>
  <si>
    <t>E1364</t>
  </si>
  <si>
    <t>E1365</t>
  </si>
  <si>
    <t>E1366</t>
  </si>
  <si>
    <t>E1367</t>
  </si>
  <si>
    <t>E1368</t>
  </si>
  <si>
    <t>E1369</t>
  </si>
  <si>
    <t>E1370</t>
  </si>
  <si>
    <t>E1371</t>
  </si>
  <si>
    <t>E1372</t>
  </si>
  <si>
    <t>E1373</t>
  </si>
  <si>
    <t>E1374</t>
  </si>
  <si>
    <t>E1375</t>
  </si>
  <si>
    <t>E1376</t>
  </si>
  <si>
    <t>E1377</t>
  </si>
  <si>
    <t>E1378</t>
  </si>
  <si>
    <t>E1379</t>
  </si>
  <si>
    <t>E1380</t>
  </si>
  <si>
    <t>E1381</t>
  </si>
  <si>
    <t>E1382</t>
  </si>
  <si>
    <t>E1383</t>
  </si>
  <si>
    <t>E1384</t>
  </si>
  <si>
    <t>E1385</t>
  </si>
  <si>
    <t>E1386</t>
  </si>
  <si>
    <t>E1387</t>
  </si>
  <si>
    <t>E1388</t>
  </si>
  <si>
    <t>E1389</t>
  </si>
  <si>
    <t>E1390</t>
  </si>
  <si>
    <t>E1391</t>
  </si>
  <si>
    <t>E1392</t>
  </si>
  <si>
    <t>E1393</t>
  </si>
  <si>
    <t>E1394</t>
  </si>
  <si>
    <t>E1395</t>
  </si>
  <si>
    <t>E1396</t>
  </si>
  <si>
    <t>E1397</t>
  </si>
  <si>
    <t>E1398</t>
  </si>
  <si>
    <t>E1399</t>
  </si>
  <si>
    <t>E1400</t>
  </si>
  <si>
    <t>E1401</t>
  </si>
  <si>
    <t>E1402</t>
  </si>
  <si>
    <t>E1403</t>
  </si>
  <si>
    <t>E1404</t>
  </si>
  <si>
    <t>E1405</t>
  </si>
  <si>
    <t>E1406</t>
  </si>
  <si>
    <t>E1407</t>
  </si>
  <si>
    <t>E1408</t>
  </si>
  <si>
    <t>E1409</t>
  </si>
  <si>
    <t>E1410</t>
  </si>
  <si>
    <t>E1411</t>
  </si>
  <si>
    <t>E1412</t>
  </si>
  <si>
    <t>E1413</t>
  </si>
  <si>
    <t>E1414</t>
  </si>
  <si>
    <t>E1415</t>
  </si>
  <si>
    <t>E1416</t>
  </si>
  <si>
    <t>E1417</t>
  </si>
  <si>
    <t>E1418</t>
  </si>
  <si>
    <t>E1419</t>
  </si>
  <si>
    <t>E1420</t>
  </si>
  <si>
    <t>E1421</t>
  </si>
  <si>
    <t>E1422</t>
  </si>
  <si>
    <t>E1423</t>
  </si>
  <si>
    <t>E1424</t>
  </si>
  <si>
    <t>E1425</t>
  </si>
  <si>
    <t>E1426</t>
  </si>
  <si>
    <t>E1427</t>
  </si>
  <si>
    <t>E1428</t>
  </si>
  <si>
    <t>E1429</t>
  </si>
  <si>
    <t>E1430</t>
  </si>
  <si>
    <t>E1431</t>
  </si>
  <si>
    <t>E1432</t>
  </si>
  <si>
    <t>E1433</t>
  </si>
  <si>
    <t>E1434</t>
  </si>
  <si>
    <t>E1435</t>
  </si>
  <si>
    <t>E1436</t>
  </si>
  <si>
    <t>E1437</t>
  </si>
  <si>
    <t>E1438</t>
  </si>
  <si>
    <t>E1439</t>
  </si>
  <si>
    <t>E1440</t>
  </si>
  <si>
    <t>E1441</t>
  </si>
  <si>
    <t>E1442</t>
  </si>
  <si>
    <t>E1443</t>
  </si>
  <si>
    <t>E1444</t>
  </si>
  <si>
    <t>E1445</t>
  </si>
  <si>
    <t>E1446</t>
  </si>
  <si>
    <t>Acronym</t>
  </si>
  <si>
    <t>Source</t>
  </si>
  <si>
    <t>Candidate Papers</t>
  </si>
  <si>
    <t>N</t>
  </si>
  <si>
    <t>Importrange</t>
  </si>
  <si>
    <t>Columns</t>
  </si>
  <si>
    <t>Sheet Access</t>
  </si>
  <si>
    <t>Imported</t>
  </si>
  <si>
    <t>Imp</t>
  </si>
  <si>
    <t>Cp</t>
  </si>
  <si>
    <t>CP</t>
  </si>
  <si>
    <t>☑</t>
  </si>
  <si>
    <t>Inc</t>
  </si>
  <si>
    <t>IP</t>
  </si>
  <si>
    <t>I would add an exclusion criterion for literature survey studies (SMS, SLRs etc.). Motivation is that we are interested in primary studies. If an SLR on experiments in RE would already exist, we would not have to do this work but could simply reuse their primary studies.</t>
  </si>
  <si>
    <t>I asume here that a DRD does not fall under our definition of a requirements specification. I assume a DRD is a solution space document.</t>
  </si>
  <si>
    <t>No humans involved.</t>
  </si>
  <si>
    <t>Artifact is in the solution space.</t>
  </si>
  <si>
    <t xml:space="preserve">There is very little information about the experiment in the abstract, but it is possible that they start with requirements as input and end up with some software at the end. </t>
  </si>
  <si>
    <t>Unclear if humans were involved in the experiment. I assume here that the SCR (problem space) is the input for creating a finite-state automation (solution space).</t>
  </si>
  <si>
    <t>Very likely that no humans were involved in the experiment, but recommended to read full text to confirm.</t>
  </si>
  <si>
    <t>Requirements defects are identified, there is no subsequent artifact.</t>
  </si>
  <si>
    <t>Nice but not an experiment.</t>
  </si>
  <si>
    <t>unsure about the input of the study.</t>
  </si>
  <si>
    <t>excluded, "elicitation experiment"</t>
  </si>
  <si>
    <t>no humans involved</t>
  </si>
  <si>
    <t>unsure about input and whether humans are involved or not</t>
  </si>
  <si>
    <t>evaluation of different methods</t>
  </si>
  <si>
    <t>theoretical paper, no real experiment</t>
  </si>
  <si>
    <t>humans are involved and requirements are used as an input for the experiment, I am still struggeling with criterion 3. Consolidating two requirements sets leads to "a variant of the input", doesn't it?</t>
  </si>
  <si>
    <t>all inclusion criteria are met, "test derivation experiment"</t>
  </si>
  <si>
    <t>requirements elicitation --&gt; exclude</t>
  </si>
  <si>
    <t>requirements elicitation --&gt; exlude</t>
  </si>
  <si>
    <t>requirements elicitation ?</t>
  </si>
  <si>
    <t>include criteria are met</t>
  </si>
  <si>
    <t>requirements --&gt; bug fixing</t>
  </si>
  <si>
    <t>IDs</t>
  </si>
  <si>
    <t>Rater 1</t>
  </si>
  <si>
    <t>Rater 2</t>
  </si>
  <si>
    <t>Agree</t>
  </si>
  <si>
    <t xml:space="preserve">I agree that I2 is not met. </t>
  </si>
  <si>
    <t>The disagreement is based on whether a "Design Rationale Documentation" is a problem- or solution-space specification. This is hard to decide based on the abstract alone and the disagreement is understandable. Cases like these will be flagged as "unclear" and double-checked using the full text.</t>
  </si>
  <si>
    <t>This is a similar case as E35, but for "graphical and textual pattern-based behavioral constraints." Here, I am more confident that these are problem-space documents ("constraints" are often used in the definition of requirements). But again, this needs to be decided based on the full text.</t>
  </si>
  <si>
    <t>I would claim that I3 is not met: the goal of the experimental task is to detect defects in the requirements specification, which is explicitly excluded by I3.</t>
  </si>
  <si>
    <t>I agree, this was a mislabeling on my side: I1 is indeed not met, the paper does not describe an experiment.</t>
  </si>
  <si>
    <t>Comment</t>
  </si>
  <si>
    <t>Percentage Agreement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</si>
</sst>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rgb="FFFFFFFF"/>
      <name val="Arial"/>
      <scheme val="minor"/>
    </font>
    <font>
      <color theme="1"/>
      <name val="Arial"/>
      <scheme val="minor"/>
    </font>
    <font>
      <u/>
      <color rgb="FF0000FF"/>
    </font>
    <font>
      <b/>
      <color theme="1"/>
      <name val="Arial"/>
      <scheme val="minor"/>
    </font>
  </fonts>
  <fills count="5">
    <fill>
      <patternFill patternType="none"/>
    </fill>
    <fill>
      <patternFill patternType="lightGray"/>
    </fill>
    <fill>
      <patternFill patternType="solid">
        <fgColor rgb="FF666666"/>
        <bgColor rgb="FF666666"/>
      </patternFill>
    </fill>
    <fill>
      <patternFill patternType="solid">
        <fgColor rgb="FFFCE5CD"/>
        <bgColor rgb="FFFCE5CD"/>
      </patternFill>
    </fill>
    <fill>
      <patternFill patternType="solid">
        <fgColor rgb="FFF4CCCC"/>
        <bgColor rgb="FFF4CCCC"/>
      </patternFill>
    </fill>
  </fills>
  <borders count="4">
    <border/>
    <border>
      <left style="thin">
        <color rgb="FF000000"/>
      </left>
    </border>
    <border>
      <right style="thin">
        <color rgb="FF000000"/>
      </right>
    </border>
    <border>
      <left style="thin">
        <color rgb="FF000000"/>
      </left>
      <right style="thin">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readingOrder="0" shrinkToFit="0" wrapText="1"/>
    </xf>
    <xf borderId="0" fillId="2" fontId="1" numFmtId="0" xfId="0" applyAlignment="1" applyFont="1">
      <alignment readingOrder="0" vertical="center"/>
    </xf>
    <xf borderId="0" fillId="2" fontId="1" numFmtId="0" xfId="0" applyAlignment="1" applyFont="1">
      <alignment horizontal="center" readingOrder="0"/>
    </xf>
    <xf borderId="0" fillId="0" fontId="2" numFmtId="0" xfId="0" applyAlignment="1" applyFont="1">
      <alignment horizontal="center" readingOrder="0" shrinkToFit="0" wrapText="1"/>
    </xf>
    <xf borderId="1" fillId="0" fontId="2" numFmtId="0" xfId="0" applyAlignment="1" applyBorder="1" applyFont="1">
      <alignment shrinkToFit="0" wrapText="1"/>
    </xf>
    <xf borderId="0" fillId="0" fontId="2" numFmtId="0" xfId="0" applyAlignment="1" applyFont="1">
      <alignment shrinkToFit="0" wrapText="1"/>
    </xf>
    <xf borderId="2" fillId="0" fontId="2" numFmtId="0" xfId="0" applyAlignment="1" applyBorder="1" applyFont="1">
      <alignment shrinkToFit="0" wrapText="1"/>
    </xf>
    <xf borderId="0" fillId="0" fontId="2" numFmtId="0" xfId="0" applyAlignment="1" applyFont="1">
      <alignment readingOrder="0" vertical="center"/>
    </xf>
    <xf borderId="0" fillId="0" fontId="2" numFmtId="0" xfId="0" applyAlignment="1" applyFont="1">
      <alignment vertical="center"/>
    </xf>
    <xf borderId="1" fillId="0" fontId="2" numFmtId="0" xfId="0" applyBorder="1" applyFont="1"/>
    <xf borderId="2" fillId="0" fontId="2" numFmtId="0" xfId="0" applyAlignment="1" applyBorder="1" applyFont="1">
      <alignment readingOrder="0"/>
    </xf>
    <xf borderId="0" fillId="0" fontId="2" numFmtId="0" xfId="0" applyAlignment="1" applyFont="1">
      <alignment readingOrder="0" shrinkToFit="0" wrapText="1"/>
    </xf>
    <xf borderId="1" fillId="0" fontId="2" numFmtId="0" xfId="0" applyAlignment="1" applyBorder="1" applyFont="1">
      <alignment shrinkToFit="0" wrapText="1"/>
    </xf>
    <xf borderId="0" fillId="0" fontId="2" numFmtId="0" xfId="0" applyAlignment="1" applyFont="1">
      <alignment shrinkToFit="0" wrapText="1"/>
    </xf>
    <xf borderId="2" fillId="0" fontId="2" numFmtId="0" xfId="0" applyBorder="1" applyFont="1"/>
    <xf borderId="0" fillId="3" fontId="2" numFmtId="0" xfId="0" applyAlignment="1" applyFill="1" applyFont="1">
      <alignment readingOrder="0" shrinkToFit="0" wrapText="1"/>
    </xf>
    <xf borderId="1" fillId="4" fontId="2" numFmtId="0" xfId="0" applyAlignment="1" applyBorder="1" applyFill="1" applyFont="1">
      <alignment shrinkToFit="0" wrapText="1"/>
    </xf>
    <xf borderId="0" fillId="2" fontId="1" numFmtId="0" xfId="0" applyAlignment="1" applyFont="1">
      <alignment readingOrder="0"/>
    </xf>
    <xf borderId="0" fillId="0" fontId="2" numFmtId="0" xfId="0" applyFont="1"/>
    <xf borderId="0" fillId="0" fontId="3" numFmtId="0" xfId="0" applyAlignment="1" applyFont="1">
      <alignment shrinkToFit="0" wrapText="1"/>
    </xf>
    <xf borderId="0" fillId="0" fontId="2" numFmtId="10" xfId="0" applyAlignment="1" applyFont="1" applyNumberFormat="1">
      <alignment shrinkToFit="0" wrapText="1"/>
    </xf>
    <xf borderId="2" fillId="0" fontId="2" numFmtId="10" xfId="0" applyAlignment="1" applyBorder="1" applyFont="1" applyNumberFormat="1">
      <alignment horizontal="center" shrinkToFit="0" wrapText="1"/>
    </xf>
    <xf borderId="0" fillId="2" fontId="1" numFmtId="0" xfId="0" applyFont="1"/>
    <xf borderId="0" fillId="2" fontId="1" numFmtId="0" xfId="0" applyAlignment="1" applyFont="1">
      <alignment shrinkToFit="0" wrapText="1"/>
    </xf>
    <xf borderId="0" fillId="2" fontId="1" numFmtId="10" xfId="0" applyAlignment="1" applyFont="1" applyNumberFormat="1">
      <alignment shrinkToFit="0" wrapText="1"/>
    </xf>
    <xf borderId="0" fillId="2" fontId="1" numFmtId="10" xfId="0" applyAlignment="1" applyFont="1" applyNumberFormat="1">
      <alignment horizontal="center" shrinkToFit="0" wrapText="1"/>
    </xf>
    <xf borderId="0" fillId="2" fontId="1" numFmtId="0" xfId="0" applyAlignment="1" applyFont="1">
      <alignment horizontal="center" readingOrder="0" vertical="center"/>
    </xf>
    <xf borderId="0" fillId="0" fontId="2" numFmtId="0" xfId="0" applyAlignment="1" applyFont="1">
      <alignment readingOrder="0"/>
    </xf>
    <xf borderId="1" fillId="0" fontId="2" numFmtId="0" xfId="0" applyAlignment="1" applyBorder="1" applyFont="1">
      <alignment readingOrder="0" vertical="center"/>
    </xf>
    <xf borderId="2" fillId="0" fontId="2" numFmtId="0" xfId="0" applyAlignment="1" applyBorder="1" applyFont="1">
      <alignment vertical="center"/>
    </xf>
    <xf borderId="2" fillId="0" fontId="2" numFmtId="0" xfId="0" applyAlignment="1" applyBorder="1" applyFont="1">
      <alignment readingOrder="0" vertical="center"/>
    </xf>
    <xf borderId="1" fillId="0" fontId="2" numFmtId="0" xfId="0" applyAlignment="1" applyBorder="1" applyFont="1">
      <alignment vertical="center"/>
    </xf>
    <xf borderId="2" fillId="0" fontId="4" numFmtId="0" xfId="0" applyBorder="1" applyFont="1"/>
    <xf borderId="3" fillId="0" fontId="2" numFmtId="0" xfId="0" applyBorder="1" applyFont="1"/>
    <xf borderId="1" fillId="0" fontId="2" numFmtId="0" xfId="0" applyAlignment="1" applyBorder="1" applyFont="1">
      <alignment readingOrder="0"/>
    </xf>
    <xf borderId="0" fillId="2" fontId="1" numFmtId="10" xfId="0" applyFont="1" applyNumberFormat="1"/>
    <xf borderId="2" fillId="2" fontId="1" numFmtId="10" xfId="0" applyBorder="1" applyFont="1" applyNumberFormat="1"/>
  </cellXfs>
  <cellStyles count="1">
    <cellStyle xfId="0" name="Normal" builtinId="0"/>
  </cellStyles>
  <dxfs count="14">
    <dxf>
      <font>
        <color rgb="FFFFFFFF"/>
      </font>
      <fill>
        <patternFill patternType="solid">
          <fgColor rgb="FF93C47D"/>
          <bgColor rgb="FF93C47D"/>
        </patternFill>
      </fill>
      <border/>
    </dxf>
    <dxf>
      <font>
        <color rgb="FFFFFFFF"/>
      </font>
      <fill>
        <patternFill patternType="solid">
          <fgColor rgb="FFE06666"/>
          <bgColor rgb="FFE06666"/>
        </patternFill>
      </fill>
      <border/>
    </dxf>
    <dxf>
      <font>
        <color rgb="FFFFFFFF"/>
      </font>
      <fill>
        <patternFill patternType="solid">
          <fgColor rgb="FF38761D"/>
          <bgColor rgb="FF38761D"/>
        </patternFill>
      </fill>
      <border/>
    </dxf>
    <dxf>
      <font/>
      <fill>
        <patternFill patternType="solid">
          <fgColor rgb="FFF4CCCC"/>
          <bgColor rgb="FFF4CCCC"/>
        </patternFill>
      </fill>
      <border/>
    </dxf>
    <dxf>
      <font/>
      <fill>
        <patternFill patternType="solid">
          <fgColor rgb="FF38761D"/>
          <bgColor rgb="FF38761D"/>
        </patternFill>
      </fill>
      <border/>
    </dxf>
    <dxf>
      <font>
        <color rgb="FFFFFFFF"/>
      </font>
      <fill>
        <patternFill patternType="solid">
          <fgColor rgb="FFF1C232"/>
          <bgColor rgb="FFF1C232"/>
        </patternFill>
      </fill>
      <border/>
    </dxf>
    <dxf>
      <font>
        <color rgb="FF434343"/>
      </font>
      <fill>
        <patternFill patternType="solid">
          <fgColor rgb="FFEFEFEF"/>
          <bgColor rgb="FFEFEFEF"/>
        </patternFill>
      </fill>
      <border/>
    </dxf>
    <dxf>
      <font>
        <color rgb="FFFFFFFF"/>
      </font>
      <fill>
        <patternFill patternType="solid">
          <fgColor rgb="FF0B5394"/>
          <bgColor rgb="FF0B5394"/>
        </patternFill>
      </fill>
      <border/>
    </dxf>
    <dxf>
      <font/>
      <fill>
        <patternFill patternType="solid">
          <fgColor rgb="FFB6D7A8"/>
          <bgColor rgb="FFB6D7A8"/>
        </patternFill>
      </fill>
      <border/>
    </dxf>
    <dxf>
      <font/>
      <fill>
        <patternFill patternType="solid">
          <fgColor rgb="FF0B5394"/>
          <bgColor rgb="FF0B5394"/>
        </patternFill>
      </fill>
      <border/>
    </dxf>
    <dxf>
      <font/>
      <fill>
        <patternFill patternType="solid">
          <fgColor rgb="FF93C47D"/>
          <bgColor rgb="FF93C47D"/>
        </patternFill>
      </fill>
      <border/>
    </dxf>
    <dxf>
      <font/>
      <fill>
        <patternFill patternType="solid">
          <fgColor rgb="FFEA9999"/>
          <bgColor rgb="FFEA9999"/>
        </patternFill>
      </fill>
      <border/>
    </dxf>
    <dxf>
      <font/>
      <fill>
        <patternFill patternType="solid">
          <fgColor rgb="FFF1C232"/>
          <bgColor rgb="FFF1C232"/>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spreadsheets/d/13_V1bFgl5VY4egORwspdNfkmDLk-pFeD_PKYC7-zK0c/edit" TargetMode="External"/><Relationship Id="rId22" Type="http://schemas.openxmlformats.org/officeDocument/2006/relationships/hyperlink" Target="https://docs.google.com/spreadsheets/d/1cvXGnCvcOQT6ErQ_c1Lx9satDg-8z3kF_ngk_2pCHF0/edit" TargetMode="External"/><Relationship Id="rId21" Type="http://schemas.openxmlformats.org/officeDocument/2006/relationships/hyperlink" Target="https://docs.google.com/spreadsheets/d/1otqpvZcxkrW5NLrajDI_wtL-PwyIAjIZesWebL8rEFA/edit" TargetMode="External"/><Relationship Id="rId24" Type="http://schemas.openxmlformats.org/officeDocument/2006/relationships/hyperlink" Target="https://docs.google.com/spreadsheets/d/1MxY-sMyOvfkwK73Y1Ht5_-Gw1SH9uj4CPqjX2DliC28/edit" TargetMode="External"/><Relationship Id="rId23" Type="http://schemas.openxmlformats.org/officeDocument/2006/relationships/hyperlink" Target="https://docs.google.com/spreadsheets/d/1vNCSvwWkknUK8DSp0lA6cuRU8u41V_baEsPCEy1aH9c/edit" TargetMode="External"/><Relationship Id="rId1" Type="http://schemas.openxmlformats.org/officeDocument/2006/relationships/hyperlink" Target="https://docs.google.com/spreadsheets/d/1HgVTGacHA4ooe0TRD4bHdG2wA6oy-3yVrrhxpW9jnVs/edit" TargetMode="External"/><Relationship Id="rId2" Type="http://schemas.openxmlformats.org/officeDocument/2006/relationships/hyperlink" Target="https://docs.google.com/spreadsheets/d/1GT2KBo6IE8Zj4Z7Mmcm8HiycoqxJvg2_H_16FTYQk6M/edit" TargetMode="External"/><Relationship Id="rId3" Type="http://schemas.openxmlformats.org/officeDocument/2006/relationships/hyperlink" Target="https://docs.google.com/spreadsheets/d/1v76xo1SaWAEzmLTT1gyH51xHs99CoKFRfrGW27fxilI/edit" TargetMode="External"/><Relationship Id="rId4" Type="http://schemas.openxmlformats.org/officeDocument/2006/relationships/hyperlink" Target="https://docs.google.com/spreadsheets/d/1wnt4oYasCzH8UAHPj7M7MC5gGS-6FYd7YFjmLJnYTCM/edit" TargetMode="External"/><Relationship Id="rId9" Type="http://schemas.openxmlformats.org/officeDocument/2006/relationships/hyperlink" Target="https://docs.google.com/spreadsheets/d/1EKKjupCZrZeEc_gy13XtPpL77CFV-55FNyH5blcuVBM/edit" TargetMode="External"/><Relationship Id="rId26" Type="http://schemas.openxmlformats.org/officeDocument/2006/relationships/hyperlink" Target="https://docs.google.com/spreadsheets/d/1Q4exiBVwfWsuUZ_snN6jj6cFug95FyCJhA_jQw-I0QU/edit" TargetMode="External"/><Relationship Id="rId25" Type="http://schemas.openxmlformats.org/officeDocument/2006/relationships/hyperlink" Target="https://docs.google.com/spreadsheets/d/1n1M7_FqvKoTpe5lFsLRmdLcUszH7SotDzdmoNe6o_o0/edit" TargetMode="External"/><Relationship Id="rId28" Type="http://schemas.openxmlformats.org/officeDocument/2006/relationships/hyperlink" Target="https://docs.google.com/spreadsheets/d/14l31fNEvi89F0F7bmRDtqu7pCCTEbenFJswg1FrP9Mo/edit" TargetMode="External"/><Relationship Id="rId27" Type="http://schemas.openxmlformats.org/officeDocument/2006/relationships/hyperlink" Target="https://docs.google.com/spreadsheets/d/1XvzaxhnVLonnLZfMCl1tEyfNSsdoznN8KzIk9jWkVto/edit" TargetMode="External"/><Relationship Id="rId5" Type="http://schemas.openxmlformats.org/officeDocument/2006/relationships/hyperlink" Target="https://docs.google.com/spreadsheets/d/1ZorXlWn4uh3LmF59rQCShdPQEd-aFLFmH-CmDr8cOT0/edit" TargetMode="External"/><Relationship Id="rId6" Type="http://schemas.openxmlformats.org/officeDocument/2006/relationships/hyperlink" Target="https://docs.google.com/spreadsheets/d/1AmhVykXSpIeaxvKY62Po1W_UOLsl3oU9tLNIWVnDFV4/edit" TargetMode="External"/><Relationship Id="rId29" Type="http://schemas.openxmlformats.org/officeDocument/2006/relationships/hyperlink" Target="https://docs.google.com/spreadsheets/d/1wUWDU9Y-P5rIV4Y9kJOUvoHAeI7ArnzQK-loWlW_8vQ/edit" TargetMode="External"/><Relationship Id="rId7" Type="http://schemas.openxmlformats.org/officeDocument/2006/relationships/hyperlink" Target="https://docs.google.com/spreadsheets/d/1Qe4eMGWl0MgrzUJz6H2jyygdajy5rCNSKKP_psNXv5Q/edit" TargetMode="External"/><Relationship Id="rId8" Type="http://schemas.openxmlformats.org/officeDocument/2006/relationships/hyperlink" Target="https://docs.google.com/spreadsheets/d/1xSFl5lTyOdJIsZZ8gRfjRd7nVnsZg8MCtX3k_QGopD8/edit" TargetMode="External"/><Relationship Id="rId31" Type="http://schemas.openxmlformats.org/officeDocument/2006/relationships/hyperlink" Target="https://docs.google.com/spreadsheets/d/1llNi2OVof2gqxemSkuwWz01E-vjrMO8gdTVzRueBqjw/edit" TargetMode="External"/><Relationship Id="rId30" Type="http://schemas.openxmlformats.org/officeDocument/2006/relationships/hyperlink" Target="https://docs.google.com/spreadsheets/d/1VZrLz8Ro4R0S3x_x_qLBQ2aSTs58uxaYToKZHOkG7PQ/edit" TargetMode="External"/><Relationship Id="rId11" Type="http://schemas.openxmlformats.org/officeDocument/2006/relationships/hyperlink" Target="https://docs.google.com/spreadsheets/d/11b2j1Vg6M5L1VaEyS7ZJAv2j96S9zqK05JaiHum86SY/edit" TargetMode="External"/><Relationship Id="rId33" Type="http://schemas.openxmlformats.org/officeDocument/2006/relationships/hyperlink" Target="https://docs.google.com/spreadsheets/d/1b_UQms0QKKtKjwMuCe5uK2SxR_MQGt42Aw06k4MwB6g/edit" TargetMode="External"/><Relationship Id="rId10" Type="http://schemas.openxmlformats.org/officeDocument/2006/relationships/hyperlink" Target="https://docs.google.com/spreadsheets/d/1pnqmg1SWFQ-KaQuHaN0lNzq3oYt_zFc2EsIWzAkmx64/edit" TargetMode="External"/><Relationship Id="rId32" Type="http://schemas.openxmlformats.org/officeDocument/2006/relationships/hyperlink" Target="https://docs.google.com/spreadsheets/d/165YlaQC88FZroM_RxAEAnEs-SprSVDk8VJOJFu9zcVY/edit" TargetMode="External"/><Relationship Id="rId13" Type="http://schemas.openxmlformats.org/officeDocument/2006/relationships/hyperlink" Target="https://docs.google.com/spreadsheets/d/1yEHcwI1ZRe4CXuhIG5Qk4ps6QGLJeMfUJ1ShKcAfF50/edit" TargetMode="External"/><Relationship Id="rId35" Type="http://schemas.openxmlformats.org/officeDocument/2006/relationships/hyperlink" Target="https://docs.google.com/spreadsheets/d/1Js0x7bebVjhhmgXh6NoE9pShBVhNkoBLXPa6xmtvDnw/edit" TargetMode="External"/><Relationship Id="rId12" Type="http://schemas.openxmlformats.org/officeDocument/2006/relationships/hyperlink" Target="https://docs.google.com/spreadsheets/d/1N9ptdkqtdu9nw4JQY2xpEhPIHgHO95bnmJ9f4D5RrAo/edit" TargetMode="External"/><Relationship Id="rId34" Type="http://schemas.openxmlformats.org/officeDocument/2006/relationships/hyperlink" Target="https://docs.google.com/spreadsheets/d/13yiTLz32wg5tqFLjhBf1tw27MsPFcOOPWintxS5dKT0/edit" TargetMode="External"/><Relationship Id="rId15" Type="http://schemas.openxmlformats.org/officeDocument/2006/relationships/hyperlink" Target="https://docs.google.com/spreadsheets/d/1LOuzVp4h4PqWtcsuvvzpwJV2-4Vx5A1SWHHtwCwYYUw/edit" TargetMode="External"/><Relationship Id="rId14" Type="http://schemas.openxmlformats.org/officeDocument/2006/relationships/hyperlink" Target="https://docs.google.com/spreadsheets/d/1ORbwp5b1r7BsonyJAfzzRqdHoehvKTg-L_okppY13XI/edit" TargetMode="External"/><Relationship Id="rId36" Type="http://schemas.openxmlformats.org/officeDocument/2006/relationships/drawing" Target="../drawings/drawing2.xml"/><Relationship Id="rId17" Type="http://schemas.openxmlformats.org/officeDocument/2006/relationships/hyperlink" Target="https://docs.google.com/spreadsheets/d/1ydLDiVXetbV4i8Mpnmvo_ATQI7KY_RmrUy3GMNPGz_g/edit" TargetMode="External"/><Relationship Id="rId16" Type="http://schemas.openxmlformats.org/officeDocument/2006/relationships/hyperlink" Target="https://docs.google.com/spreadsheets/d/1MGOL2ZCWdHLea3lqRfyc3oA33YwUUmM2jaOlotpvAmA/edit" TargetMode="External"/><Relationship Id="rId19" Type="http://schemas.openxmlformats.org/officeDocument/2006/relationships/hyperlink" Target="https://docs.google.com/spreadsheets/d/1DKaAElaMhyZsU2x1MJIjX8Hf0KXMMbcm4DSYnPUvifQ/edit" TargetMode="External"/><Relationship Id="rId18" Type="http://schemas.openxmlformats.org/officeDocument/2006/relationships/hyperlink" Target="https://docs.google.com/spreadsheets/d/14xdpeMA2XsF7qxyajHuAMxKGRGhL0v78q0ZPOeK6EH0/edi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8"/>
    <col customWidth="1" min="2" max="2" width="6.38"/>
    <col customWidth="1" min="3" max="4" width="25.13"/>
    <col customWidth="1" min="5" max="5" width="37.63"/>
    <col customWidth="1" min="6" max="6" width="8.88"/>
    <col customWidth="1" min="7" max="7" width="87.63"/>
    <col customWidth="1" min="8" max="8" width="31.38"/>
    <col customWidth="1" min="9" max="16" width="5.13"/>
    <col customWidth="1" min="17" max="17" width="50.13"/>
  </cols>
  <sheetData>
    <row r="1">
      <c r="A1" s="1" t="b">
        <v>0</v>
      </c>
      <c r="B1" s="1" t="s">
        <v>0</v>
      </c>
      <c r="C1" s="2" t="s">
        <v>1</v>
      </c>
      <c r="D1" s="2" t="s">
        <v>2</v>
      </c>
      <c r="E1" s="2" t="s">
        <v>3</v>
      </c>
      <c r="F1" s="2" t="s">
        <v>4</v>
      </c>
      <c r="G1" s="2" t="s">
        <v>5</v>
      </c>
      <c r="H1" s="2" t="s">
        <v>6</v>
      </c>
      <c r="I1" s="3" t="s">
        <v>7</v>
      </c>
      <c r="J1" s="3" t="s">
        <v>8</v>
      </c>
      <c r="K1" s="3" t="s">
        <v>9</v>
      </c>
      <c r="L1" s="3" t="s">
        <v>10</v>
      </c>
      <c r="M1" s="3" t="s">
        <v>11</v>
      </c>
      <c r="N1" s="3" t="s">
        <v>12</v>
      </c>
      <c r="O1" s="4" t="s">
        <v>13</v>
      </c>
      <c r="P1" s="4" t="s">
        <v>14</v>
      </c>
      <c r="Q1" s="2" t="s">
        <v>15</v>
      </c>
    </row>
    <row r="2">
      <c r="A2" s="5" t="b">
        <v>1</v>
      </c>
      <c r="B2" s="5" t="s">
        <v>10</v>
      </c>
      <c r="C2" s="6" t="str">
        <f>IFERROR(__xludf.DUMMYFUNCTION("{CHOOSECOLS(IMPORTRANGE(Venues!C2, Venues!E2), SPLIT(Venues!F2, "";"")); CHOOSECOLS(IMPORTRANGE(Venues!C3, Venues!E3), SPLIT(Venues!F3, "";"")); CHOOSECOLS(IMPORTRANGE(Venues!C4, Venues!E4), SPLIT(Venues!F4, "";"")); CHOOSECOLS(IMPORTRANGE(Venues!C5, Venu"&amp;"es!E5), SPLIT(Venues!F5, "";"")); CHOOSECOLS(IMPORTRANGE(Venues!C6, Venues!E6), SPLIT(Venues!F6, "";"")); CHOOSECOLS(IMPORTRANGE(Venues!C7, Venues!E7), SPLIT(Venues!F7, "";"")); CHOOSECOLS(IMPORTRANGE(Venues!C8, Venues!E8), SPLIT(Venues!F8, "";"")); CHOOS"&amp;"ECOLS(IMPORTRANGE(Venues!C9, Venues!E9), SPLIT(Venues!F9, "";"")); CHOOSECOLS(IMPORTRANGE(Venues!C10, Venues!E10), SPLIT(Venues!F10, "";"")); CHOOSECOLS(IMPORTRANGE(Venues!C11, Venues!E11), SPLIT(Venues!F11, "";"")); CHOOSECOLS(IMPORTRANGE(Venues!C12, Ven"&amp;"ues!E12), SPLIT(Venues!F12, "";"")); CHOOSECOLS(IMPORTRANGE(Venues!C13, Venues!E13), SPLIT(Venues!F13, "";"")); CHOOSECOLS(IMPORTRANGE(Venues!C14, Venues!E14), SPLIT(Venues!F14, "";"")); CHOOSECOLS(IMPORTRANGE(Venues!C15, Venues!E15), SPLIT(Venues!F15, """&amp;";"")); CHOOSECOLS(IMPORTRANGE(Venues!C16, Venues!E16), SPLIT(Venues!F16, "";"")); CHOOSECOLS(IMPORTRANGE(Venues!C17, Venues!E17), SPLIT(Venues!F17, "";"")); CHOOSECOLS(IMPORTRANGE(Venues!C18, Venues!E18), SPLIT(Venues!F18, "";"")); CHOOSECOLS(IMPORTRANGE("&amp;"Venues!C19, Venues!E19), SPLIT(Venues!F19, "";"")); CHOOSECOLS(IMPORTRANGE(Venues!C20, Venues!E20), SPLIT(Venues!F20, "";"")); CHOOSECOLS(IMPORTRANGE(Venues!C21, Venues!E21), SPLIT(Venues!F21, "";"")); CHOOSECOLS(IMPORTRANGE(Venues!C22, Venues!E22), SPLIT"&amp;"(Venues!F22, "";"")); CHOOSECOLS(IMPORTRANGE(Venues!C23, Venues!E23), SPLIT(Venues!F23, "";"")); CHOOSECOLS(IMPORTRANGE(Venues!C24, Venues!E24), SPLIT(Venues!F24, "";"")); CHOOSECOLS(IMPORTRANGE(Venues!C25, Venues!E25), SPLIT(Venues!F25, "";"")); CHOOSECO"&amp;"LS(IMPORTRANGE(Venues!C26, Venues!E26), SPLIT(Venues!F26, "";"")); CHOOSECOLS(IMPORTRANGE(Venues!C27, Venues!E27), SPLIT(Venues!F27, "";"")); CHOOSECOLS(IMPORTRANGE(Venues!C28, Venues!E28), SPLIT(Venues!F28, "";"")); CHOOSECOLS(IMPORTRANGE(Venues!C29, Ven"&amp;"ues!E29), SPLIT(Venues!F29, "";"")); CHOOSECOLS(IMPORTRANGE(Venues!C30, Venues!E30), SPLIT(Venues!F30, "";"")); CHOOSECOLS(IMPORTRANGE(Venues!C31, Venues!E31), SPLIT(Venues!F31, "";"")); CHOOSECOLS(IMPORTRANGE(Venues!C32, Venues!E32), SPLIT(Venues!F32, """&amp;";"")); CHOOSECOLS(IMPORTRANGE(Venues!C33, Venues!E33), SPLIT(Venues!F33, "";"")); CHOOSECOLS(IMPORTRANGE(Venues!C34, Venues!E34), SPLIT(Venues!F34, "";"")); CHOOSECOLS(IMPORTRANGE(Venues!C35, Venues!E35), SPLIT(Venues!F35, "";"")); CHOOSECOLS(IMPORTRANGE("&amp;"Venues!C36, Venues!E36), SPLIT(Venues!F36, "";""))}"),"10.1145/3020266")</f>
        <v>10.1145/3020266</v>
      </c>
      <c r="D2" s="7" t="str">
        <f>IFERROR(__xludf.DUMMYFUNCTION("""COMPUTED_VALUE"""),"Su T.; Wu K.; Miao W.; Pu G.; He J.; Chen Y.; Su Z.")</f>
        <v>Su T.; Wu K.; Miao W.; Pu G.; He J.; Chen Y.; Su Z.</v>
      </c>
      <c r="E2" s="7" t="str">
        <f>IFERROR(__xludf.DUMMYFUNCTION("""COMPUTED_VALUE"""),"A survey on data-flow testing")</f>
        <v>A survey on data-flow testing</v>
      </c>
      <c r="F2" s="7" t="str">
        <f>IFERROR(__xludf.DUMMYFUNCTION("""COMPUTED_VALUE"""),"CSUR")</f>
        <v>CSUR</v>
      </c>
      <c r="G2" s="7" t="str">
        <f>IFERROR(__xludf.DUMMYFUNCTION("""COMPUTED_VALUE"""),"Data-flow testing (DFT) is a family of testing strategies designed to verify the interactions between each program variable's definition and its uses. Such a test objective of interest is referred to as a def-use pair. DFT selects test data with respect t"&amp;"o various test adequacy criteria (i.e., data-flow coverage criteria) to exercise each pair. The original conception of DFT was introduced by Herman in 1976. Since then, a number of studies have been conducted, both theoretically and empirically, to analyz"&amp;"e DFT's complexity and effectiveness. In the past four decades, DFT has been continuously concerned, and various approaches from different aspects are proposed to pursue automatic and efficient data-flow testing. This survey presents a detailed overview o"&amp;"f data-flow testing, including challenges and approaches in enforcing and automating it: (1) it introduces the data-flow analysis techniques that are used to identify def-use pairs; (2) it classifies and discusses techniques for data-flow-based test data "&amp;"generation, such as search-based testing, random testing, collateral-coverage-based testing, symbolic-execution-based testing, and model-checking-based testing; (3) it discusses techniques for tracking data-flow coverage; (4) it presents several DFT appli"&amp;"cations, including software fault localization, web security testing, and specification consistency checking; and (5) it summarizes recent advances and discusses future research directions toward more practical data-flow testing. © 2017 ACM.")</f>
        <v>Data-flow testing (DFT) is a family of testing strategies designed to verify the interactions between each program variable's definition and its uses. Such a test objective of interest is referred to as a def-use pair. DFT selects test data with respect to various test adequacy criteria (i.e., data-flow coverage criteria) to exercise each pair. The original conception of DFT was introduced by Herman in 1976. Since then, a number of studies have been conducted, both theoretically and empirically, to analyze DFT's complexity and effectiveness. In the past four decades, DFT has been continuously concerned, and various approaches from different aspects are proposed to pursue automatic and efficient data-flow testing. This survey presents a detailed overview of data-flow testing, including challenges and approaches in enforcing and automating it: (1) it introduces the data-flow analysis techniques that are used to identify def-use pairs; (2) it classifies and discusses techniques for data-flow-based test data generation, such as search-based testing, random testing, collateral-coverage-based testing, symbolic-execution-based testing, and model-checking-based testing; (3) it discusses techniques for tracking data-flow coverage; (4) it presents several DFT applications, including software fault localization, web security testing, and specification consistency checking; and (5) it summarizes recent advances and discusses future research directions toward more practical data-flow testing. © 2017 ACM.</v>
      </c>
      <c r="H2" s="8" t="str">
        <f>IFERROR(__xludf.DUMMYFUNCTION("""COMPUTED_VALUE"""),"Algorithms; Coverage criteria; Coverage tracking; D.2.4 [Software/Program Verification]: Model checking; D.2.5 [Testing and Debugging]: Testing tools, Symbolic execution; Data-flow analysis; Data-flow testing; Experimentation; Reliability; Test data gener"&amp;"ation")</f>
        <v>Algorithms; Coverage criteria; Coverage tracking; D.2.4 [Software/Program Verification]: Model checking; D.2.5 [Testing and Debugging]: Testing tools, Symbolic execution; Data-flow analysis; Data-flow testing; Experimentation; Reliability; Test data generation</v>
      </c>
      <c r="I2" s="9" t="b">
        <v>0</v>
      </c>
      <c r="J2" s="9" t="b">
        <v>0</v>
      </c>
      <c r="K2" s="9" t="b">
        <v>0</v>
      </c>
      <c r="L2" s="9" t="b">
        <v>0</v>
      </c>
      <c r="M2" s="10" t="b">
        <v>0</v>
      </c>
      <c r="N2" s="10" t="b">
        <v>0</v>
      </c>
      <c r="O2" s="11" t="b">
        <f t="shared" ref="O2:O1447" si="1">AND(I2,J2,K2,NOT(L2),NOT(M2),NOT(N2))</f>
        <v>0</v>
      </c>
      <c r="P2" s="12" t="b">
        <v>0</v>
      </c>
      <c r="Q2" s="13" t="s">
        <v>16</v>
      </c>
    </row>
    <row r="3">
      <c r="A3" s="5" t="b">
        <v>1</v>
      </c>
      <c r="B3" s="5" t="s">
        <v>11</v>
      </c>
      <c r="C3" s="14" t="str">
        <f>IFERROR(__xludf.DUMMYFUNCTION("""COMPUTED_VALUE"""),"10.1145/2501654.2501660")</f>
        <v>10.1145/2501654.2501660</v>
      </c>
      <c r="D3" s="15" t="str">
        <f>IFERROR(__xludf.DUMMYFUNCTION("""COMPUTED_VALUE"""),"Basu A.; Fleming S.; Stanier J.; Naicken S.; Wakeman I.; Gurbani V.K.")</f>
        <v>Basu A.; Fleming S.; Stanier J.; Naicken S.; Wakeman I.; Gurbani V.K.</v>
      </c>
      <c r="E3" s="7" t="str">
        <f>IFERROR(__xludf.DUMMYFUNCTION("""COMPUTED_VALUE"""),"The state of peer-to-peer network simulators")</f>
        <v>The state of peer-to-peer network simulators</v>
      </c>
      <c r="F3" s="7" t="str">
        <f>IFERROR(__xludf.DUMMYFUNCTION("""COMPUTED_VALUE"""),"CSUR")</f>
        <v>CSUR</v>
      </c>
      <c r="G3" s="7" t="str">
        <f>IFERROR(__xludf.DUMMYFUNCTION("""COMPUTED_VALUE"""),"Networking research often relies on simulation in order to test and evaluate new ideas. An important requirement of this process is that results must be reproducible so that other researchers can replicate, validate, and extend existing work. We look at t"&amp;"he landscape of simulators for research in peer-to-peer (P2P) networks by conducting a survey of a combined total of over 280 papers from before and after 2007 (the year of the last survey in this area), and comment on the large quantity of research using"&amp;" bespoke, closedsource simulators. We propose a set of criteria that P2P simulators should meet, and poll the P2P research community for their agreement. We aim to drive the community towards performing their experiments on simulators that allow for other"&amp;"s to validate their results. © 2013 ACM.")</f>
        <v>Networking research often relies on simulation in order to test and evaluate new ideas. An important requirement of this process is that results must be reproducible so that other researchers can replicate, validate, and extend existing work. We look at the landscape of simulators for research in peer-to-peer (P2P) networks by conducting a survey of a combined total of over 280 papers from before and after 2007 (the year of the last survey in this area), and comment on the large quantity of research using bespoke, closedsource simulators. We propose a set of criteria that P2P simulators should meet, and poll the P2P research community for their agreement. We aim to drive the community towards performing their experiments on simulators that allow for others to validate their results. © 2013 ACM.</v>
      </c>
      <c r="H3" s="8" t="str">
        <f>IFERROR(__xludf.DUMMYFUNCTION("""COMPUTED_VALUE"""),"P2P; Peer-to-peer; Simulator evaluation; Simulator usage")</f>
        <v>P2P; Peer-to-peer; Simulator evaluation; Simulator usage</v>
      </c>
      <c r="I3" s="9" t="b">
        <v>0</v>
      </c>
      <c r="J3" s="9" t="b">
        <v>0</v>
      </c>
      <c r="K3" s="9" t="b">
        <v>0</v>
      </c>
      <c r="L3" s="10" t="b">
        <v>0</v>
      </c>
      <c r="M3" s="10" t="b">
        <v>0</v>
      </c>
      <c r="N3" s="10" t="b">
        <v>0</v>
      </c>
      <c r="O3" s="11" t="b">
        <f t="shared" si="1"/>
        <v>0</v>
      </c>
      <c r="P3" s="16" t="b">
        <v>0</v>
      </c>
      <c r="Q3" s="13" t="s">
        <v>16</v>
      </c>
    </row>
    <row r="4">
      <c r="A4" s="5" t="b">
        <v>1</v>
      </c>
      <c r="B4" s="5" t="s">
        <v>12</v>
      </c>
      <c r="C4" s="6" t="str">
        <f>IFERROR(__xludf.DUMMYFUNCTION("""COMPUTED_VALUE"""),"10.1145/3368036")</f>
        <v>10.1145/3368036</v>
      </c>
      <c r="D4" s="7" t="str">
        <f>IFERROR(__xludf.DUMMYFUNCTION("""COMPUTED_VALUE"""),"Hilman M.H.; Rodriguez M.A.; Buyya R.")</f>
        <v>Hilman M.H.; Rodriguez M.A.; Buyya R.</v>
      </c>
      <c r="E4" s="7" t="str">
        <f>IFERROR(__xludf.DUMMYFUNCTION("""COMPUTED_VALUE"""),"Multiple workflows scheduling in multi-tenant distributed systems: A taxonomy and future directions")</f>
        <v>Multiple workflows scheduling in multi-tenant distributed systems: A taxonomy and future directions</v>
      </c>
      <c r="F4" s="7" t="str">
        <f>IFERROR(__xludf.DUMMYFUNCTION("""COMPUTED_VALUE"""),"CSUR")</f>
        <v>CSUR</v>
      </c>
      <c r="G4" s="7" t="str">
        <f>IFERROR(__xludf.DUMMYFUNCTION("""COMPUTED_VALUE"""),"Workflows are an application model that enables the automated execution of multiple interdependent and interconnected tasks. They are widely used by the scientific community to manage the distributed execution and dataflow of complex simulations and exper"&amp;"iments. As the popularity of scientific workflows continue to rise, and their computational requirements continue to increase, the emergence and adoption of multi-tenant computing platforms that offer the execution of these workflows as a service becomes "&amp;"widespread. This article discusses the scheduling and resource provisioning problems particular to this type of platform. It presents a detailed taxonomy and a comprehensive survey of the current literature and identifies future directions to foster resea"&amp;"rch in the field of multiple workflow scheduling in multi-tenant distributed computing systems. © 2020 Copyright held by the owner/author(s). Publication rights licensed to ACM.")</f>
        <v>Workflows are an application model that enables the automated execution of multiple interdependent and interconnected tasks. They are widely used by the scientific community to manage the distributed execution and dataflow of complex simulations and experiments. As the popularity of scientific workflows continue to rise, and their computational requirements continue to increase, the emergence and adoption of multi-tenant computing platforms that offer the execution of these workflows as a service becomes widespread. This article discusses the scheduling and resource provisioning problems particular to this type of platform. It presents a detailed taxonomy and a comprehensive survey of the current literature and identifies future directions to foster research in the field of multiple workflow scheduling in multi-tenant distributed computing systems. © 2020 Copyright held by the owner/author(s). Publication rights licensed to ACM.</v>
      </c>
      <c r="H4" s="8" t="str">
        <f>IFERROR(__xludf.DUMMYFUNCTION("""COMPUTED_VALUE"""),"Multi-tenant platforms; Multiple workflows scheduling; Scientific workflows")</f>
        <v>Multi-tenant platforms; Multiple workflows scheduling; Scientific workflows</v>
      </c>
      <c r="I4" s="10" t="b">
        <v>0</v>
      </c>
      <c r="J4" s="10" t="b">
        <v>0</v>
      </c>
      <c r="K4" s="10" t="b">
        <v>0</v>
      </c>
      <c r="L4" s="10" t="b">
        <v>0</v>
      </c>
      <c r="M4" s="10" t="b">
        <v>0</v>
      </c>
      <c r="N4" s="10" t="b">
        <v>0</v>
      </c>
      <c r="O4" s="11" t="b">
        <f t="shared" si="1"/>
        <v>0</v>
      </c>
      <c r="P4" s="16" t="b">
        <v>0</v>
      </c>
      <c r="Q4" s="7"/>
    </row>
    <row r="5">
      <c r="A5" s="5" t="b">
        <v>1</v>
      </c>
      <c r="B5" s="5" t="s">
        <v>17</v>
      </c>
      <c r="C5" s="6" t="str">
        <f>IFERROR(__xludf.DUMMYFUNCTION("""COMPUTED_VALUE"""),"10.1145/3450504")</f>
        <v>10.1145/3450504</v>
      </c>
      <c r="D5" s="7" t="str">
        <f>IFERROR(__xludf.DUMMYFUNCTION("""COMPUTED_VALUE"""),"Huang X.; Ho T.-Y.; Guo W.; Li B.; Chakrabarty K.; Schlichtmann U.")</f>
        <v>Huang X.; Ho T.-Y.; Guo W.; Li B.; Chakrabarty K.; Schlichtmann U.</v>
      </c>
      <c r="E5" s="7" t="str">
        <f>IFERROR(__xludf.DUMMYFUNCTION("""COMPUTED_VALUE"""),"Computer-aided Design Techniques for Flow-based Microfluidic Lab-on-a-chip Systems")</f>
        <v>Computer-aided Design Techniques for Flow-based Microfluidic Lab-on-a-chip Systems</v>
      </c>
      <c r="F5" s="7" t="str">
        <f>IFERROR(__xludf.DUMMYFUNCTION("""COMPUTED_VALUE"""),"CSUR")</f>
        <v>CSUR</v>
      </c>
      <c r="G5" s="7" t="str">
        <f>IFERROR(__xludf.DUMMYFUNCTION("""COMPUTED_VALUE"""),"As one of the most promising lab-on-a-chip systems, flow-based microfluidic biochips are being increasingly used for automatically executing various laboratory procedures in biology and biochemistry, such as enzyme-linked immunosorbent assay, point-of-car"&amp;"e diagnosis, and so on. As manufacturing technology advances, the characteristic dimensions of biochip systems keep shrinking, and tens of thousands of microvalves can now be integrated into a coin-sized microfluidic platform, making the conventional manu"&amp;"al-based chip design no longer applicable. Accordingly, computer-aided design (CAD) of microfluidics has attracted considerable research interest in the EDA community over the past decade. This review article presents recent advances in the design automat"&amp;"ion of biochips, involving CAD techniques for architectural synthesis, wash optimization, testing, fault diagnosis, and fault-tolerant design. With the help of these CAD tools, chip designers can be released from the burden of complex, large-scale design "&amp;"tasks. Meanwhile, new chip architectures can be explored automatically to open new doors to meet requirements from future large-scale biological experiments and medical diagnosis. We discuss key trends and directions for future research that are related t"&amp;"o enable microfluidics to reach its full potential, thus further advancing the development and progression of the microfluidics industry. © 2021 ACM.")</f>
        <v>As one of the most promising lab-on-a-chip systems, flow-based microfluidic biochips are being increasingly used for automatically executing various laboratory procedures in biology and biochemistry, such as enzyme-linked immunosorbent assay, point-of-care diagnosis, and so on. As manufacturing technology advances, the characteristic dimensions of biochip systems keep shrinking, and tens of thousands of microvalves can now be integrated into a coin-sized microfluidic platform, making the conventional manual-based chip design no longer applicable. Accordingly, computer-aided design (CAD) of microfluidics has attracted considerable research interest in the EDA community over the past decade. This review article presents recent advances in the design automation of biochips, involving CAD techniques for architectural synthesis, wash optimization, testing, fault diagnosis, and fault-tolerant design. With the help of these CAD tools, chip designers can be released from the burden of complex, large-scale design tasks. Meanwhile, new chip architectures can be explored automatically to open new doors to meet requirements from future large-scale biological experiments and medical diagnosis. We discuss key trends and directions for future research that are related to enable microfluidics to reach its full potential, thus further advancing the development and progression of the microfluidics industry. © 2021 ACM.</v>
      </c>
      <c r="H5" s="8" t="str">
        <f>IFERROR(__xludf.DUMMYFUNCTION("""COMPUTED_VALUE"""),"biochemical applications; computer-aided design; design automation; Flow-based microfluidic biochips; lab-on-a-chip systems")</f>
        <v>biochemical applications; computer-aided design; design automation; Flow-based microfluidic biochips; lab-on-a-chip systems</v>
      </c>
      <c r="I5" s="10" t="b">
        <v>0</v>
      </c>
      <c r="J5" s="10" t="b">
        <v>0</v>
      </c>
      <c r="K5" s="10" t="b">
        <v>0</v>
      </c>
      <c r="L5" s="10" t="b">
        <v>0</v>
      </c>
      <c r="M5" s="10" t="b">
        <v>0</v>
      </c>
      <c r="N5" s="10" t="b">
        <v>0</v>
      </c>
      <c r="O5" s="11" t="b">
        <f t="shared" si="1"/>
        <v>0</v>
      </c>
      <c r="P5" s="16" t="b">
        <v>0</v>
      </c>
      <c r="Q5" s="7"/>
    </row>
    <row r="6">
      <c r="A6" s="5" t="b">
        <v>1</v>
      </c>
      <c r="B6" s="5" t="s">
        <v>18</v>
      </c>
      <c r="C6" s="6" t="str">
        <f>IFERROR(__xludf.DUMMYFUNCTION("""COMPUTED_VALUE"""),"10.1145/3488375")</f>
        <v>10.1145/3488375</v>
      </c>
      <c r="D6" s="7" t="str">
        <f>IFERROR(__xludf.DUMMYFUNCTION("""COMPUTED_VALUE"""),"Adeleke O.A.; Bastin N.; Gurkan D.")</f>
        <v>Adeleke O.A.; Bastin N.; Gurkan D.</v>
      </c>
      <c r="E6" s="7" t="str">
        <f>IFERROR(__xludf.DUMMYFUNCTION("""COMPUTED_VALUE"""),"Network Traffic Generation: A Survey and Methodology")</f>
        <v>Network Traffic Generation: A Survey and Methodology</v>
      </c>
      <c r="F6" s="7" t="str">
        <f>IFERROR(__xludf.DUMMYFUNCTION("""COMPUTED_VALUE"""),"CSUR")</f>
        <v>CSUR</v>
      </c>
      <c r="G6" s="7" t="str">
        <f>IFERROR(__xludf.DUMMYFUNCTION("""COMPUTED_VALUE"""),"Network traffic workloads are widely utilized in applied research to verify correctness and to measure the impact of novel algorithms, protocols, and network functions. We provide a comprehensive survey of traffic generators referenced by researchers over"&amp;" the last 13 years, providing in-depth classification of the functional behaviors of the most frequently cited generators. These classifications are then used as a critical component of a methodology presented to aid in the selection of generators derived"&amp;" from the workload requirements of future research.  © 2022 Association for Computing Machinery.")</f>
        <v>Network traffic workloads are widely utilized in applied research to verify correctness and to measure the impact of novel algorithms, protocols, and network functions. We provide a comprehensive survey of traffic generators referenced by researchers over the last 13 years, providing in-depth classification of the functional behaviors of the most frequently cited generators. These classifications are then used as a critical component of a methodology presented to aid in the selection of generators derived from the workload requirements of future research.  © 2022 Association for Computing Machinery.</v>
      </c>
      <c r="H6" s="8" t="str">
        <f>IFERROR(__xludf.DUMMYFUNCTION("""COMPUTED_VALUE"""),"analysis; experiment; generator; Network; packet; survey; traffic; workload")</f>
        <v>analysis; experiment; generator; Network; packet; survey; traffic; workload</v>
      </c>
      <c r="I6" s="10" t="b">
        <v>0</v>
      </c>
      <c r="J6" s="10" t="b">
        <v>0</v>
      </c>
      <c r="K6" s="10" t="b">
        <v>0</v>
      </c>
      <c r="L6" s="10" t="b">
        <v>0</v>
      </c>
      <c r="M6" s="10" t="b">
        <v>0</v>
      </c>
      <c r="N6" s="10" t="b">
        <v>0</v>
      </c>
      <c r="O6" s="11" t="b">
        <f t="shared" si="1"/>
        <v>0</v>
      </c>
      <c r="P6" s="16" t="b">
        <v>0</v>
      </c>
      <c r="Q6" s="7"/>
    </row>
    <row r="7">
      <c r="A7" s="5" t="b">
        <v>1</v>
      </c>
      <c r="B7" s="5" t="s">
        <v>19</v>
      </c>
      <c r="C7" s="6" t="str">
        <f>IFERROR(__xludf.DUMMYFUNCTION("""COMPUTED_VALUE"""),"10.1145/3040990")</f>
        <v>10.1145/3040990</v>
      </c>
      <c r="D7" s="7" t="str">
        <f>IFERROR(__xludf.DUMMYFUNCTION("""COMPUTED_VALUE"""),"Luo H.; Wu K.; Ruby R.; Hong F.; Guo Z.; Ni L.M.")</f>
        <v>Luo H.; Wu K.; Ruby R.; Hong F.; Guo Z.; Ni L.M.</v>
      </c>
      <c r="E7" s="7" t="str">
        <f>IFERROR(__xludf.DUMMYFUNCTION("""COMPUTED_VALUE"""),"Simulation and experimentation platforms for underwater acoustic sensor networks: Advancements and challenges")</f>
        <v>Simulation and experimentation platforms for underwater acoustic sensor networks: Advancements and challenges</v>
      </c>
      <c r="F7" s="7" t="str">
        <f>IFERROR(__xludf.DUMMYFUNCTION("""COMPUTED_VALUE"""),"CSUR")</f>
        <v>CSUR</v>
      </c>
      <c r="G7" s="7" t="str">
        <f>IFERROR(__xludf.DUMMYFUNCTION("""COMPUTED_VALUE"""),"Ocean and water basically cover the major parts of our planet. To obtain the best utilization of the underlying resources on these parts of the Earth, people have made some research advancements. Specifically, the research on underwater wireless acoustic "&amp;"sensor networks (UWA-SNs) has made great progress. However, wide deployment of UWA-SNs is far from a reality due to several reasons. One important reason is that offshore deployment and field-level experiments of ocean-centric applications are both expens"&amp;"ive and labor intensive. Other alternatives to attain this objective are to conduct simulation or experimentation that can reduce cost and accelerate the research activities and their outcomes. However, designing efficient and reliable simulation and expe"&amp;"rimentation platforms have proven to be more challenging beyond the expectation. In this article, we explore the main techniques (including their pros and cons) and components to develop simulation and experimentation platforms and provide a comprehensive"&amp;" survey report in this area. We classify simulation and experimentation platforms based on some typical criteria and then provide useful guidelines for researchers on choosing suitable platforms in accordance with their requirements. Finally, we address s"&amp;"ome open and un-resolved issues in this context and provide some suggestions on future research. © 2017 ACM.")</f>
        <v>Ocean and water basically cover the major parts of our planet. To obtain the best utilization of the underlying resources on these parts of the Earth, people have made some research advancements. Specifically, the research on underwater wireless acoustic sensor networks (UWA-SNs) has made great progress. However, wide deployment of UWA-SNs is far from a reality due to several reasons. One important reason is that offshore deployment and field-level experiments of ocean-centric applications are both expensive and labor intensive. Other alternatives to attain this objective are to conduct simulation or experimentation that can reduce cost and accelerate the research activities and their outcomes. However, designing efficient and reliable simulation and experimentation platforms have proven to be more challenging beyond the expectation. In this article, we explore the main techniques (including their pros and cons) and components to develop simulation and experimentation platforms and provide a comprehensive survey report in this area. We classify simulation and experimentation platforms based on some typical criteria and then provide useful guidelines for researchers on choosing suitable platforms in accordance with their requirements. Finally, we address some open and un-resolved issues in this context and provide some suggestions on future research. © 2017 ACM.</v>
      </c>
      <c r="H7" s="8" t="str">
        <f>IFERROR(__xludf.DUMMYFUNCTION("""COMPUTED_VALUE"""),"experiment; simulators; testbeds; Underwater acoustic sensor networks")</f>
        <v>experiment; simulators; testbeds; Underwater acoustic sensor networks</v>
      </c>
      <c r="I7" s="10" t="b">
        <v>0</v>
      </c>
      <c r="J7" s="10" t="b">
        <v>0</v>
      </c>
      <c r="K7" s="10" t="b">
        <v>0</v>
      </c>
      <c r="L7" s="10" t="b">
        <v>0</v>
      </c>
      <c r="M7" s="10" t="b">
        <v>0</v>
      </c>
      <c r="N7" s="10" t="b">
        <v>0</v>
      </c>
      <c r="O7" s="11" t="b">
        <f t="shared" si="1"/>
        <v>0</v>
      </c>
      <c r="P7" s="16" t="b">
        <v>0</v>
      </c>
      <c r="Q7" s="7"/>
    </row>
    <row r="8">
      <c r="A8" s="5" t="b">
        <v>1</v>
      </c>
      <c r="B8" s="5" t="s">
        <v>20</v>
      </c>
      <c r="C8" s="6" t="str">
        <f>IFERROR(__xludf.DUMMYFUNCTION("""COMPUTED_VALUE"""),"10.1145/3453159")</f>
        <v>10.1145/3453159</v>
      </c>
      <c r="D8" s="7" t="str">
        <f>IFERROR(__xludf.DUMMYFUNCTION("""COMPUTED_VALUE"""),"Kietzmann P.; Schmidt T.C.; Wählisch M.")</f>
        <v>Kietzmann P.; Schmidt T.C.; Wählisch M.</v>
      </c>
      <c r="E8" s="7" t="str">
        <f>IFERROR(__xludf.DUMMYFUNCTION("""COMPUTED_VALUE"""),"A Guideline on Pseudorandom Number Generation (PRNG) in the IoT")</f>
        <v>A Guideline on Pseudorandom Number Generation (PRNG) in the IoT</v>
      </c>
      <c r="F8" s="7" t="str">
        <f>IFERROR(__xludf.DUMMYFUNCTION("""COMPUTED_VALUE"""),"CSUR")</f>
        <v>CSUR</v>
      </c>
      <c r="G8" s="7" t="str">
        <f>IFERROR(__xludf.DUMMYFUNCTION("""COMPUTED_VALUE"""),"Random numbers are an essential input to many functions on the Internet of Things (IoT). Common use cases of randomness range from low-level packet transmission to advanced algorithms of artificial intelligence as well as security and trust, which heavily"&amp;" rely on unpredictable random sources. In the constrained IoT, though, unpredictable random sources are a challenging desire due to limited resources, deterministic real-time operations, and frequent lack of a user interface. In this article, we revisit t"&amp;"he generation of randomness from the perspective of an IoT operating system (OS) that needs to support general purpose or crypto-secure random numbers. We analyze the potential attack surface, derive common requirements, and discuss the potentials and sho"&amp;"rtcomings of current IoT OSs. A systematic evaluation of current IoT hardware components and popular software generators based on well-established test suits and on experiments for measuring performance give rise to a set of clear recommendations on how t"&amp;"o build such a random subsystem and which generators to use.  © 2021 ACM.")</f>
        <v>Random numbers are an essential input to many functions on the Internet of Things (IoT). Common use cases of randomness range from low-level packet transmission to advanced algorithms of artificial intelligence as well as security and trust, which heavily rely on unpredictable random sources. In the constrained IoT, though, unpredictable random sources are a challenging desire due to limited resources, deterministic real-time operations, and frequent lack of a user interface. In this article, we revisit the generation of randomness from the perspective of an IoT operating system (OS) that needs to support general purpose or crypto-secure random numbers. We analyze the potential attack surface, derive common requirements, and discuss the potentials and shortcomings of current IoT OSs. A systematic evaluation of current IoT hardware components and popular software generators based on well-established test suits and on experiments for measuring performance give rise to a set of clear recommendations on how to build such a random subsystem and which generators to use.  © 2021 ACM.</v>
      </c>
      <c r="H8" s="8" t="str">
        <f>IFERROR(__xludf.DUMMYFUNCTION("""COMPUTED_VALUE"""),"cryptographically secure PRNG; hardware random generator; Internet of Things; performance evaluation; physically unclonable function; statistical testing; survey")</f>
        <v>cryptographically secure PRNG; hardware random generator; Internet of Things; performance evaluation; physically unclonable function; statistical testing; survey</v>
      </c>
      <c r="I8" s="10" t="b">
        <v>0</v>
      </c>
      <c r="J8" s="10" t="b">
        <v>0</v>
      </c>
      <c r="K8" s="10" t="b">
        <v>0</v>
      </c>
      <c r="L8" s="10" t="b">
        <v>0</v>
      </c>
      <c r="M8" s="10" t="b">
        <v>0</v>
      </c>
      <c r="N8" s="10" t="b">
        <v>0</v>
      </c>
      <c r="O8" s="11" t="b">
        <f t="shared" si="1"/>
        <v>0</v>
      </c>
      <c r="P8" s="16" t="b">
        <v>0</v>
      </c>
      <c r="Q8" s="7"/>
    </row>
    <row r="9">
      <c r="A9" s="5" t="b">
        <v>1</v>
      </c>
      <c r="B9" s="5" t="s">
        <v>21</v>
      </c>
      <c r="C9" s="6" t="str">
        <f>IFERROR(__xludf.DUMMYFUNCTION("""COMPUTED_VALUE"""),"10.1145/3145904")</f>
        <v>10.1145/3145904</v>
      </c>
      <c r="D9" s="7" t="str">
        <f>IFERROR(__xludf.DUMMYFUNCTION("""COMPUTED_VALUE"""),"Obaidellah U.; Al Haek M.; Cheng P.C.-H.")</f>
        <v>Obaidellah U.; Al Haek M.; Cheng P.C.-H.</v>
      </c>
      <c r="E9" s="7" t="str">
        <f>IFERROR(__xludf.DUMMYFUNCTION("""COMPUTED_VALUE"""),"A survey on the usage of eye-Tracking in computer programming")</f>
        <v>A survey on the usage of eye-Tracking in computer programming</v>
      </c>
      <c r="F9" s="7" t="str">
        <f>IFERROR(__xludf.DUMMYFUNCTION("""COMPUTED_VALUE"""),"CSUR")</f>
        <v>CSUR</v>
      </c>
      <c r="G9" s="7" t="str">
        <f>IFERROR(__xludf.DUMMYFUNCTION("""COMPUTED_VALUE"""),"Traditional quantitative research methods of data collection in programming, such as questionnaires and interviews, are the most common approaches for researchers in this field.However, in recent years, eye-Tracking has been on the rise as a new method of"&amp;" collecting evidence of visual attention and the cognitive process of programmers. Eye-Tracking has been used by researchers in the field of programming to analyze and understand a variety of tasks such as comprehension and debugging. In this article, we "&amp;"will focus on reporting how experiments that used eye-Trackers in programming research are conducted, and the information that can be collected from these experiments. In this mapping study, we identify and report on 63 studies, published between 1990 and"&amp;" June 2017, collected and gathered via manual search on digital libraries and databases related to computer science and computer engineering. Among the five main areas of research interest are program comprehension and debugging, which received an increas"&amp;"ed interest in recent years, non-code comprehension, collaborative programming, and requirements traceability research, which had the fewest number of publications due to possible limitations of the eye-Tracking technology in this type of experiments. We "&amp;"find that most of the participants in these studies were students and faculty members from institutions of higher learning, and while they performed programming tasks on a range of programming languages and programming representations, we find Java langua"&amp;"ge and Unified Modeling Language (UML) representation to be the most used materials. We also report on a range of eye-Trackers and attention tracking tools that have been utilized, and find Tobii eye-Trackers to be the most used devices by researchers. © "&amp;"2018 ACM.")</f>
        <v>Traditional quantitative research methods of data collection in programming, such as questionnaires and interviews, are the most common approaches for researchers in this field.However, in recent years, eye-Tracking has been on the rise as a new method of collecting evidence of visual attention and the cognitive process of programmers. Eye-Tracking has been used by researchers in the field of programming to analyze and understand a variety of tasks such as comprehension and debugging. In this article, we will focus on reporting how experiments that used eye-Trackers in programming research are conducted, and the information that can be collected from these experiments. In this mapping study, we identify and report on 63 studies, published between 1990 and June 2017, collected and gathered via manual search on digital libraries and databases related to computer science and computer engineering. Among the five main areas of research interest are program comprehension and debugging, which received an increased interest in recent years, non-code comprehension, collaborative programming, and requirements traceability research, which had the fewest number of publications due to possible limitations of the eye-Tracking technology in this type of experiments. We find that most of the participants in these studies were students and faculty members from institutions of higher learning, and while they performed programming tasks on a range of programming languages and programming representations, we find Java language and Unified Modeling Language (UML) representation to be the most used materials. We also report on a range of eye-Trackers and attention tracking tools that have been utilized, and find Tobii eye-Trackers to be the most used devices by researchers. © 2018 ACM.</v>
      </c>
      <c r="H9" s="8" t="str">
        <f>IFERROR(__xludf.DUMMYFUNCTION("""COMPUTED_VALUE"""),"Comprehension; Debugging; Empirical studies; Eye tracker; Eye-Tracking metrics; HCI; Participants; Programming; Test materials")</f>
        <v>Comprehension; Debugging; Empirical studies; Eye tracker; Eye-Tracking metrics; HCI; Participants; Programming; Test materials</v>
      </c>
      <c r="I9" s="10" t="b">
        <v>0</v>
      </c>
      <c r="J9" s="10" t="b">
        <v>0</v>
      </c>
      <c r="K9" s="10" t="b">
        <v>0</v>
      </c>
      <c r="L9" s="10" t="b">
        <v>0</v>
      </c>
      <c r="M9" s="10" t="b">
        <v>0</v>
      </c>
      <c r="N9" s="10" t="b">
        <v>0</v>
      </c>
      <c r="O9" s="11" t="b">
        <f t="shared" si="1"/>
        <v>0</v>
      </c>
      <c r="P9" s="16" t="b">
        <v>0</v>
      </c>
      <c r="Q9" s="7"/>
    </row>
    <row r="10">
      <c r="A10" s="5" t="b">
        <v>1</v>
      </c>
      <c r="B10" s="5" t="s">
        <v>22</v>
      </c>
      <c r="C10" s="6" t="str">
        <f>IFERROR(__xludf.DUMMYFUNCTION("""COMPUTED_VALUE"""),"10.1145/2528412")</f>
        <v>10.1145/2528412</v>
      </c>
      <c r="D10" s="7" t="str">
        <f>IFERROR(__xludf.DUMMYFUNCTION("""COMPUTED_VALUE"""),"Hirzel M.; Soulé R.; Schneider S.; Gedik B.; Grimm R.")</f>
        <v>Hirzel M.; Soulé R.; Schneider S.; Gedik B.; Grimm R.</v>
      </c>
      <c r="E10" s="7" t="str">
        <f>IFERROR(__xludf.DUMMYFUNCTION("""COMPUTED_VALUE"""),"A catalog of stream processing optimizations")</f>
        <v>A catalog of stream processing optimizations</v>
      </c>
      <c r="F10" s="7" t="str">
        <f>IFERROR(__xludf.DUMMYFUNCTION("""COMPUTED_VALUE"""),"CSUR")</f>
        <v>CSUR</v>
      </c>
      <c r="G10" s="7" t="str">
        <f>IFERROR(__xludf.DUMMYFUNCTION("""COMPUTED_VALUE"""),"Various research communities have independently arrived at stream processing as a programming model for efficient and parallel computing. These communities include digital signal processing, databases, operating systems, and complex event processing. Sinc"&amp;"e each community faces applications with challenging performance requirements, each of them has developed some of the same optimizations, but often with conflicting terminology and unstated assumptions. This article presents a survey of optimizations for "&amp;"stream processing. It is aimed both at users who need to understand and guide the system's optimizer and at implementers who need to make engineering tradeoffs. To consolidate terminology, this article is organized as a catalog, in a style similar to cata"&amp;"logs of design patterns or refactorings. To make assumptions explicit and help understand tradeoffs, each optimization is presented with its safety constraints (when does it preserve correctness?) and a profitability experiment (when does it improve perfo"&amp;"rmance?). We hope that this survey will help future streaming system builders to stand on the shoulders of giants from not just their own community. © 2014 ACM.")</f>
        <v>Various research communities have independently arrived at stream processing as a programming model for efficient and parallel computing. These communities include digital signal processing, databases, operating systems, and complex event processing. Since each community faces applications with challenging performance requirements, each of them has developed some of the same optimizations, but often with conflicting terminology and unstated assumptions. This article presents a survey of optimizations for stream processing. It is aimed both at users who need to understand and guide the system's optimizer and at implementers who need to make engineering tradeoffs. To consolidate terminology, this article is organized as a catalog, in a style similar to catalogs of design patterns or refactorings. To make assumptions explicit and help understand tradeoffs, each optimization is presented with its safety constraints (when does it preserve correctness?) and a profitability experiment (when does it improve performance?). We hope that this survey will help future streaming system builders to stand on the shoulders of giants from not just their own community. © 2014 ACM.</v>
      </c>
      <c r="H10" s="8" t="str">
        <f>IFERROR(__xludf.DUMMYFUNCTION("""COMPUTED_VALUE"""),"Optimizations; Stream processing")</f>
        <v>Optimizations; Stream processing</v>
      </c>
      <c r="I10" s="10" t="b">
        <v>0</v>
      </c>
      <c r="J10" s="10" t="b">
        <v>0</v>
      </c>
      <c r="K10" s="10" t="b">
        <v>0</v>
      </c>
      <c r="L10" s="10" t="b">
        <v>0</v>
      </c>
      <c r="M10" s="10" t="b">
        <v>0</v>
      </c>
      <c r="N10" s="10" t="b">
        <v>0</v>
      </c>
      <c r="O10" s="11" t="b">
        <f t="shared" si="1"/>
        <v>0</v>
      </c>
      <c r="P10" s="16" t="b">
        <v>0</v>
      </c>
      <c r="Q10" s="7"/>
    </row>
    <row r="11">
      <c r="A11" s="5" t="b">
        <v>1</v>
      </c>
      <c r="B11" s="5" t="s">
        <v>23</v>
      </c>
      <c r="C11" s="6" t="str">
        <f>IFERROR(__xludf.DUMMYFUNCTION("""COMPUTED_VALUE"""),"10.1145/3415148")</f>
        <v>10.1145/3415148</v>
      </c>
      <c r="D11" s="7" t="str">
        <f>IFERROR(__xludf.DUMMYFUNCTION("""COMPUTED_VALUE"""),"Pibiri G.E.; Venturini R.")</f>
        <v>Pibiri G.E.; Venturini R.</v>
      </c>
      <c r="E11" s="7" t="str">
        <f>IFERROR(__xludf.DUMMYFUNCTION("""COMPUTED_VALUE"""),"Techniques for Inverted Index Compression")</f>
        <v>Techniques for Inverted Index Compression</v>
      </c>
      <c r="F11" s="7" t="str">
        <f>IFERROR(__xludf.DUMMYFUNCTION("""COMPUTED_VALUE"""),"CSUR")</f>
        <v>CSUR</v>
      </c>
      <c r="G11" s="7" t="str">
        <f>IFERROR(__xludf.DUMMYFUNCTION("""COMPUTED_VALUE"""),"The data structure at the core of large-scale search engines is the inverted index, which is essentially a collection of sorted integer sequences called inverted lists. Because of the many documents indexed by such engines and stringent performance requir"&amp;"ements imposed by the heavy load of queries, the inverted index stores billions of integers that must be searched efficiently. In this scenario, index compression is essential because it leads to a better exploitation of the computer memory hierarchy for "&amp;"faster query processing and, at the same time, allows reducing the number of storage machines. The aim of this article is twofold: first, surveying the encoding algorithms suitable for inverted index compression and, second, characterizing the performance"&amp;" of the inverted index through experimentation. © 2020 ACM.")</f>
        <v>The data structure at the core of large-scale search engines is the inverted index, which is essentially a collection of sorted integer sequences called inverted lists. Because of the many documents indexed by such engines and stringent performance requirements imposed by the heavy load of queries, the inverted index stores billions of integers that must be searched efficiently. In this scenario, index compression is essential because it leads to a better exploitation of the computer memory hierarchy for faster query processing and, at the same time, allows reducing the number of storage machines. The aim of this article is twofold: first, surveying the encoding algorithms suitable for inverted index compression and, second, characterizing the performance of the inverted index through experimentation. © 2020 ACM.</v>
      </c>
      <c r="H11" s="8" t="str">
        <f>IFERROR(__xludf.DUMMYFUNCTION("""COMPUTED_VALUE"""),"data compression; efficiency; Inverted indexes")</f>
        <v>data compression; efficiency; Inverted indexes</v>
      </c>
      <c r="I11" s="10" t="b">
        <v>0</v>
      </c>
      <c r="J11" s="10" t="b">
        <v>0</v>
      </c>
      <c r="K11" s="10" t="b">
        <v>0</v>
      </c>
      <c r="L11" s="10" t="b">
        <v>0</v>
      </c>
      <c r="M11" s="10" t="b">
        <v>0</v>
      </c>
      <c r="N11" s="10" t="b">
        <v>0</v>
      </c>
      <c r="O11" s="11" t="b">
        <f t="shared" si="1"/>
        <v>0</v>
      </c>
      <c r="P11" s="16" t="b">
        <v>0</v>
      </c>
      <c r="Q11" s="7"/>
    </row>
    <row r="12">
      <c r="A12" s="5" t="b">
        <v>1</v>
      </c>
      <c r="B12" s="5" t="s">
        <v>24</v>
      </c>
      <c r="C12" s="6" t="str">
        <f>IFERROR(__xludf.DUMMYFUNCTION("""COMPUTED_VALUE"""),"10.1145/3511094")</f>
        <v>10.1145/3511094</v>
      </c>
      <c r="D12" s="7" t="str">
        <f>IFERROR(__xludf.DUMMYFUNCTION("""COMPUTED_VALUE"""),"Muralidhar R.; Borovica-Gajic R.; Buyya R.")</f>
        <v>Muralidhar R.; Borovica-Gajic R.; Buyya R.</v>
      </c>
      <c r="E12" s="7" t="str">
        <f>IFERROR(__xludf.DUMMYFUNCTION("""COMPUTED_VALUE"""),"Energy Efficient Computing Systems: Architectures, Abstractions and Modeling to Techniques and Standards")</f>
        <v>Energy Efficient Computing Systems: Architectures, Abstractions and Modeling to Techniques and Standards</v>
      </c>
      <c r="F12" s="7" t="str">
        <f>IFERROR(__xludf.DUMMYFUNCTION("""COMPUTED_VALUE"""),"CSUR")</f>
        <v>CSUR</v>
      </c>
      <c r="G12" s="7" t="str">
        <f>IFERROR(__xludf.DUMMYFUNCTION("""COMPUTED_VALUE"""),"Computing systems have undergone a tremendous change in the last few decades with several inflexion points. While Moore's law guided the semiconductor industry to cram more and more transistors and logic into the same volume, the limits of instruction-lev"&amp;"el parallelism (ILP) and the end of Dennard's scaling drove the industry towards multi-core chips. More recently, we have entered the era of domain-specific architectures (DSA) and chips for new workloads like artificial intelligence (AI) and machine lear"&amp;"ning (ML). These trends continue, arguably with other limits, along with challenges imposed by tighter integration, extreme form factors and increasingly diverse workloads, making systems more complex to architect, design, implement and optimize from an e"&amp;"nergy efficiency perspective. Energy efficiency has now become a first order design parameter and constraint across the entire spectrum of computing devices.Many research surveys have gone into different aspects of energy efficiency techniques implemented"&amp;" in hardware and microarchitecture across devices, servers, HPC/cloud, data center systems along with improved software, algorithms, frameworks, and modeling energy/thermals. Somewhat in parallel, the semiconductor industry has developed techniques and st"&amp;"andards around specification, modeling/simulation, benchmarking and verification of complex chips; these areas have not been addressed in detail by previous research surveys. This survey aims to bring these domains holistically together, present the lates"&amp;"t in each of these areas, highlight potential gaps and challenges, and discuss opportunities for the next generation of energy efficient systems. The survey is composed of a systematic categorization of key aspects of building energy efficient systems - ("&amp;"1) specification - the ability to precisely specify the power intent, attributes or properties at different layers (2) modeling and simulation of the entire system or subsystem (hardware or software or both) so as to be able to experiment with possible op"&amp;"tions and perform what-if analysis, (3) techniques used for implementing energy efficiency at different levels of the stack, (4) verification techniques used to provide guarantees that the functionality of complex designs are preserved, and (5) energy eff"&amp;"iciency benchmarks, standards and consortiums that aim to standardize different aspects of energy efficiency, including cross-layer optimizations.  © 2022 Association for Computing Machinery.")</f>
        <v>Computing systems have undergone a tremendous change in the last few decades with several inflexion points. While Moore's law guided the semiconductor industry to cram more and more transistors and logic into the same volume, the limits of instruction-level parallelism (ILP) and the end of Dennard's scaling drove the industry towards multi-core chips. More recently, we have entered the era of domain-specific architectures (DSA) and chips for new workloads like artificial intelligence (AI) and machine learning (ML). These trends continue, arguably with other limits, along with challenges imposed by tighter integration, extreme form factors and increasingly diverse workloads, making systems more complex to architect, design, implement and optimize from an energy efficiency perspective. Energy efficiency has now become a first order design parameter and constraint across the entire spectrum of computing devices.Many research surveys have gone into different aspects of energy efficiency techniques implemented in hardware and microarchitecture across devices, servers, HPC/cloud, data center systems along with improved software, algorithms, frameworks, and modeling energy/thermals. Somewhat in parallel, the semiconductor industry has developed techniques and standards around specification, modeling/simulation, benchmarking and verification of complex chips; these areas have not been addressed in detail by previous research surveys. This survey aims to bring these domains holistically together, present the latest in each of these areas, highlight potential gaps and challenges, and discuss opportunities for the next generation of energy efficient systems. The survey is composed of a systematic categorization of key aspects of building energy efficient systems - (1) specification - the ability to precisely specify the power intent, attributes or properties at different layers (2) modeling and simulation of the entire system or subsystem (hardware or software or both) so as to be able to experiment with possible options and perform what-if analysis, (3) techniques used for implementing energy efficiency at different levels of the stack, (4) verification techniques used to provide guarantees that the functionality of complex designs are preserved, and (5) energy efficiency benchmarks, standards and consortiums that aim to standardize different aspects of energy efficiency, including cross-layer optimizations.  © 2022 Association for Computing Machinery.</v>
      </c>
      <c r="H12" s="8" t="str">
        <f>IFERROR(__xludf.DUMMYFUNCTION("""COMPUTED_VALUE"""),"dynamic power management; Energy efficiency; low power; low power optimizations; modeling; platform-level power management; specification")</f>
        <v>dynamic power management; Energy efficiency; low power; low power optimizations; modeling; platform-level power management; specification</v>
      </c>
      <c r="I12" s="10" t="b">
        <v>0</v>
      </c>
      <c r="J12" s="10" t="b">
        <v>0</v>
      </c>
      <c r="K12" s="10" t="b">
        <v>0</v>
      </c>
      <c r="L12" s="10" t="b">
        <v>0</v>
      </c>
      <c r="M12" s="10" t="b">
        <v>0</v>
      </c>
      <c r="N12" s="10" t="b">
        <v>0</v>
      </c>
      <c r="O12" s="11" t="b">
        <f t="shared" si="1"/>
        <v>0</v>
      </c>
      <c r="P12" s="16" t="b">
        <v>0</v>
      </c>
      <c r="Q12" s="7"/>
    </row>
    <row r="13">
      <c r="A13" s="5" t="b">
        <v>1</v>
      </c>
      <c r="B13" s="5" t="s">
        <v>25</v>
      </c>
      <c r="C13" s="6" t="str">
        <f>IFERROR(__xludf.DUMMYFUNCTION("""COMPUTED_VALUE"""),"10.1145/3444689")</f>
        <v>10.1145/3444689</v>
      </c>
      <c r="D13" s="7" t="str">
        <f>IFERROR(__xludf.DUMMYFUNCTION("""COMPUTED_VALUE"""),"Zhao L.; Alhoshan W.; Ferrari A.; Letsholo K.J.; Ajagbe M.A.; Chioasca E.-V.; Batista-Navarro R.T.")</f>
        <v>Zhao L.; Alhoshan W.; Ferrari A.; Letsholo K.J.; Ajagbe M.A.; Chioasca E.-V.; Batista-Navarro R.T.</v>
      </c>
      <c r="E13" s="7" t="str">
        <f>IFERROR(__xludf.DUMMYFUNCTION("""COMPUTED_VALUE"""),"Natural Language Processing for Requirements Engineering")</f>
        <v>Natural Language Processing for Requirements Engineering</v>
      </c>
      <c r="F13" s="7" t="str">
        <f>IFERROR(__xludf.DUMMYFUNCTION("""COMPUTED_VALUE"""),"CSUR")</f>
        <v>CSUR</v>
      </c>
      <c r="G13" s="7" t="str">
        <f>IFERROR(__xludf.DUMMYFUNCTION("""COMPUTED_VALUE"""),"Natural Language Processing for Requirements Engineering (NLP4RE) is an area of research and development that seeks to apply natural language processing (NLP) techniques, tools, and resources to the requirements engineering (RE) process, to support human "&amp;"analysts to carry out various linguistic analysis tasks on textual requirements documents, such as detecting language issues, identifying key domain concepts, and establishing requirements traceability links. This article reports on a mapping study that s"&amp;"urveys the landscape of NLP4RE research to provide a holistic understanding of the field. Following the guidance of systematic review, the mapping study is directed by five research questions, cutting across five aspects of NLP4RE research, concerning the"&amp;" state of the literature, the state of empirical research, the research focus, the state of tool development, and the usage of NLP technologies. Our main results are as follows: (i) we identify a total of 404 primary studies relevant to NLP4RE, which were"&amp;" published over the past 36 years and from 170 different venues; (ii) most of these studies (67.08%) are solution proposals, assessed by a laboratory experiment or an example application, while only a small percentage (7%) are assessed in industrial setti"&amp;"ngs; (iii) a large proportion of the studies (42.70%) focus on the requirements analysis phase, with quality defect detection as their central task and requirements specification as their commonly processed document type; (iv) 130 NLP4RE tools (i.e., RE s"&amp;"pecific NLP tools) are extracted from these studies, but only 17 of them (13.08%) are available for download; (v) 231 different NLP technologies are also identified, comprising 140 NLP techniques, 66 NLP tools, and 25 NLP resources, but most of them-parti"&amp;"cularly those novel NLP techniques and specialized tools-are used infrequently; by contrast, commonly used NLP technologies are traditional analysis techniques (e.g., POS tagging and tokenization), general-purpose tools (e.g., Stanford CoreNLP and GATE) a"&amp;"nd generic language lexicons (WordNet and British National Corpus). The mapping study not only provides a collection of the literature in NLP4RE but also, more importantly, establishes a structure to frame the existing literature through categorization, s"&amp;"ynthesis and conceptualization of the main theoretical concepts and relationships that encompass both RE and NLP aspects. Our work thus produces a conceptual framework of NLP4RE. The framework is used to identify research gaps and directions, highlight te"&amp;"chnology transfer needs, and encourage more synergies between the RE community, the NLP one, and the software and systems practitioners. Our results can be used as a starting point to frame future studies according to a well-defined terminology and can be"&amp;" expanded as new technologies and novel solutions emerge. © 2021 ACM.")</f>
        <v>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 2021 ACM.</v>
      </c>
      <c r="H13" s="8" t="str">
        <f>IFERROR(__xludf.DUMMYFUNCTION("""COMPUTED_VALUE"""),"natural language processing (NLP); Requirements engineering (RE); software engineering (SE); systematic mapping study; systematic review")</f>
        <v>natural language processing (NLP); Requirements engineering (RE); software engineering (SE); systematic mapping study; systematic review</v>
      </c>
      <c r="I13" s="10" t="b">
        <v>0</v>
      </c>
      <c r="J13" s="10" t="b">
        <v>0</v>
      </c>
      <c r="K13" s="10" t="b">
        <v>0</v>
      </c>
      <c r="L13" s="10" t="b">
        <v>0</v>
      </c>
      <c r="M13" s="10" t="b">
        <v>0</v>
      </c>
      <c r="N13" s="10" t="b">
        <v>0</v>
      </c>
      <c r="O13" s="11" t="b">
        <f t="shared" si="1"/>
        <v>0</v>
      </c>
      <c r="P13" s="16" t="b">
        <v>0</v>
      </c>
      <c r="Q13" s="7"/>
    </row>
    <row r="14">
      <c r="A14" s="5" t="b">
        <v>1</v>
      </c>
      <c r="B14" s="5" t="s">
        <v>26</v>
      </c>
      <c r="C14" s="6" t="str">
        <f>IFERROR(__xludf.DUMMYFUNCTION("""COMPUTED_VALUE"""),"10.1145/3329119")</f>
        <v>10.1145/3329119</v>
      </c>
      <c r="D14" s="7" t="str">
        <f>IFERROR(__xludf.DUMMYFUNCTION("""COMPUTED_VALUE"""),"Fan C.-L.; Lo W.-C.; Pai Y.-T.; Hsu C.-H.")</f>
        <v>Fan C.-L.; Lo W.-C.; Pai Y.-T.; Hsu C.-H.</v>
      </c>
      <c r="E14" s="7" t="str">
        <f>IFERROR(__xludf.DUMMYFUNCTION("""COMPUTED_VALUE"""),"A survey on 360° video streaming: Acquisition, transmission, and display")</f>
        <v>A survey on 360° video streaming: Acquisition, transmission, and display</v>
      </c>
      <c r="F14" s="7" t="str">
        <f>IFERROR(__xludf.DUMMYFUNCTION("""COMPUTED_VALUE"""),"CSUR")</f>
        <v>CSUR</v>
      </c>
      <c r="G14" s="7" t="str">
        <f>IFERROR(__xludf.DUMMYFUNCTION("""COMPUTED_VALUE"""),"Head-mounted displays and 360° videos have become increasingly more popular, delivering a more immersive viewing experience to end users. Streaming 360° videos over the best-effort Internet, however, faces tremendous challenges, because of the high resolu"&amp;"tion and the short response time requirements. This survey presents the current literature related to 360° video streaming. We start with 360° video streaming systems built for real experiments to investigate the practicality and efficiency of 360° video "&amp;"streaming. We then present the video and viewer datasets, which may be used to drive large-scale simulations and experiments. Different optimization tools in various stages of the 360° video streaming pipeline are discussed in detail. We also present vari"&amp;"ous applications enabled by 360° video streaming. In the appendices, we review the off-the-shelf hardware available at the time of writing and the open research problems. © 2019 Association for Computing Machinery.")</f>
        <v>Head-mounted displays and 360° videos have become increasingly more popular, delivering a more immersive viewing experience to end users. Streaming 360° videos over the best-effort Internet, however, faces tremendous challenges, because of the high resolution and the short response time requirements. This survey presents the current literature related to 360° video streaming. We start with 360° video streaming systems built for real experiments to investigate the practicality and efficiency of 360° video streaming. We then present the video and viewer datasets, which may be used to drive large-scale simulations and experiments. Different optimization tools in various stages of the 360° video streaming pipeline are discussed in detail. We also present various applications enabled by 360° video streaming. In the appendices, we review the off-the-shelf hardware available at the time of writing and the open research problems. © 2019 Association for Computing Machinery.</v>
      </c>
      <c r="H14" s="8" t="str">
        <f>IFERROR(__xludf.DUMMYFUNCTION("""COMPUTED_VALUE"""),"360° videos; Video streaming; Virtual reality")</f>
        <v>360° videos; Video streaming; Virtual reality</v>
      </c>
      <c r="I14" s="10" t="b">
        <v>0</v>
      </c>
      <c r="J14" s="10" t="b">
        <v>0</v>
      </c>
      <c r="K14" s="10" t="b">
        <v>0</v>
      </c>
      <c r="L14" s="10" t="b">
        <v>0</v>
      </c>
      <c r="M14" s="10" t="b">
        <v>0</v>
      </c>
      <c r="N14" s="10" t="b">
        <v>0</v>
      </c>
      <c r="O14" s="11" t="b">
        <f t="shared" si="1"/>
        <v>0</v>
      </c>
      <c r="P14" s="16" t="b">
        <v>0</v>
      </c>
      <c r="Q14" s="7"/>
    </row>
    <row r="15">
      <c r="A15" s="5" t="b">
        <v>1</v>
      </c>
      <c r="B15" s="5" t="s">
        <v>27</v>
      </c>
      <c r="C15" s="6" t="str">
        <f>IFERROR(__xludf.DUMMYFUNCTION("""COMPUTED_VALUE"""),"10.1145/1592434.1592436")</f>
        <v>10.1145/1592434.1592436</v>
      </c>
      <c r="D15" s="7" t="str">
        <f>IFERROR(__xludf.DUMMYFUNCTION("""COMPUTED_VALUE"""),"Woodcock J.; Larsen P.G.; Bicarregui J.; Fitzgerald J.")</f>
        <v>Woodcock J.; Larsen P.G.; Bicarregui J.; Fitzgerald J.</v>
      </c>
      <c r="E15" s="7" t="str">
        <f>IFERROR(__xludf.DUMMYFUNCTION("""COMPUTED_VALUE"""),"Formal methods: Practice and experience")</f>
        <v>Formal methods: Practice and experience</v>
      </c>
      <c r="F15" s="7" t="str">
        <f>IFERROR(__xludf.DUMMYFUNCTION("""COMPUTED_VALUE"""),"CSUR")</f>
        <v>CSUR</v>
      </c>
      <c r="G15" s="7" t="str">
        <f>IFERROR(__xludf.DUMMYFUNCTION("""COMPUTED_VALUE"""),"Formal methods use mathematical models for analysis and verification at any part of the program life-cycle. We describe the state of the art in the industrial use of formal methods, concentrating on their increasing use at the earlier stages of specificat"&amp;"ion and design. We do this by reporting on a new survey of industrial use, comparing the situation in 2009 with the most significant surveys carried out over the last 20 years. We describe some of the highlights of our survey by presenting a series of ind"&amp;"ustrial projects, and we draw some observations from these surveys and records of experience. Based on this, we discuss the issues surrounding the industrial adoption of formal methods. Finally, we look to the future and describe the development of a Veri"&amp;"fied Software Repository, part of the worldwide Verified Software Initiative. We introduce the initial projects being used to populate the repository, and describe the challenges they address. © 2009 ACM.")</f>
        <v>Formal methods use mathematical models for analysis and verification at any part of the program life-cycle. We describe the state of the art in the industrial use of formal methods, concentrating on their increasing use at the earlier stages of specification and design. We do this by reporting on a new survey of industrial use, comparing the situation in 2009 with the most significant surveys carried out over the last 20 years. We describe some of the highlights of our survey by presenting a series of industrial projects, and we draw some observations from these surveys and records of experience. Based on this, we discuss the issues surrounding the industrial adoption of formal methods. Finally, we look to the future and describe the development of a Verified Software Repository, part of the worldwide Verified Software Initiative. We introduce the initial projects being used to populate the repository, and describe the challenges they address. © 2009 ACM.</v>
      </c>
      <c r="H15" s="8" t="str">
        <f>IFERROR(__xludf.DUMMYFUNCTION("""COMPUTED_VALUE"""),"Experimental software engineering; Formal methods surveys; Grand challenges; Verified software initiative; Verified software repository")</f>
        <v>Experimental software engineering; Formal methods surveys; Grand challenges; Verified software initiative; Verified software repository</v>
      </c>
      <c r="I15" s="10" t="b">
        <v>0</v>
      </c>
      <c r="J15" s="10" t="b">
        <v>0</v>
      </c>
      <c r="K15" s="10" t="b">
        <v>0</v>
      </c>
      <c r="L15" s="10" t="b">
        <v>0</v>
      </c>
      <c r="M15" s="10" t="b">
        <v>0</v>
      </c>
      <c r="N15" s="10" t="b">
        <v>0</v>
      </c>
      <c r="O15" s="11" t="b">
        <f t="shared" si="1"/>
        <v>0</v>
      </c>
      <c r="P15" s="16" t="b">
        <v>0</v>
      </c>
      <c r="Q15" s="7"/>
    </row>
    <row r="16">
      <c r="A16" s="5" t="b">
        <v>1</v>
      </c>
      <c r="B16" s="5" t="s">
        <v>28</v>
      </c>
      <c r="C16" s="6" t="str">
        <f>IFERROR(__xludf.DUMMYFUNCTION("""COMPUTED_VALUE"""),"10.1145/2699688")</f>
        <v>10.1145/2699688</v>
      </c>
      <c r="D16" s="7" t="str">
        <f>IFERROR(__xludf.DUMMYFUNCTION("""COMPUTED_VALUE"""),"Fraser G.; Staats M.; McMinn P.; Arcuri A.; Padberg F.")</f>
        <v>Fraser G.; Staats M.; McMinn P.; Arcuri A.; Padberg F.</v>
      </c>
      <c r="E16" s="7" t="str">
        <f>IFERROR(__xludf.DUMMYFUNCTION("""COMPUTED_VALUE"""),"Does automated unit test generation really help software testers? A controlled empirical study")</f>
        <v>Does automated unit test generation really help software testers? A controlled empirical study</v>
      </c>
      <c r="F16" s="7" t="str">
        <f>IFERROR(__xludf.DUMMYFUNCTION("""COMPUTED_VALUE"""),"TOSEM")</f>
        <v>TOSEM</v>
      </c>
      <c r="G16" s="7" t="str">
        <f>IFERROR(__xludf.DUMMYFUNCTION("""COMPUTED_VALUE"""),"Work on automated test generation has produced several tools capable of generating test data which achieves high structural coverage over a program. In the absence of a specification, developers are expected to manually construct or verify the test oracle"&amp;" for each test input. Nevertheless, it is assumed that these generated tests ease the task of testing for the developer, as testing is reduced to checking the results of tests. While this assumption has persisted for decades, there has been no conclusive "&amp;"evidence to date confirming it. However, the limited adoption in industry indicates this assumption may not be correct, and calls into question the practical value of test generation tools. To investigate this issue, we performed two controlled experiment"&amp;"s comparing a total of 97 subjects split between writing tests manually and writing tests with the aid of an automated unit test generation tool, EVOSUITE. We found that, on one hand, tool support leads to clear improvements in commonly applied quality me"&amp;"trics such as code coverage (up to 300% increase). However, on the other hand, there was no measurable improvement in the number of bugs actually found by developers. Our results not only cast some doubt on how the research community evaluates test genera"&amp;"tion tools, but also point to improvements and future work necessary before automated test generation tools will be widely adopted by practitioners. © 2015 ACM.")</f>
        <v>Work on automated test generation has produced several tools capable of generating test data which achieves high structural coverage over a program. In the absence of a specification, developers are expected to manually construct or verify the test oracle for each test input. Nevertheless, it is assumed that these generated tests ease the task of testing for the developer, as testing is reduced to checking the results of tests. While this assumption has persisted for decades, there has been no conclusive evidence to date confirming it. However, the limited adoption in industry indicates this assumption may not be correct, and calls into question the practical value of test generation tools. To investigate this issue, we performed two controlled experiments comparing a total of 97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2015 ACM.</v>
      </c>
      <c r="H16" s="8" t="str">
        <f>IFERROR(__xludf.DUMMYFUNCTION("""COMPUTED_VALUE"""),"Automated test generation; Branch coverage; Empirical software engineering; Unit testing")</f>
        <v>Automated test generation; Branch coverage; Empirical software engineering; Unit testing</v>
      </c>
      <c r="I16" s="9" t="b">
        <v>1</v>
      </c>
      <c r="J16" s="9" t="b">
        <v>0</v>
      </c>
      <c r="K16" s="9" t="b">
        <v>1</v>
      </c>
      <c r="L16" s="10" t="b">
        <v>0</v>
      </c>
      <c r="M16" s="10" t="b">
        <v>0</v>
      </c>
      <c r="N16" s="10" t="b">
        <v>0</v>
      </c>
      <c r="O16" s="11" t="b">
        <f t="shared" si="1"/>
        <v>0</v>
      </c>
      <c r="P16" s="12" t="b">
        <v>0</v>
      </c>
      <c r="Q16" s="13"/>
    </row>
    <row r="17">
      <c r="A17" s="5" t="b">
        <v>1</v>
      </c>
      <c r="B17" s="5" t="s">
        <v>29</v>
      </c>
      <c r="C17" s="6" t="str">
        <f>IFERROR(__xludf.DUMMYFUNCTION("""COMPUTED_VALUE"""),"10.1145/990010.990013")</f>
        <v>10.1145/990010.990013</v>
      </c>
      <c r="D17" s="7" t="str">
        <f>IFERROR(__xludf.DUMMYFUNCTION("""COMPUTED_VALUE"""),"Ferrari G.-L.; Gnesi S.; Montanari U.; Pistore M.")</f>
        <v>Ferrari G.-L.; Gnesi S.; Montanari U.; Pistore M.</v>
      </c>
      <c r="E17" s="7" t="str">
        <f>IFERROR(__xludf.DUMMYFUNCTION("""COMPUTED_VALUE"""),"A model-checking verification environment for mobile processes")</f>
        <v>A model-checking verification environment for mobile processes</v>
      </c>
      <c r="F17" s="7" t="str">
        <f>IFERROR(__xludf.DUMMYFUNCTION("""COMPUTED_VALUE"""),"TOSEM")</f>
        <v>TOSEM</v>
      </c>
      <c r="G17" s="7" t="str">
        <f>IFERROR(__xludf.DUMMYFUNCTION("""COMPUTED_VALUE"""),"This article presents a semantic-based environment for reasoning about the behavior of mobile systems. The verification environment, called HAL, exploits a novel automata-like model that allows finite-state verification of systems specified in the π-calcu"&amp;"lus. The HAL system is able to interface with several efficient toolkits (e.g. model-checkers) to determine whether or not certain properties hold for a given specification. We report experimental results on some case studies.")</f>
        <v>This article presents a semantic-based environment for reasoning about the behavior of mobile systems. The verification environment, called HAL, exploits a novel automata-like model that allows finite-state verification of systems specified in the π-calculus. The HAL system is able to interface with several efficient toolkits (e.g. model-checkers) to determine whether or not certain properties hold for a given specification. We report experimental results on some case studies.</v>
      </c>
      <c r="H17" s="8" t="str">
        <f>IFERROR(__xludf.DUMMYFUNCTION("""COMPUTED_VALUE"""),"Mobile processes; Modal logics; Name-passing process calculi; Security; Transition systems")</f>
        <v>Mobile processes; Modal logics; Name-passing process calculi; Security; Transition systems</v>
      </c>
      <c r="I17" s="10" t="b">
        <v>0</v>
      </c>
      <c r="J17" s="10" t="b">
        <v>0</v>
      </c>
      <c r="K17" s="10" t="b">
        <v>0</v>
      </c>
      <c r="L17" s="10" t="b">
        <v>0</v>
      </c>
      <c r="M17" s="10" t="b">
        <v>0</v>
      </c>
      <c r="N17" s="10" t="b">
        <v>0</v>
      </c>
      <c r="O17" s="11" t="b">
        <f t="shared" si="1"/>
        <v>0</v>
      </c>
      <c r="P17" s="16" t="b">
        <v>0</v>
      </c>
      <c r="Q17" s="13" t="s">
        <v>30</v>
      </c>
    </row>
    <row r="18">
      <c r="A18" s="5" t="b">
        <v>1</v>
      </c>
      <c r="B18" s="5" t="s">
        <v>31</v>
      </c>
      <c r="C18" s="6" t="str">
        <f>IFERROR(__xludf.DUMMYFUNCTION("""COMPUTED_VALUE"""),"10.1145/151299.151302")</f>
        <v>10.1145/151299.151302</v>
      </c>
      <c r="D18" s="7" t="str">
        <f>IFERROR(__xludf.DUMMYFUNCTION("""COMPUTED_VALUE"""),"Broy M.")</f>
        <v>Broy M.</v>
      </c>
      <c r="E18" s="7" t="str">
        <f>IFERROR(__xludf.DUMMYFUNCTION("""COMPUTED_VALUE"""),"Functional Specification of Time-Sensitive Communicating Systems")</f>
        <v>Functional Specification of Time-Sensitive Communicating Systems</v>
      </c>
      <c r="F18" s="7" t="str">
        <f>IFERROR(__xludf.DUMMYFUNCTION("""COMPUTED_VALUE"""),"TOSEM")</f>
        <v>TOSEM</v>
      </c>
      <c r="G18" s="7" t="str">
        <f>IFERROR(__xludf.DUMMYFUNCTION("""COMPUTED_VALUE"""),"A formal model and a logical framework for the functional specification of time-sensitive communicating systems and their interacting components are outlined. The specification method is modular with respect to sequential composition, parallel composition"&amp;", and communication feedback. Nondeterminism is included by underspecification. The application of the specification method to timed communicating functions is demonstrated. Abstractions from time are studied. In particular, a rational is given for the ch"&amp;"osen concepts of the functional specification technique. The relationship between system models based on nondeterminism and system models based on explicit time notions is investigated. Forms of reasoning are considered. The alternating bit protocol is us"&amp;"ed as a running example. © 1993, ACM. All rights reserved.")</f>
        <v>A formal model and a logical framework for the functional specification of time-sensitive communicating systems and their interacting components are outlined. The specification method is modular with respect to sequential composition, parallel composition, and communication feedback. Nondeterminism is included by underspecification. The application of the specification method to timed communicating functions is demonstrated. Abstractions from time are studied. In particular, a rational is given for the chosen concepts of the functional specification technique. The relationship between system models based on nondeterminism and system models based on explicit time notions is investigated. Forms of reasoning are considered. The alternating bit protocol is used as a running example. © 1993, ACM. All rights reserved.</v>
      </c>
      <c r="H18" s="8" t="str">
        <f>IFERROR(__xludf.DUMMYFUNCTION("""COMPUTED_VALUE"""),"functional system models; real-time systems; specification")</f>
        <v>functional system models; real-time systems; specification</v>
      </c>
      <c r="I18" s="10" t="b">
        <v>0</v>
      </c>
      <c r="J18" s="10" t="b">
        <v>0</v>
      </c>
      <c r="K18" s="10" t="b">
        <v>0</v>
      </c>
      <c r="L18" s="10" t="b">
        <v>0</v>
      </c>
      <c r="M18" s="10" t="b">
        <v>0</v>
      </c>
      <c r="N18" s="10" t="b">
        <v>0</v>
      </c>
      <c r="O18" s="11" t="b">
        <f t="shared" si="1"/>
        <v>0</v>
      </c>
      <c r="P18" s="16" t="b">
        <v>0</v>
      </c>
      <c r="Q18" s="7"/>
    </row>
    <row r="19">
      <c r="A19" s="5" t="b">
        <v>1</v>
      </c>
      <c r="B19" s="5" t="s">
        <v>32</v>
      </c>
      <c r="C19" s="6" t="str">
        <f>IFERROR(__xludf.DUMMYFUNCTION("""COMPUTED_VALUE"""),"10.1145/2660767")</f>
        <v>10.1145/2660767</v>
      </c>
      <c r="D19" s="7" t="str">
        <f>IFERROR(__xludf.DUMMYFUNCTION("""COMPUTED_VALUE"""),"Gligoric M.; Groce A.; Zhang C.; Sharma R.; Alipour M.A.; Marinov D.")</f>
        <v>Gligoric M.; Groce A.; Zhang C.; Sharma R.; Alipour M.A.; Marinov D.</v>
      </c>
      <c r="E19" s="7" t="str">
        <f>IFERROR(__xludf.DUMMYFUNCTION("""COMPUTED_VALUE"""),"Guidelines for coverage-based comparisons of non-adequate test suites")</f>
        <v>Guidelines for coverage-based comparisons of non-adequate test suites</v>
      </c>
      <c r="F19" s="7" t="str">
        <f>IFERROR(__xludf.DUMMYFUNCTION("""COMPUTED_VALUE"""),"TOSEM")</f>
        <v>TOSEM</v>
      </c>
      <c r="G19" s="7" t="str">
        <f>IFERROR(__xludf.DUMMYFUNCTION("""COMPUTED_VALUE"""),"A fundamental question in software testing research is how to compare test suites, often as a means for comparing test-generation techniques that produce those test suites. Researchers frequently compare test suites by measuring their coverage. A coverage"&amp;" criterion C provides a set of test requirements and measures how many requirements a given suite satisfies. A suite that satisfies 100% of the feasible requirements is called C-adequate. Previous rigorous evaluations of coverage criteria mostly focused o"&amp;"n such adequate test suites: given two criteria C and C, are C-adequate suites on average more effective than C-adequate suites? However, in many realistic cases, producing adequate suites is impractical or even impossible. This article presents the first"&amp;" extensive study that evaluates coverage criteria for the common case of nonadequate test suites: given two criteria C and C, which one is better to use to compare test suites? Namely, if suites T1, T2, . . . , Tn have coverage values c1, c2, . . . , cn f"&amp;"or C and c 1, c2, . . . , c n for C, is it better to compare suites based on c1, c2, . . . , cn or based on c 1, c 2, . . . , c n? We evaluate a large set of plausible criteria, including basic criteria such as statement and branch coverage, as well as st"&amp;"ronger criteria used in recent studies, including criteria based on program paths, equivalence classes of covered statements, and predicate states. The criteria are evaluated on a set of Java and C programs with both manually written and automatically gen"&amp;"erated test suites. The evaluation uses three correlation measures. Based on these experiments, two criteria perform best: branch coverage and an intraprocedural acyclic path coverage. We provide guidelines for testing researchers aiming to evaluate test "&amp;"suites using coverage criteria as well as for other researchers evaluating coverage criteria for research use. © 2015 ACM.")</f>
        <v>A fundamental question in software testing research is how to compare test suites, often as a means for comparing test-generation techniques that produce those test suites. Researchers frequently compare test suites by measuring their coverage. A coverage criterion C provides a set of test requirements and measures how many requirements a given suite satisfies. A suite that satisfies 100% of the feasible requirements is called C-adequate. Previous rigorous evaluations of coverage criteria mostly focused on such adequate test suites: given two criteria C and C, are C-adequate suites on average more effective than C-adequate suites? However, in many realistic cases, producing adequate suites is impractical or even impossible. This article presents the first extensive study that evaluates coverage criteria for the common case of nonadequate test suites: given two criteria C and C, which one is better to use to compare test suites? Namely, if suites T1, T2, . . . , Tn have coverage values c1, c2, . . . , cn for C and c 1, c2, . . . , c n for C, is it better to compare suites based on c1, c2, . . . , cn or based on c 1, c 2, . . . , c n? We evaluate a large set of plausible criteria, including basic criteria such as statement and branch coverage, as well as stronger criteria used in recent studies, including criteria based on program paths, equivalence classes of covered statements, and predicate states. The criteria are evaluated on a set of Java and C programs with both manually written and automatically generated test suites. The evaluation uses three correlation measures. Based on these experiments, two criteria perform best: branch coverage and an intraprocedural acyclic path coverage. We provide guidelines for testing researchers aiming to evaluate test suites using coverage criteria as well as for other researchers evaluating coverage criteria for research use. © 2015 ACM.</v>
      </c>
      <c r="H19" s="8" t="str">
        <f>IFERROR(__xludf.DUMMYFUNCTION("""COMPUTED_VALUE"""),"Coverage criteria; Non-adequate test suites")</f>
        <v>Coverage criteria; Non-adequate test suites</v>
      </c>
      <c r="I19" s="9" t="b">
        <v>0</v>
      </c>
      <c r="J19" s="10" t="b">
        <v>0</v>
      </c>
      <c r="K19" s="10" t="b">
        <v>0</v>
      </c>
      <c r="L19" s="10" t="b">
        <v>0</v>
      </c>
      <c r="M19" s="10" t="b">
        <v>0</v>
      </c>
      <c r="N19" s="10" t="b">
        <v>0</v>
      </c>
      <c r="O19" s="11" t="b">
        <f t="shared" si="1"/>
        <v>0</v>
      </c>
      <c r="P19" s="16" t="b">
        <v>0</v>
      </c>
      <c r="Q19" s="7"/>
    </row>
    <row r="20">
      <c r="A20" s="5" t="b">
        <v>1</v>
      </c>
      <c r="B20" s="5" t="s">
        <v>33</v>
      </c>
      <c r="C20" s="6" t="str">
        <f>IFERROR(__xludf.DUMMYFUNCTION("""COMPUTED_VALUE"""),"10.1145/2904904")</f>
        <v>10.1145/2904904</v>
      </c>
      <c r="D20" s="7" t="str">
        <f>IFERROR(__xludf.DUMMYFUNCTION("""COMPUTED_VALUE"""),"Baki I.; Sahraoui H.")</f>
        <v>Baki I.; Sahraoui H.</v>
      </c>
      <c r="E20" s="7" t="str">
        <f>IFERROR(__xludf.DUMMYFUNCTION("""COMPUTED_VALUE"""),"Multi-step learning and adaptive search for learning complex model transformations from examples")</f>
        <v>Multi-step learning and adaptive search for learning complex model transformations from examples</v>
      </c>
      <c r="F20" s="7" t="str">
        <f>IFERROR(__xludf.DUMMYFUNCTION("""COMPUTED_VALUE"""),"TOSEM")</f>
        <v>TOSEM</v>
      </c>
      <c r="G20" s="7" t="str">
        <f>IFERROR(__xludf.DUMMYFUNCTION("""COMPUTED_VALUE"""),"Model-driven engineering promotes models as main development artifacts. As several models may be manipulated during the software-development life cycle, model transformations ensure their consistency by automating model generation and update tasks. Howeve"&amp;"r, writing model transformations requires much knowledge and effort that detract from their benefits. To address this issue, Model Transformation by Example (MTBE) aims to learn transformation programs from source and target model pairs supplied as exampl"&amp;"es. In this article, we tackle the fundamental issues that prevent the existing MTBE approaches from efficiently solving the problem of learning model transformations. We show that, when considering complex transformations, the search space is too large t"&amp;"o be explored by naive search techniques. We propose an MTBE process to learn complex model transformations by considering three common requirements: element context and state dependencies and complex value derivation. Our process relies on two strategies"&amp;" to reduce the size of the search space and to better explore it, namely, multi-step learning and adaptive search. We experimentally evaluate our approach on seven model transformation problems. The learned transformation programs are able to produce perf"&amp;"ect target models in three transformation cases, whereas precision and recall values larger than 90% are recorded for the four remaining cases. © 2016 ACM.")</f>
        <v>Model-driven engineering promotes models as main development artifacts. As several models may be manipulated during the software-development life cycle, model transformations ensure their consistency by automating model generation and update tasks. However, writing model transformations requires much knowledge and effort that detract from their benefits. To address this issue, Model Transformation by Example (MTBE) aims to learn transformation programs from source and target model pairs supplied as examples. In this article, we tackle the fundamental issues that prevent the existing MTBE approaches from efficiently solving the problem of learning model transformations. We show that, when considering complex transformations, the search space is too large to be explored by naive search techniques. We propose an MTBE process to learn complex model transformations by considering three common requirements: element context and state dependencies and complex value derivation. Our process relies on two strategies to reduce the size of the search space and to better explore it, namely, multi-step learning and adaptive search. We experimentally evaluate our approach on seven model transformation problems. The learned transformation programs are able to produce perfect target models in three transformation cases, whereas precision and recall values larger than 90% are recorded for the four remaining cases. © 2016 ACM.</v>
      </c>
      <c r="H20" s="8" t="str">
        <f>IFERROR(__xludf.DUMMYFUNCTION("""COMPUTED_VALUE"""),"Genetic programming; Model transformation; Model transformation by example; Model-driven engineering; Simulated annealing")</f>
        <v>Genetic programming; Model transformation; Model transformation by example; Model-driven engineering; Simulated annealing</v>
      </c>
      <c r="I20" s="9" t="b">
        <v>0</v>
      </c>
      <c r="J20" s="9" t="b">
        <v>1</v>
      </c>
      <c r="K20" s="10" t="b">
        <v>0</v>
      </c>
      <c r="L20" s="10" t="b">
        <v>0</v>
      </c>
      <c r="M20" s="10" t="b">
        <v>0</v>
      </c>
      <c r="N20" s="10" t="b">
        <v>0</v>
      </c>
      <c r="O20" s="11" t="b">
        <f t="shared" si="1"/>
        <v>0</v>
      </c>
      <c r="P20" s="16" t="b">
        <v>0</v>
      </c>
      <c r="Q20" s="13" t="s">
        <v>34</v>
      </c>
    </row>
    <row r="21">
      <c r="A21" s="5" t="b">
        <v>1</v>
      </c>
      <c r="B21" s="5" t="s">
        <v>35</v>
      </c>
      <c r="C21" s="6" t="str">
        <f>IFERROR(__xludf.DUMMYFUNCTION("""COMPUTED_VALUE"""),"10.1145/2491509.2491515")</f>
        <v>10.1145/2491509.2491515</v>
      </c>
      <c r="D21" s="7" t="str">
        <f>IFERROR(__xludf.DUMMYFUNCTION("""COMPUTED_VALUE"""),"Falessi D.; Briand L.C.; Cantone G.; Capilla R.; Kruchten P.")</f>
        <v>Falessi D.; Briand L.C.; Cantone G.; Capilla R.; Kruchten P.</v>
      </c>
      <c r="E21" s="7" t="str">
        <f>IFERROR(__xludf.DUMMYFUNCTION("""COMPUTED_VALUE"""),"The value of design rationale information")</f>
        <v>The value of design rationale information</v>
      </c>
      <c r="F21" s="7" t="str">
        <f>IFERROR(__xludf.DUMMYFUNCTION("""COMPUTED_VALUE"""),"TOSEM")</f>
        <v>TOSEM</v>
      </c>
      <c r="G21" s="7" t="str">
        <f>IFERROR(__xludf.DUMMYFUNCTION("""COMPUTED_VALUE"""),"A complete and detailed (full) Design Rationale Documentation (DRD) could support many software development activities, such as an impact analysis or a major redesign. However, this is typically too onerous for systematic industrial use as it is not cost "&amp;"effective to write, maintain, or read. The key idea investigated in this article is that DRD should be developed only to the extent required to support activities particularly difficult to execute or in need of significant improvement in a particular cont"&amp;"ext. The aim of this article is to empirically investigate the customization of the DRD by documenting only the information items that will probably be required for executing an activity. This customization strategy relies on the hypothesis that the value"&amp;" of a specific DRD information item depends on its category (e.g., assumptions, related requirements, etc.) and on the activity it is meant to support. We investigate this hypothesis through two controlled experiments involving a total of 75 master studen"&amp;"ts as experimental subjects. Results show that the value of a DRD information item significantly depends on its category and, within a given category, on the activity it supports. Furthermore, on average among activities, documenting only the information "&amp;"items that have been required at least half of the time (i.e., the information that will probably be required in the future) leads to a customized DRD containing about half the information items of a full documentation. We expect that such a significant r"&amp;"eduction in DRD information should mitigate the effects of some inhibitors that currently prevent practitioners from documenting design decision rationale. © 2013 ACM.")</f>
        <v>A complete and detailed (full) Design Rationale Documentation (DRD) could support many software development activities, such as an impact analysis or a major redesign. However, this is typically too onerous for systematic industrial use as it is not cost effective to write, maintain, or read. The key idea investigated in this article is that DRD should be developed only to the extent required to support activities particularly difficult to execute or in need of significant improvement in a particular context. The aim of this article is to empirically investigate the customization of the DRD by documenting only the information items that will probably be required for executing an activity. This customization strategy relies on the hypothesis that the value of a specific DRD information item depends on its category (e.g., assumptions, related requirements, etc.) and on the activity it is meant to support. We investigate this hypothesis through two controlled experiments involving a total of 75 master students as experimental subjects. Results show that the value of a DRD information item significantly depends on its category and, within a given category, on the activity it supports. Furthermore, on average among activities, documenting only the information items that have been required at least half of the time (i.e., the information that will probably be required in the future) leads to a customized DRD containing about half the information items of a full documentation. We expect that such a significant reduction in DRD information should mitigate the effects of some inhibitors that currently prevent practitioners from documenting design decision rationale. © 2013 ACM.</v>
      </c>
      <c r="H21" s="8" t="str">
        <f>IFERROR(__xludf.DUMMYFUNCTION("""COMPUTED_VALUE"""),"Design decisions; Empirical software engineering; Software architecture; Software maintenance; Value-based software engineering")</f>
        <v>Design decisions; Empirical software engineering; Software architecture; Software maintenance; Value-based software engineering</v>
      </c>
      <c r="I21" s="9" t="b">
        <v>1</v>
      </c>
      <c r="J21" s="9" t="b">
        <v>0</v>
      </c>
      <c r="K21" s="9" t="b">
        <v>1</v>
      </c>
      <c r="L21" s="10" t="b">
        <v>0</v>
      </c>
      <c r="M21" s="10" t="b">
        <v>0</v>
      </c>
      <c r="N21" s="10" t="b">
        <v>0</v>
      </c>
      <c r="O21" s="11" t="b">
        <f t="shared" si="1"/>
        <v>0</v>
      </c>
      <c r="P21" s="12" t="b">
        <v>0</v>
      </c>
      <c r="Q21" s="13" t="s">
        <v>36</v>
      </c>
    </row>
    <row r="22">
      <c r="A22" s="5" t="b">
        <v>1</v>
      </c>
      <c r="B22" s="5" t="s">
        <v>37</v>
      </c>
      <c r="C22" s="6" t="str">
        <f>IFERROR(__xludf.DUMMYFUNCTION("""COMPUTED_VALUE"""),"10.1145/279310.279314")</f>
        <v>10.1145/279310.279314</v>
      </c>
      <c r="D22" s="7" t="str">
        <f>IFERROR(__xludf.DUMMYFUNCTION("""COMPUTED_VALUE"""),"Murphy G.C.; Notkin D.; Griswold W.G.; Lan E.S.")</f>
        <v>Murphy G.C.; Notkin D.; Griswold W.G.; Lan E.S.</v>
      </c>
      <c r="E22" s="7" t="str">
        <f>IFERROR(__xludf.DUMMYFUNCTION("""COMPUTED_VALUE"""),"An Empirical Study of Static Call Graph Extractors")</f>
        <v>An Empirical Study of Static Call Graph Extractors</v>
      </c>
      <c r="F22" s="7" t="str">
        <f>IFERROR(__xludf.DUMMYFUNCTION("""COMPUTED_VALUE"""),"TOSEM")</f>
        <v>TOSEM</v>
      </c>
      <c r="G22" s="7" t="str">
        <f>IFERROR(__xludf.DUMMYFUNCTION("""COMPUTED_VALUE"""),"Informally, a call graph represents calls between entities in a given program. The call graphs that compilers compute to determine the applicability of an optimization must typically be conservative: a call may be omitted only if it can never occur in any"&amp;" execution of the program. Numerous software engineering tools also extract call graphs with the expectation that they will help software engineers increase their understanding of a program. The requirements placed on software engineering tools that compu"&amp;"te call graphs are typically more relaxed than for compilers. For example, some false negatives - calls that can in fact take place in some execution of the program, but which are omitted from the call graph - may be acceptable, depending on the understan"&amp;"ding task at hand. In this article, we empirically show a consequence of this spectrum of requirements by comparing the C call graphs extracted from three software systems (mapmaker, mosaic, and gcc) by nine tools (cflow, cawk, CIA, Field, GCT, Imagix, LS"&amp;"ME, Mawk, and Rigiparse). A quantitative analysis of the call graphs extracted for each system shows considerable variation, a result that is counterintuitive to many experienced software engineers. A qualitative analysis of these results reveals a number"&amp;" of reasons for this variation: differing treatments of macros, function pointers, input formats, etc. The fundamental problem is not that variances among the graphs extracted by different tools exist, but that software engineers have little sense of the "&amp;"dimensions of approximation in any particular call graph. In this article, we describe and discuss the study, sketch a design space for static call graph extractors, and discuss the impact of our study on practitioners, tool developers, and researchers. A"&amp;"lthough this article considers only one kind of information, call graphs, many of the observations also apply to static extractors of other kinds of information, such as inheritance structures, file dependences, and references to global variables.")</f>
        <v>Informally, a call graph represents calls between entities in a given program. The call graphs that compilers compute to determine the applicability of an optimization must typically be conservative: a call may be omitted only if it can never occur in any execution of the program. Numerous software engineering tools also extract call graphs with the expectation that they will help software engineers increase their understanding of a program. The requirements placed on software engineering tools that compute call graphs are typically more relaxed than for compilers. For example, some false negatives - calls that can in fact take place in some execution of the program, but which are omitted from the call graph - may be acceptable, depending on the understanding task at hand. In this article, we empirically show a consequence of this spectrum of requirements by comparing the C call graphs extracted from three software systems (mapmaker, mosaic, and gcc) by nine tools (cflow, cawk, CIA, Field, GCT, Imagix, LSME, Mawk, and Rigiparse). A quantitative analysis of the call graphs extracted for each system shows considerable variation, a result that is counterintuitive to many experienced software engineers. A qualitative analysis of these results reveals a number of reasons for this variation: differing treatments of macros, function pointers, input formats, etc. The fundamental problem is not that variances among the graphs extracted by different tools exist, but that software engineers have little sense of the dimensions of approximation in any particular call graph. In this article, we describe and discuss the study, sketch a design space for static call graph extractors, and discuss the impact of our study on practitioners, tool developers, and researchers. Although this article considers only one kind of information, call graphs, many of the observations also apply to static extractors of other kinds of information, such as inheritance structures, file dependences, and references to global variables.</v>
      </c>
      <c r="H22" s="8" t="str">
        <f>IFERROR(__xludf.DUMMYFUNCTION("""COMPUTED_VALUE"""),"Call graphs; D.3.4 [Programming Languages]: Processors General Terms: Experimentation; Design space; Empirical study; Languages; Software system analysis; Static analysis")</f>
        <v>Call graphs; D.3.4 [Programming Languages]: Processors General Terms: Experimentation; Design space; Empirical study; Languages; Software system analysis; Static analysis</v>
      </c>
      <c r="I22" s="10" t="b">
        <v>0</v>
      </c>
      <c r="J22" s="10" t="b">
        <v>0</v>
      </c>
      <c r="K22" s="10" t="b">
        <v>0</v>
      </c>
      <c r="L22" s="10" t="b">
        <v>0</v>
      </c>
      <c r="M22" s="10" t="b">
        <v>0</v>
      </c>
      <c r="N22" s="10" t="b">
        <v>0</v>
      </c>
      <c r="O22" s="11" t="b">
        <f t="shared" si="1"/>
        <v>0</v>
      </c>
      <c r="P22" s="16" t="b">
        <v>0</v>
      </c>
      <c r="Q22" s="7"/>
    </row>
    <row r="23">
      <c r="A23" s="5" t="b">
        <v>1</v>
      </c>
      <c r="B23" s="5" t="s">
        <v>38</v>
      </c>
      <c r="C23" s="6" t="str">
        <f>IFERROR(__xludf.DUMMYFUNCTION("""COMPUTED_VALUE"""),"10.1145/152388.152393")</f>
        <v>10.1145/152388.152393</v>
      </c>
      <c r="D23" s="7" t="str">
        <f>IFERROR(__xludf.DUMMYFUNCTION("""COMPUTED_VALUE"""),"Ciancarini P.")</f>
        <v>Ciancarini P.</v>
      </c>
      <c r="E23" s="7" t="str">
        <f>IFERROR(__xludf.DUMMYFUNCTION("""COMPUTED_VALUE"""),"Coordinating Rule-Based Software Processes with ESP")</f>
        <v>Coordinating Rule-Based Software Processes with ESP</v>
      </c>
      <c r="F23" s="7" t="str">
        <f>IFERROR(__xludf.DUMMYFUNCTION("""COMPUTED_VALUE"""),"TOSEM")</f>
        <v>TOSEM</v>
      </c>
      <c r="G23" s="7" t="str">
        <f>IFERROR(__xludf.DUMMYFUNCTION("""COMPUTED_VALUE"""),"ESP is a language for modeling rule-based software processes that take place in a distributed software development environment. It is based on PoliS, an abstract coordination model that relies on Multiple Tuple Spaces, i.e., collections of tuples a la Lin"&amp;"da. PoliS extends Linda aiming at the specification and coordination of logically distributed systems. ESP 1993 combines the PoliS mechanisms to deal with concurrency and distribution, with the logic-programming language Prolog, to deal with rules and ded"&amp;"uction. Such a combination of a coordination model and a logic language provides a powerful framework in which experiments about rule-based software process programming can be performed and evaluated. © 1993, ACM. All rights reserved.")</f>
        <v>ESP is a language for modeling rule-based software processes that take place in a distributed software development environment. It is based on PoliS, an abstract coordination model that relies on Multiple Tuple Spaces, i.e., collections of tuples a la Linda. PoliS extends Linda aiming at the specification and coordination of logically distributed systems. ESP 1993 combines the PoliS mechanisms to deal with concurrency and distribution, with the logic-programming language Prolog, to deal with rules and deduction. Such a combination of a coordination model and a logic language provides a powerful framework in which experiments about rule-based software process programming can be performed and evaluated. © 1993, ACM. All rights reserved.</v>
      </c>
      <c r="H23" s="8" t="str">
        <f>IFERROR(__xludf.DUMMYFUNCTION("""COMPUTED_VALUE"""),"concurrency; logic programming; multiuser programming environment; rule-based programming; software process; software process modeling")</f>
        <v>concurrency; logic programming; multiuser programming environment; rule-based programming; software process; software process modeling</v>
      </c>
      <c r="I23" s="10" t="b">
        <v>0</v>
      </c>
      <c r="J23" s="10" t="b">
        <v>0</v>
      </c>
      <c r="K23" s="10" t="b">
        <v>0</v>
      </c>
      <c r="L23" s="10" t="b">
        <v>0</v>
      </c>
      <c r="M23" s="10" t="b">
        <v>0</v>
      </c>
      <c r="N23" s="10" t="b">
        <v>0</v>
      </c>
      <c r="O23" s="11" t="b">
        <f t="shared" si="1"/>
        <v>0</v>
      </c>
      <c r="P23" s="16" t="b">
        <v>0</v>
      </c>
      <c r="Q23" s="7"/>
    </row>
    <row r="24">
      <c r="A24" s="5" t="b">
        <v>1</v>
      </c>
      <c r="B24" s="5" t="s">
        <v>39</v>
      </c>
      <c r="C24" s="6" t="str">
        <f>IFERROR(__xludf.DUMMYFUNCTION("""COMPUTED_VALUE"""),"10.1145/2491509.2491514")</f>
        <v>10.1145/2491509.2491514</v>
      </c>
      <c r="D24" s="7" t="str">
        <f>IFERROR(__xludf.DUMMYFUNCTION("""COMPUTED_VALUE"""),"Pradella M.; Morzenti A.; San Pietro P.")</f>
        <v>Pradella M.; Morzenti A.; San Pietro P.</v>
      </c>
      <c r="E24" s="7" t="str">
        <f>IFERROR(__xludf.DUMMYFUNCTION("""COMPUTED_VALUE"""),"Bounded satisfiability checking of metric temporal logic specifications")</f>
        <v>Bounded satisfiability checking of metric temporal logic specifications</v>
      </c>
      <c r="F24" s="7" t="str">
        <f>IFERROR(__xludf.DUMMYFUNCTION("""COMPUTED_VALUE"""),"TOSEM")</f>
        <v>TOSEM</v>
      </c>
      <c r="G24" s="7" t="str">
        <f>IFERROR(__xludf.DUMMYFUNCTION("""COMPUTED_VALUE"""),"We introduce bounded satisfiability checking, a verification technique that extends bounded model checking by allowing also the analysis of a descriptive model, consisting of temporal logic formulae, instead of the more customary operational model, consis"&amp;"ting of a state transition system.We define techniques for encoding temporal logic formulae into Boolean logic that support the use of bi-infinite time domain and of metric time operators. In the framework of bounded satisfiability checking, we show how a"&amp;" descriptive model can be refined into an operational one, and how the correctness of such a refinement can be verified for the bounded case, setting the stage for a stepwise system development method based on a bounded model refinement. Finally, we show "&amp;"how the adoption of a modular approach can make the bounded refinement process more manageable and efficient. All introduced concepts are extensively applied to a set of case studies, and thoroughly experimented through Zot, our SAT solver-based verificat"&amp;"ion toolset. © 2013 ACM.")</f>
        <v>We introduce bounded satisfiability checking, a verification technique that extends bounded model checking by allowing also the analysis of a descriptive model, consisting of temporal logic formulae, instead of the more customary operational model, consisting of a state transition system.We define techniques for encoding temporal logic formulae into Boolean logic that support the use of bi-infinite time domain and of metric time operators. In the framework of bounded satisfiability checking, we show how a descriptive model can be refined into an operational one, and how the correctness of such a refinement can be verified for the bounded case, setting the stage for a stepwise system development method based on a bounded model refinement. Finally, we show how the adoption of a modular approach can make the bounded refinement process more manageable and efficient. All introduced concepts are extensively applied to a set of case studies, and thoroughly experimented through Zot, our SAT solver-based verification toolset. © 2013 ACM.</v>
      </c>
      <c r="H24" s="8" t="str">
        <f>IFERROR(__xludf.DUMMYFUNCTION("""COMPUTED_VALUE"""),"Bi-infinite time; Bounded model checking; Formal methods; Refinement; Temporal logic")</f>
        <v>Bi-infinite time; Bounded model checking; Formal methods; Refinement; Temporal logic</v>
      </c>
      <c r="I24" s="10" t="b">
        <v>0</v>
      </c>
      <c r="J24" s="10" t="b">
        <v>0</v>
      </c>
      <c r="K24" s="10" t="b">
        <v>0</v>
      </c>
      <c r="L24" s="10" t="b">
        <v>0</v>
      </c>
      <c r="M24" s="10" t="b">
        <v>0</v>
      </c>
      <c r="N24" s="10" t="b">
        <v>0</v>
      </c>
      <c r="O24" s="11" t="b">
        <f t="shared" si="1"/>
        <v>0</v>
      </c>
      <c r="P24" s="16" t="b">
        <v>0</v>
      </c>
      <c r="Q24" s="7"/>
    </row>
    <row r="25">
      <c r="A25" s="5" t="b">
        <v>1</v>
      </c>
      <c r="B25" s="5" t="s">
        <v>40</v>
      </c>
      <c r="C25" s="6" t="str">
        <f>IFERROR(__xludf.DUMMYFUNCTION("""COMPUTED_VALUE"""),"10.1145/2491509.2491512")</f>
        <v>10.1145/2491509.2491512</v>
      </c>
      <c r="D25" s="7" t="str">
        <f>IFERROR(__xludf.DUMMYFUNCTION("""COMPUTED_VALUE"""),"Le W.; Soffa M.L.")</f>
        <v>Le W.; Soffa M.L.</v>
      </c>
      <c r="E25" s="7" t="str">
        <f>IFERROR(__xludf.DUMMYFUNCTION("""COMPUTED_VALUE"""),"Marple: Detecting faults in path segments using automatically generated analyses")</f>
        <v>Marple: Detecting faults in path segments using automatically generated analyses</v>
      </c>
      <c r="F25" s="7" t="str">
        <f>IFERROR(__xludf.DUMMYFUNCTION("""COMPUTED_VALUE"""),"TOSEM")</f>
        <v>TOSEM</v>
      </c>
      <c r="G25" s="7" t="str">
        <f>IFERROR(__xludf.DUMMYFUNCTION("""COMPUTED_VALUE"""),"Generally, a fault is a property violation at a program point along some execution path. To obtain the path where a fault occurs, we can either run the program or manually identify the execution paths through code inspection. In both of the cases, only a "&amp;"very limited number of execution paths can be examined for a program. This article presents a static framework, Marple, that automatically detects path segments where a fault occurs at a whole program scale. An important contribution of the work is the de"&amp;"sign of a demand-driven analysis that effectively addresses scalability challenges faced by traditional path-sensitive fault detection. The techniques are made general via a specification language and an algorithm that automatically generates path-based a"&amp;"nalyses from specifications. The generality is achieved in handling both data- and controlcentric faults as well as both liveness and safety properties, enabling the exploitation of fault interactions for diagnosis and efficiency. Our experimental results"&amp;" demonstrate the effectiveness of our techniques in detecting path segments of buffer overflows, integer violations, null-pointer dereferences, and memory leaks. Because we applied an interprocedural, path-sensitive analysis, our static fault detectors ge"&amp;"nerally report better precision than the tools available for comparison. Our demand-driven analyses are shown scalable to deployed applications such as apache, putty, and ffmpeg. © 2013 ACM.")</f>
        <v>Generally, a fault is a property violation at a program point along some execution path. To obtain the path where a fault occurs, we can either run the program or manually identify the execution paths through code inspection. In both of the cases, only a very limited number of execution paths can be examined for a program. This article presents a static framework, Marple, that automatically detects path segments where a fault occurs at a whole program scale. An important contribution of the work is the design of a demand-driven analysis that effectively addresses scalability challenges faced by traditional path-sensitive fault detection. The techniques are made general via a specification language and an algorithm that automatically generates path-based analyses from specifications. The generality is achieved in handling both data- and controlcentric faults as well as both liveness and safety properties, enabling the exploitation of fault interactions for diagnosis and efficiency. Our experimental results demonstrate the effectiveness of our techniques in detecting path segments of buffer overflows, integer violations, null-pointer dereferences, and memory leaks. Because we applied an interprocedural, path-sensitive analysis, our static fault detectors generally report better precision than the tools available for comparison. Our demand-driven analyses are shown scalable to deployed applications such as apache, putty, and ffmpeg. © 2013 ACM.</v>
      </c>
      <c r="H25" s="8" t="str">
        <f>IFERROR(__xludf.DUMMYFUNCTION("""COMPUTED_VALUE"""),"Demand-driven; Faults; Path segments; Specification")</f>
        <v>Demand-driven; Faults; Path segments; Specification</v>
      </c>
      <c r="I25" s="10" t="b">
        <v>0</v>
      </c>
      <c r="J25" s="10" t="b">
        <v>0</v>
      </c>
      <c r="K25" s="10" t="b">
        <v>0</v>
      </c>
      <c r="L25" s="10" t="b">
        <v>0</v>
      </c>
      <c r="M25" s="10" t="b">
        <v>0</v>
      </c>
      <c r="N25" s="10" t="b">
        <v>0</v>
      </c>
      <c r="O25" s="11" t="b">
        <f t="shared" si="1"/>
        <v>0</v>
      </c>
      <c r="P25" s="16" t="b">
        <v>0</v>
      </c>
      <c r="Q25" s="7"/>
    </row>
    <row r="26">
      <c r="A26" s="5" t="b">
        <v>1</v>
      </c>
      <c r="B26" s="5" t="s">
        <v>41</v>
      </c>
      <c r="C26" s="6" t="str">
        <f>IFERROR(__xludf.DUMMYFUNCTION("""COMPUTED_VALUE"""),"10.1145/366378.366379")</f>
        <v>10.1145/366378.366379</v>
      </c>
      <c r="D26" s="7" t="str">
        <f>IFERROR(__xludf.DUMMYFUNCTION("""COMPUTED_VALUE"""),"Tip F.; Dinesh T.B.")</f>
        <v>Tip F.; Dinesh T.B.</v>
      </c>
      <c r="E26" s="7" t="str">
        <f>IFERROR(__xludf.DUMMYFUNCTION("""COMPUTED_VALUE"""),"A Slicing-Based Approach for Locating Type Errors")</f>
        <v>A Slicing-Based Approach for Locating Type Errors</v>
      </c>
      <c r="F26" s="7" t="str">
        <f>IFERROR(__xludf.DUMMYFUNCTION("""COMPUTED_VALUE"""),"TOSEM")</f>
        <v>TOSEM</v>
      </c>
      <c r="G26" s="7" t="str">
        <f>IFERROR(__xludf.DUMMYFUNCTION("""COMPUTED_VALUE"""),"The effectiveness of a type-checking tool strongly depends on the accuracy of the positional information that is associated with type errors. We present an approach where the location associated with an error message e is defined as a slice Pe of the prog"&amp;"ram P being type-checked. We show that this approach yields highly accurate positional information: Pe is a program that contains precisely those program constructs in P that caused error e. Semantically, we have the interesting property that type-checkin"&amp;"g Pe is guaranteed to produce the same error e. Our approach is completely language-independent and has been implemented for a significant subset of Pascal. We also report on experiments with object-oriented type systems, and with a subset of ML.")</f>
        <v>The effectiveness of a type-checking tool strongly depends on the accuracy of the positional information that is associated with type errors. We present an approach where the location associated with an error message e is defined as a slice Pe of the program P being type-checked. We show that this approach yields highly accurate positional information: Pe is a program that contains precisely those program constructs in P that caused error e. Semantically, we have the interesting property that type-checking Pe is guaranteed to produce the same error e. Our approach is completely language-independent and has been implemented for a significant subset of Pascal. We also report on experiments with object-oriented type systems, and with a subset of ML.</v>
      </c>
      <c r="H26" s="8" t="str">
        <f>IFERROR(__xludf.DUMMYFUNCTION("""COMPUTED_VALUE"""),"D.2.1 [Software Engineering]: Requirements/Specifications - Languages; D.3.4 [Programming Languages]: Processors - Translator writing systems and compiler generators; Tools")</f>
        <v>D.2.1 [Software Engineering]: Requirements/Specifications - Languages; D.3.4 [Programming Languages]: Processors - Translator writing systems and compiler generators; Tools</v>
      </c>
      <c r="I26" s="10" t="b">
        <v>0</v>
      </c>
      <c r="J26" s="10" t="b">
        <v>0</v>
      </c>
      <c r="K26" s="10" t="b">
        <v>0</v>
      </c>
      <c r="L26" s="10" t="b">
        <v>0</v>
      </c>
      <c r="M26" s="10" t="b">
        <v>0</v>
      </c>
      <c r="N26" s="10" t="b">
        <v>0</v>
      </c>
      <c r="O26" s="11" t="b">
        <f t="shared" si="1"/>
        <v>0</v>
      </c>
      <c r="P26" s="16" t="b">
        <v>0</v>
      </c>
      <c r="Q26" s="7"/>
    </row>
    <row r="27">
      <c r="A27" s="5" t="b">
        <v>1</v>
      </c>
      <c r="B27" s="5" t="s">
        <v>42</v>
      </c>
      <c r="C27" s="6" t="str">
        <f>IFERROR(__xludf.DUMMYFUNCTION("""COMPUTED_VALUE"""),"10.1145/192218.192221")</f>
        <v>10.1145/192218.192221</v>
      </c>
      <c r="D27" s="7" t="str">
        <f>IFERROR(__xludf.DUMMYFUNCTION("""COMPUTED_VALUE"""),"Doong R.-K.; Frankl P.G.")</f>
        <v>Doong R.-K.; Frankl P.G.</v>
      </c>
      <c r="E27" s="7" t="str">
        <f>IFERROR(__xludf.DUMMYFUNCTION("""COMPUTED_VALUE"""),"The ASTOOT Approach to Testing Object-Oriented Programs")</f>
        <v>The ASTOOT Approach to Testing Object-Oriented Programs</v>
      </c>
      <c r="F27" s="7" t="str">
        <f>IFERROR(__xludf.DUMMYFUNCTION("""COMPUTED_VALUE"""),"TOSEM")</f>
        <v>TOSEM</v>
      </c>
      <c r="G27" s="7" t="str">
        <f>IFERROR(__xludf.DUMMYFUNCTION("""COMPUTED_VALUE"""),"This article describes a new approach to the unit testing of object-oriented programs, a set of tools based on this approach, and two case studies. In this approach, each test case consists of a tuple of sequences of messages, along with tags indicating w"&amp;"hether these sequences should put objects of the class under test into equivalent states and/or return objects that are in equivalent states. Tests are executed by sending the sequences to objects of the class under test, then invoking a user-supplied equ"&amp;"ivalence-checking mechanism. This approach allows for substantial automation of many aspects of testing, including test case generation, test driver generation, test execution, and test checking. Experimental prototypes of tools for test generation and te"&amp;"st execution are described. The test generation tool requires the availability of an algebraic specification of the abstract data type being tested, but the test execution tool can be used when no formal specification is available. Using the test executio"&amp;"n tools, case studies involving execution of tens of thousands of test cases, with various sequence lengths, parameters, and combinations of operations were performed. The relationships among likelihood of detecting an error and sequence length, range of "&amp;"parameters, and relative frequency of various operations were investigated for priority queue and sorted-list implementations having subtle errors. In each case, long sequences tended to be more likely to detect the error, provided that the range of param"&amp;"eters was sufficiently large and likelihood of detecting an error tended to increase up to a threshold value as the parameter range increased. © 1994, ACM. All rights reserved.")</f>
        <v>This article describes a new approach to the unit testing of object-oriented programs, a set of tools based on this approach, and two case studies. In this approach, each test case consists of a tuple of sequences of messages, along with tags indicating whether these sequences should put objects of the class under test into equivalent states and/or return objects that are in equivalent states. Tests are executed by sending the sequences to objects of the class under test, then invoking a user-supplied equivalence-checking mechanism. This approach allows for substantial automation of many aspects of testing, including test case generation, test driver generation, test execution, and test checking. Experimental prototypes of tools for test generation and test execution are described. The test generation tool requires the availability of an algebraic specification of the abstract data type being tested, but the test execution tool can be used when no formal specification is available. Using the test execution tools, case studies involving execution of tens of thousands of test cases, with various sequence lengths, parameters, and combinations of operations were performed. The relationships among likelihood of detecting an error and sequence length, range of parameters, and relative frequency of various operations were investigated for priority queue and sorted-list implementations having subtle errors. In each case, long sequences tended to be more likely to detect the error, provided that the range of parameters was sufficiently large and likelihood of detecting an error tended to increase up to a threshold value as the parameter range increased. © 1994, ACM. All rights reserved.</v>
      </c>
      <c r="H27" s="8" t="str">
        <f>IFERROR(__xludf.DUMMYFUNCTION("""COMPUTED_VALUE"""),"Abstract data types; algebraic specification; object-oriented programming; software testing")</f>
        <v>Abstract data types; algebraic specification; object-oriented programming; software testing</v>
      </c>
      <c r="I27" s="10" t="b">
        <v>0</v>
      </c>
      <c r="J27" s="10" t="b">
        <v>0</v>
      </c>
      <c r="K27" s="10" t="b">
        <v>0</v>
      </c>
      <c r="L27" s="10" t="b">
        <v>0</v>
      </c>
      <c r="M27" s="10" t="b">
        <v>0</v>
      </c>
      <c r="N27" s="10" t="b">
        <v>0</v>
      </c>
      <c r="O27" s="11" t="b">
        <f t="shared" si="1"/>
        <v>0</v>
      </c>
      <c r="P27" s="16" t="b">
        <v>0</v>
      </c>
      <c r="Q27" s="7"/>
    </row>
    <row r="28">
      <c r="A28" s="5" t="b">
        <v>1</v>
      </c>
      <c r="B28" s="5" t="s">
        <v>43</v>
      </c>
      <c r="C28" s="6" t="str">
        <f>IFERROR(__xludf.DUMMYFUNCTION("""COMPUTED_VALUE"""),"10.1145/3410875")</f>
        <v>10.1145/3410875</v>
      </c>
      <c r="D28" s="7" t="str">
        <f>IFERROR(__xludf.DUMMYFUNCTION("""COMPUTED_VALUE"""),"Bagnara R.; Chiari M.; Gori R.; Bagnara A.")</f>
        <v>Bagnara R.; Chiari M.; Gori R.; Bagnara A.</v>
      </c>
      <c r="E28" s="7" t="str">
        <f>IFERROR(__xludf.DUMMYFUNCTION("""COMPUTED_VALUE"""),"A Practical Approach to Verification of Floating-Point C/C++ Programs with math.h/cmath Functions")</f>
        <v>A Practical Approach to Verification of Floating-Point C/C++ Programs with math.h/cmath Functions</v>
      </c>
      <c r="F28" s="7" t="str">
        <f>IFERROR(__xludf.DUMMYFUNCTION("""COMPUTED_VALUE"""),"TOSEM")</f>
        <v>TOSEM</v>
      </c>
      <c r="G28" s="7" t="str">
        <f>IFERROR(__xludf.DUMMYFUNCTION("""COMPUTED_VALUE"""),"Verification of C/C&lt;bold&gt;++&lt;/bold&gt; programs has seen considerable progress in several areas, but not for programs that use these languages' mathematical libraries. The reason is that all libraries in widespread use come with no guarantees about the comput"&amp;"ed results. This would seem to prevent any attempt at formal verification of programs that use them: without a specificationfor the functions, no conclusion can be drawn statically about the behavior of the program. We propose an alternative to surrender."&amp;" We introduce a pragmatic approach that leverages the fact that most &lt;monospace&gt;math.h/cmath&lt;/monospace&gt; functions are almost piecewise monotonic: as we discovered through exhaustive testing, they may have glitches, often of very small size and in smallnu"&amp;"mbers. We develop interval refinement techniques for such functions based on a modified dichotomic search, which enable verification via symbolic execution based model checking, abstract interpretation, and test data generation. To the best of our knowled"&amp;"ge, our refinement algorithms are the first in the literature to be able to handle non-correctly rounded function implementations, enablingverification in the presence of the most common implementations. We experimentally evaluate our approach on real-wor"&amp;"ld code, showing its ability to detect or rule out anomalous behaviors.  © 2020 ACM.")</f>
        <v>Verification of C/C&lt;bold&gt;++&lt;/bold&gt; programs has seen considerable progress in several areas, but not for programs that use these languages' mathematical libraries. The reason is that all libraries in widespread use come with no guarantees about the computed results. This would seem to prevent any attempt at formal verification of programs that use them: without a specificationfor the functions, no conclusion can be drawn statically about the behavior of the program. We propose an alternative to surrender. We introduce a pragmatic approach that leverages the fact that most &lt;monospace&gt;math.h/cmath&lt;/monospace&gt; functions are almost piecewise monotonic: as we discovered through exhaustive testing, they may have glitches, often of very small size and in smallnumbers. We develop interval refinement techniques for such functions based on a modified dichotomic search, which enable verification via symbolic execution based model checking, abstract interpretation, and test data generation. To the best of our knowledge, our refinement algorithms are the first in the literature to be able to handle non-correctly rounded function implementations, enablingverification in the presence of the most common implementations. We experimentally evaluate our approach on real-world code, showing its ability to detect or rule out anomalous behaviors.  © 2020 ACM.</v>
      </c>
      <c r="H28" s="8" t="str">
        <f>IFERROR(__xludf.DUMMYFUNCTION("""COMPUTED_VALUE"""),"abstract interpretation; constraint propagation; Floating-point numbers; model checking; program verification; symbolic execution")</f>
        <v>abstract interpretation; constraint propagation; Floating-point numbers; model checking; program verification; symbolic execution</v>
      </c>
      <c r="I28" s="10" t="b">
        <v>0</v>
      </c>
      <c r="J28" s="10" t="b">
        <v>0</v>
      </c>
      <c r="K28" s="10" t="b">
        <v>0</v>
      </c>
      <c r="L28" s="10" t="b">
        <v>0</v>
      </c>
      <c r="M28" s="10" t="b">
        <v>0</v>
      </c>
      <c r="N28" s="10" t="b">
        <v>0</v>
      </c>
      <c r="O28" s="11" t="b">
        <f t="shared" si="1"/>
        <v>0</v>
      </c>
      <c r="P28" s="16" t="b">
        <v>0</v>
      </c>
      <c r="Q28" s="7"/>
    </row>
    <row r="29">
      <c r="A29" s="5" t="b">
        <v>1</v>
      </c>
      <c r="B29" s="5" t="s">
        <v>44</v>
      </c>
      <c r="C29" s="6" t="str">
        <f>IFERROR(__xludf.DUMMYFUNCTION("""COMPUTED_VALUE"""),"10.1145/1125808.1125810")</f>
        <v>10.1145/1125808.1125810</v>
      </c>
      <c r="D29" s="7" t="str">
        <f>IFERROR(__xludf.DUMMYFUNCTION("""COMPUTED_VALUE"""),"Basin D.; Doser J.; Lodderstedt T.")</f>
        <v>Basin D.; Doser J.; Lodderstedt T.</v>
      </c>
      <c r="E29" s="7" t="str">
        <f>IFERROR(__xludf.DUMMYFUNCTION("""COMPUTED_VALUE"""),"Model driven security: From UML models to access control infrastructures")</f>
        <v>Model driven security: From UML models to access control infrastructures</v>
      </c>
      <c r="F29" s="7" t="str">
        <f>IFERROR(__xludf.DUMMYFUNCTION("""COMPUTED_VALUE"""),"TOSEM")</f>
        <v>TOSEM</v>
      </c>
      <c r="G29" s="7" t="str">
        <f>IFERROR(__xludf.DUMMYFUNCTION("""COMPUTED_VALUE"""),"We present a new approach to building secure systems. In our approach, which we call Model Driven Security, designers specify system models along with their security requirements and use tools to automatically generate system architectures from the models"&amp;", including complete, configured access control infrastructures. Rather than fixing one particular modeling language for this process, we propose a general schema for constructing such languages that combines languages for modeling systems with languages "&amp;"for modeling security. We present several instances of this schema that combine (both syntactically and semantically) different UML modeling languages with a security modeling language for formalizing access control requirements. From models in the combin"&amp;"ed languages, we automatically generate access control infrastructures for server-based applications, built from declarative and programmatic access control mechanisms. The modeling languages and generation process are semantically well-founded and are ba"&amp;"sed on an extension of Role-Based Access Control. We have implemented this approach in a UML-based CASE-tool and report on experiments. © 2006 ACM.")</f>
        <v>We present a new approach to building secure systems. In our approach, which we call Model Driven Security, designers specify system models along with their security requirements and use tools to automatically generate system architectures from the models, including complete, configured access control infrastructures. Rather than fixing one particular modeling language for this process, we propose a general schema for constructing such languages that combines languages for modeling systems with languages for modeling security. We present several instances of this schema that combine (both syntactically and semantically) different UML modeling languages with a security modeling language for formalizing access control requirements. From models in the combined languages, we automatically generate access control infrastructures for server-based applications, built from declarative and programmatic access control mechanisms. The modeling languages and generation process are semantically well-founded and are based on an extension of Role-Based Access Control. We have implemented this approach in a UML-based CASE-tool and report on experiments. © 2006 ACM.</v>
      </c>
      <c r="H29" s="8" t="str">
        <f>IFERROR(__xludf.DUMMYFUNCTION("""COMPUTED_VALUE"""),"Metamodeling; Model Driven Architecture; Object Constraint Language; Role-Based Access Control; Security engineering; Unified Modeling Language")</f>
        <v>Metamodeling; Model Driven Architecture; Object Constraint Language; Role-Based Access Control; Security engineering; Unified Modeling Language</v>
      </c>
      <c r="I29" s="9" t="b">
        <v>0</v>
      </c>
      <c r="J29" s="9" t="b">
        <v>1</v>
      </c>
      <c r="K29" s="9" t="b">
        <v>1</v>
      </c>
      <c r="L29" s="10" t="b">
        <v>0</v>
      </c>
      <c r="M29" s="10" t="b">
        <v>0</v>
      </c>
      <c r="N29" s="10" t="b">
        <v>0</v>
      </c>
      <c r="O29" s="11" t="b">
        <f t="shared" si="1"/>
        <v>0</v>
      </c>
      <c r="P29" s="12" t="b">
        <v>0</v>
      </c>
      <c r="Q29" s="13"/>
    </row>
    <row r="30">
      <c r="A30" s="5" t="b">
        <v>1</v>
      </c>
      <c r="B30" s="5" t="s">
        <v>45</v>
      </c>
      <c r="C30" s="6" t="str">
        <f>IFERROR(__xludf.DUMMYFUNCTION("""COMPUTED_VALUE"""),"10.1145/3517194")</f>
        <v>10.1145/3517194</v>
      </c>
      <c r="D30" s="7" t="str">
        <f>IFERROR(__xludf.DUMMYFUNCTION("""COMPUTED_VALUE"""),"Waga M.; André É.; Hasuo I.")</f>
        <v>Waga M.; André É.; Hasuo I.</v>
      </c>
      <c r="E30" s="7" t="str">
        <f>IFERROR(__xludf.DUMMYFUNCTION("""COMPUTED_VALUE"""),"Parametric Timed Pattern Matching")</f>
        <v>Parametric Timed Pattern Matching</v>
      </c>
      <c r="F30" s="7" t="str">
        <f>IFERROR(__xludf.DUMMYFUNCTION("""COMPUTED_VALUE"""),"TOSEM")</f>
        <v>TOSEM</v>
      </c>
      <c r="G30" s="7" t="str">
        <f>IFERROR(__xludf.DUMMYFUNCTION("""COMPUTED_VALUE"""),"Given a log and a specification, timed pattern matching aims at exhibiting for which start and end dates a specification holds on that log. For example, ""a given action is always followed by another action before a given deadline"". This problem has stro"&amp;"ng connections with monitoring real-time systems. We address here timed pattern matching in the presence of an uncertain specification, i.e., that may contain timing parameters (e.g., the deadline can be uncertain or unknown). We want to know for which st"&amp;"art and end dates, and for what values of the timing parameters, a property holds. For instance, we look for the minimum or maximum deadline (together with the corresponding start and end dates) for which the property holds. We propose two frameworks for "&amp;"parametric timed pattern matching. The first one is based on parametric timed model checking. In contrast to most parametric timed problems, the solution is effectively computable. The second one is a dedicated method; not only we largely improve the effi"&amp;"ciency compared to the first method, but we further propose optimizations with skipping. Our experiment results suggest that our algorithms, especially the second one, are efficient and practically relevant.  © 2023 Association for Computing Machinery.")</f>
        <v>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v>
      </c>
      <c r="H30" s="8" t="str">
        <f>IFERROR(__xludf.DUMMYFUNCTION("""COMPUTED_VALUE"""),"Monitoring; parametric timed automata; real-time systems")</f>
        <v>Monitoring; parametric timed automata; real-time systems</v>
      </c>
      <c r="I30" s="9" t="b">
        <v>0</v>
      </c>
      <c r="J30" s="9" t="b">
        <v>0</v>
      </c>
      <c r="K30" s="9" t="b">
        <v>0</v>
      </c>
      <c r="L30" s="10" t="b">
        <v>0</v>
      </c>
      <c r="M30" s="10" t="b">
        <v>0</v>
      </c>
      <c r="N30" s="10" t="b">
        <v>0</v>
      </c>
      <c r="O30" s="11" t="b">
        <f t="shared" si="1"/>
        <v>0</v>
      </c>
      <c r="P30" s="12" t="b">
        <v>0</v>
      </c>
      <c r="Q30" s="13"/>
    </row>
    <row r="31">
      <c r="A31" s="5" t="b">
        <v>1</v>
      </c>
      <c r="B31" s="5" t="s">
        <v>46</v>
      </c>
      <c r="C31" s="6" t="str">
        <f>IFERROR(__xludf.DUMMYFUNCTION("""COMPUTED_VALUE"""),"10.1145/3604610")</f>
        <v>10.1145/3604610</v>
      </c>
      <c r="D31" s="7" t="str">
        <f>IFERROR(__xludf.DUMMYFUNCTION("""COMPUTED_VALUE"""),"Do C.M.; Phyo Y.; Riesco A.; Ogata K.")</f>
        <v>Do C.M.; Phyo Y.; Riesco A.; Ogata K.</v>
      </c>
      <c r="E31" s="7" t="str">
        <f>IFERROR(__xludf.DUMMYFUNCTION("""COMPUTED_VALUE"""),"Optimization Techniques for Model Checking Leads-to Properties in a Stratified Way")</f>
        <v>Optimization Techniques for Model Checking Leads-to Properties in a Stratified Way</v>
      </c>
      <c r="F31" s="7" t="str">
        <f>IFERROR(__xludf.DUMMYFUNCTION("""COMPUTED_VALUE"""),"TOSEM")</f>
        <v>TOSEM</v>
      </c>
      <c r="G31" s="7" t="str">
        <f>IFERROR(__xludf.DUMMYFUNCTION("""COMPUTED_VALUE"""),"We devised the L+1-layer divide &amp; conquer approach to leads-to model checking (L+1-DCA2L2MC) and its parallel version, and developed sequential and parallel tools for L+1-DCA2L2MC. In a temporal logic called UNITY, designed by Chandy and Misra, the leads-"&amp;"to temporal connective plays an important role and many case studies have been conducted in UNITY, demonstrating that many systems requirements can be expressed as leads-to properties. Hence, it is worth dedicating to these properties. Counterexample gene"&amp;"ration is one of the main tasks in the L+1-DCA2L2MC technique that can be optimized to improve its running performance. This article proposes a technique to find all counterexamples at once in model checking with a new model checker. Furthermore, layer co"&amp;"nfiguration selection is essential to make the best use of the L+1-DCA2L2MC technique. This work also proposes an approach to finding a good layer configuration for the technique with an analysis tool. Some experiments are conducted to demonstrate the pow"&amp;"er and usefulness of the two optimization techniques, respectively. Moreover, our sequential and parallel tools are compared with SPIN and LTSmin model checkers, showing a promising way to mitigate the state space explosion and improve the running perform"&amp;"ance of model checking when dealing with large state spaces. © 2023 Copyright held by the owner/author(s). Publication rights licensed to ACM.")</f>
        <v>We devised the L+1-layer divide &amp; conquer approach to leads-to model checking (L+1-DCA2L2MC) and its parallel version, and developed sequential and parallel tools for L+1-DCA2L2MC. In a temporal logic called UNITY, designed by Chandy and Misra, the leads-to temporal connective plays an important role and many case studies have been conducted in UNITY, demonstrating that many systems requirements can be expressed as leads-to properties. Hence, it is worth dedicating to these properties. Counterexample generation is one of the main tasks in the L+1-DCA2L2MC technique that can be optimized to improve its running performance. This article proposes a technique to find all counterexamples at once in model checking with a new model checker. Furthermore, layer configuration selection is essential to make the best use of the L+1-DCA2L2MC technique. This work also proposes an approach to finding a good layer configuration for the technique with an analysis tool. Some experiments are conducted to demonstrate the power and usefulness of the two optimization techniques, respectively. Moreover, our sequential and parallel tools are compared with SPIN and LTSmin model checkers, showing a promising way to mitigate the state space explosion and improve the running performance of model checking when dealing with large state spaces. © 2023 Copyright held by the owner/author(s). Publication rights licensed to ACM.</v>
      </c>
      <c r="H31" s="8" t="str">
        <f>IFERROR(__xludf.DUMMYFUNCTION("""COMPUTED_VALUE"""),"Additional Key Words and PhrasesLeads-to properties; master-worker model; Maude; parallel model checking; state space explosion")</f>
        <v>Additional Key Words and PhrasesLeads-to properties; master-worker model; Maude; parallel model checking; state space explosion</v>
      </c>
      <c r="I31" s="9" t="b">
        <v>0</v>
      </c>
      <c r="J31" s="9" t="b">
        <v>1</v>
      </c>
      <c r="K31" s="10" t="b">
        <v>0</v>
      </c>
      <c r="L31" s="10" t="b">
        <v>0</v>
      </c>
      <c r="M31" s="10" t="b">
        <v>0</v>
      </c>
      <c r="N31" s="10" t="b">
        <v>0</v>
      </c>
      <c r="O31" s="11" t="b">
        <f t="shared" si="1"/>
        <v>0</v>
      </c>
      <c r="P31" s="16" t="b">
        <v>0</v>
      </c>
      <c r="Q31" s="13" t="s">
        <v>47</v>
      </c>
    </row>
    <row r="32">
      <c r="A32" s="5" t="b">
        <v>1</v>
      </c>
      <c r="B32" s="5" t="s">
        <v>48</v>
      </c>
      <c r="C32" s="6" t="str">
        <f>IFERROR(__xludf.DUMMYFUNCTION("""COMPUTED_VALUE"""),"10.1145/3487570")</f>
        <v>10.1145/3487570</v>
      </c>
      <c r="D32" s="7" t="str">
        <f>IFERROR(__xludf.DUMMYFUNCTION("""COMPUTED_VALUE"""),"Xiong Y.; Wang B.")</f>
        <v>Xiong Y.; Wang B.</v>
      </c>
      <c r="E32" s="7" t="str">
        <f>IFERROR(__xludf.DUMMYFUNCTION("""COMPUTED_VALUE"""),"L2S: A Framework for Synthesizing the Most Probable Program under a Specification")</f>
        <v>L2S: A Framework for Synthesizing the Most Probable Program under a Specification</v>
      </c>
      <c r="F32" s="7" t="str">
        <f>IFERROR(__xludf.DUMMYFUNCTION("""COMPUTED_VALUE"""),"TOSEM")</f>
        <v>TOSEM</v>
      </c>
      <c r="G32" s="7" t="str">
        <f>IFERROR(__xludf.DUMMYFUNCTION("""COMPUTED_VALUE"""),"In many scenarios, we need to find the most likely program that meets a specification under a local context, where the local context can be an incomplete program, a partial specification, natural language description, and so on. We call such a problem pro"&amp;"gram estimation. In this article, we propose a framework, LingLong Synthesis Framework (L2S), to address this problem. Compared with existing work, our work is novel in the following aspects. (1) We propose a theory of expansion rules to describe how to d"&amp;"ecompose a program into choices. (2) We propose an approach based on abstract interpretation to efficiently prune off the program sub-space that does not satisfy the specification. (3) We prove that the probability of a program is the product of the proba"&amp;"bilities of choosing expansion rules, regardless of the choosing order. (4) We reduce the program estimation problem to a pathfinding problem, enabling existing pathfinding algorithms to solve this problem.L2S has been applied to program generation and pr"&amp;"ogram repair. In this article, we report our instantiation of this framework for synthesizing conditional expressions (L2S-Cond) and repairing conditional statements (L2S-Hanabi). The experiments on L2S-Cond show that each option enabled by L2S, including"&amp;" the expansion rules, the pruning technique, and the use of different pathfinding algorithms, plays a major role in the performance of the approach. The default configuration of L2S-Cond correctly predicts nearly 60% of the conditional expressions in the "&amp;"top 5 candidates. Moreover, we evaluate L2S-Hanabi on 272 bugs from two real-world Java defects benchmarks, namely Defects4J and Bugs.jar. L2S-Hanabi correctly fixes 32 bugs with a high precision of 84%. In terms of repairing conditional statement bugs, L"&amp;"2S-Hanabi significantly outperforms all existing approaches in both precision and recall.  © 2022 Copyright held by the owner/author(s). Publication rights licensed to ACM.")</f>
        <v>In many scenarios, we need to find the most likely program that meets a specification under a local context, where the local context can be an incomplete program, a partial specification, natural language description, and so on. We call such a problem program estimation. In this article, we propose a framework, LingLong Synthesis Framework (L2S), to address this problem. Compared with existing work, our work is novel in the following aspects. (1) We propose a theory of expansion rules to describe how to decompose a program into choices. (2) We propose an approach based on abstract interpretation to efficiently prune off the program sub-space that does not satisfy the specification. (3) We prove that the probability of a program is the product of the probabilities of choosing expansion rules, regardless of the choosing order. (4) We reduce the program estimation problem to a pathfinding problem, enabling existing pathfinding algorithms to solve this problem.L2S has been applied to program generation and program repair. In this article, we report our instantiation of this framework for synthesizing conditional expressions (L2S-Cond) and repairing conditional statements (L2S-Hanabi). The experiments on L2S-Cond show that each option enabled by L2S, including the expansion rules, the pruning technique, and the use of different pathfinding algorithms, plays a major role in the performance of the approach. The default configuration of L2S-Cond correctly predicts nearly 60% of the conditional expressions in the top 5 candidates. Moreover, we evaluate L2S-Hanabi on 272 bugs from two real-world Java defects benchmarks, namely Defects4J and Bugs.jar. L2S-Hanabi correctly fixes 32 bugs with a high precision of 84%. In terms of repairing conditional statement bugs, L2S-Hanabi significantly outperforms all existing approaches in both precision and recall.  © 2022 Copyright held by the owner/author(s). Publication rights licensed to ACM.</v>
      </c>
      <c r="H32" s="8" t="str">
        <f>IFERROR(__xludf.DUMMYFUNCTION("""COMPUTED_VALUE"""),"expansion rules; Program estimation; program repair; program synthesis")</f>
        <v>expansion rules; Program estimation; program repair; program synthesis</v>
      </c>
      <c r="I32" s="9" t="b">
        <v>0</v>
      </c>
      <c r="J32" s="9" t="b">
        <v>1</v>
      </c>
      <c r="K32" s="9" t="b">
        <v>1</v>
      </c>
      <c r="L32" s="10" t="b">
        <v>0</v>
      </c>
      <c r="M32" s="10" t="b">
        <v>0</v>
      </c>
      <c r="N32" s="10" t="b">
        <v>0</v>
      </c>
      <c r="O32" s="11" t="b">
        <f t="shared" si="1"/>
        <v>0</v>
      </c>
      <c r="P32" s="16" t="b">
        <v>0</v>
      </c>
      <c r="Q32" s="7"/>
    </row>
    <row r="33">
      <c r="A33" s="5" t="b">
        <v>1</v>
      </c>
      <c r="B33" s="5" t="s">
        <v>49</v>
      </c>
      <c r="C33" s="6" t="str">
        <f>IFERROR(__xludf.DUMMYFUNCTION("""COMPUTED_VALUE"""),"10.1145/3419017")</f>
        <v>10.1145/3419017</v>
      </c>
      <c r="D33" s="7" t="str">
        <f>IFERROR(__xludf.DUMMYFUNCTION("""COMPUTED_VALUE"""),"Ohrndorf M.; Pietsch C.; Kelter U.; Grunske L.; Kehrer T.")</f>
        <v>Ohrndorf M.; Pietsch C.; Kelter U.; Grunske L.; Kehrer T.</v>
      </c>
      <c r="E33" s="7" t="str">
        <f>IFERROR(__xludf.DUMMYFUNCTION("""COMPUTED_VALUE"""),"History-based Model Repair Recommendations")</f>
        <v>History-based Model Repair Recommendations</v>
      </c>
      <c r="F33" s="7" t="str">
        <f>IFERROR(__xludf.DUMMYFUNCTION("""COMPUTED_VALUE"""),"TOSEM")</f>
        <v>TOSEM</v>
      </c>
      <c r="G33" s="7" t="str">
        <f>IFERROR(__xludf.DUMMYFUNCTION("""COMPUTED_VALUE"""),"Models in Model-driven Engineering are primary development artifacts that are heavily edited in all stages of software development and that can become temporarily inconsistent during editing. In general, there are many alternatives to resolve an inconsist"&amp;"ency, and which one is the most suitable depends on a variety of factors. As also proposed by recent approaches to model repair, it is reasonable to leave the actual choice and approval of a repair alternative to the discretion of the developer. Model rep"&amp;"air tools can support developers by proposing a list of the most promising repairs. Such repair recommendations will be only accepted in practice if the generated proposals are plausible and understandable, and if the set as a whole is manageable. Current"&amp;" approaches, which mostly focus on exhaustive search strategies, exploring all possible model repairs without considering the intention of historic changes, fail in meeting these requirements. In this article, we present a new approach to generate repair "&amp;"proposals that aims at inconsistencies that have been introduced by past incomplete edit steps that can be located in the version history of a model. Such an incomplete edit step is either undone or it is extended to a full execution of a consistency-pres"&amp;"erving edit operation. The history-based analysis of inconsistencies as well as the generation of repair recommendations are fully automated, and all interactive selection steps are supported by our repair tool called REVISION. We evaluate our approach us"&amp;"ing histories of real-world models obtained from popular open-source modeling projects hosted in the Eclipse Git repository, including the evolution of the entire UML meta-model. Our experimental results confirm our hypothesis that most of the inconsisten"&amp;"cies, namely, 93.4, can be resolved by complementing incomplete edits. 92.6% of the generated repair proposals are relevant in the sense that their effect can be observed in the models' histories. 94.9% of the relevant repair proposals are ranked at the t"&amp;"opmost position. © 2021 ACM.")</f>
        <v>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v>
      </c>
      <c r="H33" s="8" t="str">
        <f>IFERROR(__xludf.DUMMYFUNCTION("""COMPUTED_VALUE"""),"consistency; history analysis; Model repair; recommendations")</f>
        <v>consistency; history analysis; Model repair; recommendations</v>
      </c>
      <c r="I33" s="9" t="b">
        <v>0</v>
      </c>
      <c r="J33" s="9" t="b">
        <v>1</v>
      </c>
      <c r="K33" s="10" t="b">
        <v>0</v>
      </c>
      <c r="L33" s="10" t="b">
        <v>0</v>
      </c>
      <c r="M33" s="10" t="b">
        <v>0</v>
      </c>
      <c r="N33" s="10" t="b">
        <v>0</v>
      </c>
      <c r="O33" s="11" t="b">
        <f t="shared" si="1"/>
        <v>0</v>
      </c>
      <c r="P33" s="16" t="b">
        <v>0</v>
      </c>
      <c r="Q33" s="13" t="s">
        <v>50</v>
      </c>
    </row>
    <row r="34">
      <c r="A34" s="5" t="b">
        <v>1</v>
      </c>
      <c r="B34" s="5" t="s">
        <v>51</v>
      </c>
      <c r="C34" s="6" t="str">
        <f>IFERROR(__xludf.DUMMYFUNCTION("""COMPUTED_VALUE"""),"10.1145/3295739")</f>
        <v>10.1145/3295739</v>
      </c>
      <c r="D34" s="7" t="str">
        <f>IFERROR(__xludf.DUMMYFUNCTION("""COMPUTED_VALUE"""),"Li Y.; Tan T.; Xue J.")</f>
        <v>Li Y.; Tan T.; Xue J.</v>
      </c>
      <c r="E34" s="7" t="str">
        <f>IFERROR(__xludf.DUMMYFUNCTION("""COMPUTED_VALUE"""),"Understanding and analyzing Java reflection")</f>
        <v>Understanding and analyzing Java reflection</v>
      </c>
      <c r="F34" s="7" t="str">
        <f>IFERROR(__xludf.DUMMYFUNCTION("""COMPUTED_VALUE"""),"TOSEM")</f>
        <v>TOSEM</v>
      </c>
      <c r="G34" s="7" t="str">
        <f>IFERROR(__xludf.DUMMYFUNCTION("""COMPUTED_VALUE"""),"Java reflection has been widely used in a variety of applications and frameworks. It allows a software system to inspect and change the behaviour of its classes, interfaces, methods, and fields at runtime, enabling the software to adapt to dynamically cha"&amp;"nging runtime environments. However, this dynamic language feature imposes significant challenges to static analysis, because the behaviour of reflection-rich software is logically complex and statically hard to predict. As a result, existing static analy"&amp;"sis tools either ignore reflection or handle it partially, resulting in missed, important behaviours, i.e., unsound results. Therefore, improving or even achieving soundness in static reflection analysis-an analysis that infers statically the behaviour of"&amp;" reflective code-will provide significant benefits to many analysis clients, such as bug detectors, security analyzers, and program verifiers. In this article, we provide a comprehensive understanding of Java reflection through examining its underlying co"&amp;"ncept, API, and real-world usage, and, building on this, we introduce a new static approach to resolving Java reflection effectively in practice. We have implemented our reflection analysis in an open-source tool, called Solar, and evaluated its effective"&amp;"ness extensively with large Java programs and libraries. Our experimental results demonstrate that Solar is able to (1) resolve reflection more soundly than the state-of-the-art reflection analyses; (2) automatically and accurately identify the parts of t"&amp;"he program where reflection is resolved unsoundly or imprecisely; and (3) guide users to iteratively refine the analysis results by using lightweight annotations until their specific requirements are satisfied. © 2019 Association for Computing Machinery.")</f>
        <v>Java reflection has been widely used in a variety of applications and frameworks. It allows a software system to inspect and change the behaviour of its classes, interfaces, methods, and fields at runtime, enabling the software to adapt to dynamically changing runtime environments. However, this dynamic language feature imposes significant challenges to static analysis, because the behaviour of reflection-rich software is logically complex and statically hard to predict. As a result, existing static analysis tools either ignore reflection or handle it partially, resulting in missed, important behaviours, i.e., unsound results. Therefore, improving or even achieving soundness in static reflection analysis-an analysis that infers statically the behaviour of reflective code-will provide significant benefits to many analysis clients, such as bug detectors, security analyzers, and program verifiers. In this article, we provide a comprehensive understanding of Java reflection through examining its underlying concept, API, and real-world usage, and, building on this, we introduce a new static approach to resolving Java reflection effectively in practice. We have implemented our reflection analysis in an open-source tool, called Solar, and evaluated its effectiveness extensively with large Java programs and libraries. Our experimental results demonstrate that Solar is able to (1) resolve reflection more soundly than the state-of-the-art reflection analyses; (2) automatically and accurately identify the parts of the program where reflection is resolved unsoundly or imprecisely; and (3) guide users to iteratively refine the analysis results by using lightweight annotations until their specific requirements are satisfied. © 2019 Association for Computing Machinery.</v>
      </c>
      <c r="H34" s="8" t="str">
        <f>IFERROR(__xludf.DUMMYFUNCTION("""COMPUTED_VALUE"""),"Java reflection; Points-to analysis; Reflection analysis; Static analysis")</f>
        <v>Java reflection; Points-to analysis; Reflection analysis; Static analysis</v>
      </c>
      <c r="I34" s="10" t="b">
        <v>0</v>
      </c>
      <c r="J34" s="10" t="b">
        <v>0</v>
      </c>
      <c r="K34" s="10" t="b">
        <v>0</v>
      </c>
      <c r="L34" s="10" t="b">
        <v>0</v>
      </c>
      <c r="M34" s="10" t="b">
        <v>0</v>
      </c>
      <c r="N34" s="10" t="b">
        <v>0</v>
      </c>
      <c r="O34" s="11" t="b">
        <f t="shared" si="1"/>
        <v>0</v>
      </c>
      <c r="P34" s="16" t="b">
        <v>0</v>
      </c>
      <c r="Q34" s="7"/>
    </row>
    <row r="35">
      <c r="A35" s="5" t="b">
        <v>1</v>
      </c>
      <c r="B35" s="5" t="s">
        <v>52</v>
      </c>
      <c r="C35" s="6" t="str">
        <f>IFERROR(__xludf.DUMMYFUNCTION("""COMPUTED_VALUE"""),"10.1145/363516.363528")</f>
        <v>10.1145/363516.363528</v>
      </c>
      <c r="D35" s="7" t="str">
        <f>IFERROR(__xludf.DUMMYFUNCTION("""COMPUTED_VALUE"""),"Clarke E.M.; Jha S.; Marrero W.")</f>
        <v>Clarke E.M.; Jha S.; Marrero W.</v>
      </c>
      <c r="E35" s="7" t="str">
        <f>IFERROR(__xludf.DUMMYFUNCTION("""COMPUTED_VALUE"""),"Verifying security protocols with Brutus")</f>
        <v>Verifying security protocols with Brutus</v>
      </c>
      <c r="F35" s="7" t="str">
        <f>IFERROR(__xludf.DUMMYFUNCTION("""COMPUTED_VALUE"""),"TOSEM")</f>
        <v>TOSEM</v>
      </c>
      <c r="G35" s="7" t="str">
        <f>IFERROR(__xludf.DUMMYFUNCTION("""COMPUTED_VALUE"""),"Due to the rapid growth of the ""Internet"" and the ""World Wide Web"" security has become a very important concern in the design and implementation of software systems. Since security has become an important issue, the number of protocols in this domain "&amp;"has become very large. These protocols are very diverse in nature. If a software architect wants to deploy some of these protocols in a system, they have to be sure that the protocol has the right properties as dictated by the requirements of the system. "&amp;"In this article we present BRUTUS, a tool for verifying properties of security protocols. This tool can be viewed as a special-purpose model checker for security protocols. We also present reduction techniques that make the tool efficient. Experimental re"&amp;"sults are provided to demonstrate the efficiency of BRUTUS.")</f>
        <v>Due to the rapid growth of the "Internet" and the "World Wide Web" security has become a very important concern in the design and implementation of software systems. Since security has become an important issue, the number of protocols in this domain has become very large. These protocols are very diverse in nature. If a software architect wants to deploy some of these protocols in a system, they have to be sure that the protocol has the right properties as dictated by the requirements of the system. In this article we present BRUTUS, a tool for verifying properties of security protocols. This tool can be viewed as a special-purpose model checker for security protocols. We also present reduction techniques that make the tool efficient. Experimental results are provided to demonstrate the efficiency of BRUTUS.</v>
      </c>
      <c r="H35" s="8" t="str">
        <f>IFERROR(__xludf.DUMMYFUNCTION("""COMPUTED_VALUE"""),"Authentication and secure payment protocols; D.2.4 [Software Engineering]: Software/Program Verification - Model checking; D.4.6 [Operating Systems]: Security and Protection - Verification; Formal methods; Model-checking; Security; Verification")</f>
        <v>Authentication and secure payment protocols; D.2.4 [Software Engineering]: Software/Program Verification - Model checking; D.4.6 [Operating Systems]: Security and Protection - Verification; Formal methods; Model-checking; Security; Verification</v>
      </c>
      <c r="I35" s="10" t="b">
        <v>0</v>
      </c>
      <c r="J35" s="10" t="b">
        <v>0</v>
      </c>
      <c r="K35" s="10" t="b">
        <v>0</v>
      </c>
      <c r="L35" s="10" t="b">
        <v>0</v>
      </c>
      <c r="M35" s="10" t="b">
        <v>0</v>
      </c>
      <c r="N35" s="10" t="b">
        <v>0</v>
      </c>
      <c r="O35" s="11" t="b">
        <f t="shared" si="1"/>
        <v>0</v>
      </c>
      <c r="P35" s="16" t="b">
        <v>0</v>
      </c>
      <c r="Q35" s="7"/>
    </row>
    <row r="36">
      <c r="A36" s="5" t="b">
        <v>1</v>
      </c>
      <c r="B36" s="5" t="s">
        <v>53</v>
      </c>
      <c r="C36" s="6" t="str">
        <f>IFERROR(__xludf.DUMMYFUNCTION("""COMPUTED_VALUE"""),"10.1145/3306608")</f>
        <v>10.1145/3306608</v>
      </c>
      <c r="D36" s="7" t="str">
        <f>IFERROR(__xludf.DUMMYFUNCTION("""COMPUTED_VALUE"""),"Czepa C.; Zdun U.")</f>
        <v>Czepa C.; Zdun U.</v>
      </c>
      <c r="E36" s="7" t="str">
        <f>IFERROR(__xludf.DUMMYFUNCTION("""COMPUTED_VALUE"""),"How understandable are pattern-based behavioral constraints for novice software designers?")</f>
        <v>How understandable are pattern-based behavioral constraints for novice software designers?</v>
      </c>
      <c r="F36" s="7" t="str">
        <f>IFERROR(__xludf.DUMMYFUNCTION("""COMPUTED_VALUE"""),"TOSEM")</f>
        <v>TOSEM</v>
      </c>
      <c r="G36" s="7" t="str">
        <f>IFERROR(__xludf.DUMMYFUNCTION("""COMPUTED_VALUE"""),"This article reports a controlled experiment with 116 participants on the understandability of representative graphical and textual pattern-based behavioral constraint representations from the viewpoint of novice software designers. Particularly, graphica"&amp;"l and textual behavioral constraint patterns present in the declarative business process language Declare and textual behavioral constraints based on Property Specification Patterns are the subjects of this study. In addition to measuring the understandab"&amp;"ility construct, this study assesses subjective aspects such as perceived difficulties regarding learning and application of the tested approaches. An interesting finding of this study is the overall low achieved correctness in the experimental tasks, whi"&amp;"ch seems to indicate that pattern-based behavioral constraint representations are hard to understand for novice software designers in the absence of additional supportive measures. The results of the descriptive statistics regarding achieved correctness a"&amp;"re slightly in favor of the textual representations, but the inference statistics do not indicate any significant differences in terms of understandability between graphical and textual behavioral constraint representations. © 2019 Copyright held by the o"&amp;"wner/author(s). Publication rights licensed to ACM.")</f>
        <v>This article reports a controlled experiment with 116 participants on the understandability of representative graphical and textual pattern-based behavioral constraint representations from the viewpoint of novice software designers. Particularly, graphical and textual behavioral constraint patterns present in the declarative business process language Declare and textual behavioral constraints based on Property Specification Patterns are the subjects of this study. In addition to measuring the understandability construct, this study assesses subjective aspects such as perceived difficulties regarding learning and application of the tested approaches. An interesting finding of this study is the overall low achieved correctness in the experimental tasks, which seems to indicate that pattern-based behavioral constraint representations are hard to understand for novice software designers in the absence of additional supportive measures. The results of the descriptive statistics regarding achieved correctness are slightly in favor of the textual representations, but the inference statistics do not indicate any significant differences in terms of understandability between graphical and textual behavioral constraint representations. © 2019 Copyright held by the owner/author(s). Publication rights licensed to ACM.</v>
      </c>
      <c r="H36" s="8" t="str">
        <f>IFERROR(__xludf.DUMMYFUNCTION("""COMPUTED_VALUE"""),"Behavioral constraints; Controlled experiment; Declarative business processes; Property specification patterns; Understandability")</f>
        <v>Behavioral constraints; Controlled experiment; Declarative business processes; Property specification patterns; Understandability</v>
      </c>
      <c r="I36" s="9" t="b">
        <v>1</v>
      </c>
      <c r="J36" s="9" t="b">
        <v>1</v>
      </c>
      <c r="K36" s="9" t="b">
        <v>1</v>
      </c>
      <c r="L36" s="10" t="b">
        <v>0</v>
      </c>
      <c r="M36" s="10" t="b">
        <v>0</v>
      </c>
      <c r="N36" s="10" t="b">
        <v>0</v>
      </c>
      <c r="O36" s="11" t="b">
        <f t="shared" si="1"/>
        <v>1</v>
      </c>
      <c r="P36" s="16" t="b">
        <v>0</v>
      </c>
      <c r="Q36" s="13" t="s">
        <v>54</v>
      </c>
    </row>
    <row r="37">
      <c r="A37" s="5" t="b">
        <v>1</v>
      </c>
      <c r="B37" s="5" t="s">
        <v>55</v>
      </c>
      <c r="C37" s="6" t="str">
        <f>IFERROR(__xludf.DUMMYFUNCTION("""COMPUTED_VALUE"""),"10.1145/504087.504090")</f>
        <v>10.1145/504087.504090</v>
      </c>
      <c r="D37" s="7" t="str">
        <f>IFERROR(__xludf.DUMMYFUNCTION("""COMPUTED_VALUE"""),"Keidar I.; Khazan R.; Lynch N.; Shvartsman A.")</f>
        <v>Keidar I.; Khazan R.; Lynch N.; Shvartsman A.</v>
      </c>
      <c r="E37" s="7" t="str">
        <f>IFERROR(__xludf.DUMMYFUNCTION("""COMPUTED_VALUE"""),"An inheritance-based technique for building simulation proofs incrementally")</f>
        <v>An inheritance-based technique for building simulation proofs incrementally</v>
      </c>
      <c r="F37" s="7" t="str">
        <f>IFERROR(__xludf.DUMMYFUNCTION("""COMPUTED_VALUE"""),"TOSEM")</f>
        <v>TOSEM</v>
      </c>
      <c r="G37" s="7" t="str">
        <f>IFERROR(__xludf.DUMMYFUNCTION("""COMPUTED_VALUE"""),"This paper presents a formal technique for incremental construction of system specifications, algorithm descriptions, and simulation proofs showing that algorithms meet their specifications. The technique for building specifications and algorithms increme"&amp;"ntally allows a child specification or algorithm to inherit from its parent by two forms of incremental modification: (a) signature extension, where new actions are added to the parent, and (b) specialization (subtyping), where the child's behavior is a s"&amp;"pecialization (restriction) of the parent's behavior. The combination of signature extension and specialization provides a powerful and expressive incremental modification mechanism for introducing new types of behavior without overriding behavior of the "&amp;"parent; this mechanism corresponds to the subclassing for extension form of inheritance. In the case when incremental modifications are applied to both a parent specification S and a parent algorithm A, the technique allows a simulation proof showing that"&amp;" the child algorithm A′ implements the child specification S′ to be constructed incrementally by extending a simulation proof that algorithm A implements specification S. The new proof involves reasoning about the modifications only, without repeating the"&amp;" reasoning done in the original simulation proof. The paper presents the technique mathematically, in terms of automata. The technique has been used to model and verify a complex middleware system; the methodology and results of that experiment are summar"&amp;"ized in this paper.")</f>
        <v>This paper presents a formal technique for incremental construction of system specifications, algorithm descriptions, and simulation proofs showing that algorithms meet their specifications. The technique for building specifications and algorithms incrementally allows a child specification or algorithm to inherit from its parent by two forms of incremental modification: (a) signature extension, where new actions are added to the parent, and (b) specialization (subtyping), where the child's behavior is a specialization (restriction) of the parent's behavior. The combination of signature extension and specialization provides a powerful and expressive incremental modification mechanism for introducing new types of behavior without overriding behavior of the parent; this mechanism corresponds to the subclassing for extension form of inheritance. In the case when incremental modifications are applied to both a parent specification S and a parent algorithm A, the technique allows a simulation proof showing that the child algorithm A′ implements the child specification S′ to be constructed incrementally by extending a simulation proof that algorithm A implements specification S. The new proof involves reasoning about the modifications only, without repeating the reasoning done in the original simulation proof. The paper presents the technique mathematically, in terms of automata. The technique has been used to model and verify a complex middleware system; the methodology and results of that experiment are summarized in this paper.</v>
      </c>
      <c r="H37" s="8" t="str">
        <f>IFERROR(__xludf.DUMMYFUNCTION("""COMPUTED_VALUE"""),"D.2.1 [Software Engineering]: Requirements/Specifications - Methodologies (e.g., object-oriented, structured); F.3.1 [Logics and Meanings of Programs]: Specifying and Verifying and Reasoning about Programs; Verification")</f>
        <v>D.2.1 [Software Engineering]: Requirements/Specifications - Methodologies (e.g., object-oriented, structured); F.3.1 [Logics and Meanings of Programs]: Specifying and Verifying and Reasoning about Programs; Verification</v>
      </c>
      <c r="I37" s="9" t="b">
        <v>0</v>
      </c>
      <c r="J37" s="10" t="b">
        <v>0</v>
      </c>
      <c r="K37" s="10" t="b">
        <v>0</v>
      </c>
      <c r="L37" s="10" t="b">
        <v>0</v>
      </c>
      <c r="M37" s="10" t="b">
        <v>0</v>
      </c>
      <c r="N37" s="10" t="b">
        <v>0</v>
      </c>
      <c r="O37" s="11" t="b">
        <f t="shared" si="1"/>
        <v>0</v>
      </c>
      <c r="P37" s="16" t="b">
        <v>0</v>
      </c>
      <c r="Q37" s="7"/>
    </row>
    <row r="38">
      <c r="A38" s="5" t="b">
        <v>1</v>
      </c>
      <c r="B38" s="5" t="s">
        <v>56</v>
      </c>
      <c r="C38" s="6" t="str">
        <f>IFERROR(__xludf.DUMMYFUNCTION("""COMPUTED_VALUE"""),"10.1145/3477579")</f>
        <v>10.1145/3477579</v>
      </c>
      <c r="D38" s="7" t="str">
        <f>IFERROR(__xludf.DUMMYFUNCTION("""COMPUTED_VALUE"""),"Beyer D.; Dangl M.; Dietsch D.; Heizmann M.; Lemberger T.; Tautschnig M.")</f>
        <v>Beyer D.; Dangl M.; Dietsch D.; Heizmann M.; Lemberger T.; Tautschnig M.</v>
      </c>
      <c r="E38" s="7" t="str">
        <f>IFERROR(__xludf.DUMMYFUNCTION("""COMPUTED_VALUE"""),"Verification Witnesses")</f>
        <v>Verification Witnesses</v>
      </c>
      <c r="F38" s="7" t="str">
        <f>IFERROR(__xludf.DUMMYFUNCTION("""COMPUTED_VALUE"""),"TOSEM")</f>
        <v>TOSEM</v>
      </c>
      <c r="G38" s="7" t="str">
        <f>IFERROR(__xludf.DUMMYFUNCTION("""COMPUTED_VALUE"""),"Over the last years, witness-based validation of verification results has become an established practice in software verification: An independent validator re-establishes verification results of a software verifier using verification witnesses, which are "&amp;"stored in a standardized exchange format. In addition to validation, such exchangable information about proofs and alarms found by a verifier can be shared across verification tools, and users can apply independent third-party tools to visualize and explo"&amp;"re witnesses to help them comprehend the causes of bugs or the reasons why a given program is correct. To achieve the goal of making verification results more accessible to engineers, it is necessary to consider witnesses as first-class exchangeable objec"&amp;"ts, stored independently from the source code and checked independently from the verifier that produced them, respecting the important principle of separation of concerns. We present the conceptual principles of verification witnesses, give a description "&amp;"of how to use them, provide a technical specification of the exchange format for witnesses, and perform an extensive experimental study on the application of witness-based result validation, using the validators CPAchecker, UAutomizer, CPA-witness2test, a"&amp;"nd FShell-witness2test. © 2022 Copyright held by the owner/author(s).")</f>
        <v>Over the last years, witness-based validation of verification results has become an established practice in software verification: An independent validator re-establishes verification results of a software verifier using verification witnesses, which are stored in a standardized exchange format. In addition to validation, such exchangable information about proofs and alarms found by a verifier can be shared across verification tools, and users can apply independent third-party tools to visualize and explore witnesses to help them comprehend the causes of bugs or the reasons why a given program is correct. To achieve the goal of making verification results more accessible to engineers, it is necessary to consider witnesses as first-class exchangeable objects, stored independently from the source code and checked independently from the verifier that produced them, respecting the important principle of separation of concerns. We present the conceptual principles of verification witnesses, give a description of how to use them, provide a technical specification of the exchange format for witnesses, and perform an extensive experimental study on the application of witness-based result validation, using the validators CPAchecker, UAutomizer, CPA-witness2test, and FShell-witness2test. © 2022 Copyright held by the owner/author(s).</v>
      </c>
      <c r="H38" s="8" t="str">
        <f>IFERROR(__xludf.DUMMYFUNCTION("""COMPUTED_VALUE"""),"certifying algorithm; correctness witness; data-flow analysis; formal methods; model checking; program analysis; software verification; Violation witness; witness validation")</f>
        <v>certifying algorithm; correctness witness; data-flow analysis; formal methods; model checking; program analysis; software verification; Violation witness; witness validation</v>
      </c>
      <c r="I38" s="10" t="b">
        <v>0</v>
      </c>
      <c r="J38" s="10" t="b">
        <v>0</v>
      </c>
      <c r="K38" s="10" t="b">
        <v>0</v>
      </c>
      <c r="L38" s="10" t="b">
        <v>0</v>
      </c>
      <c r="M38" s="10" t="b">
        <v>0</v>
      </c>
      <c r="N38" s="10" t="b">
        <v>0</v>
      </c>
      <c r="O38" s="11" t="b">
        <f t="shared" si="1"/>
        <v>0</v>
      </c>
      <c r="P38" s="16" t="b">
        <v>0</v>
      </c>
      <c r="Q38" s="7"/>
    </row>
    <row r="39">
      <c r="A39" s="5" t="b">
        <v>1</v>
      </c>
      <c r="B39" s="5" t="s">
        <v>57</v>
      </c>
      <c r="C39" s="6" t="str">
        <f>IFERROR(__xludf.DUMMYFUNCTION("""COMPUTED_VALUE"""),"10.1145/3506800")</f>
        <v>10.1145/3506800</v>
      </c>
      <c r="D39" s="7" t="str">
        <f>IFERROR(__xludf.DUMMYFUNCTION("""COMPUTED_VALUE"""),"Albert E.; Gordillo P.; Hernández-Cerezo A.; Rubio A.; Schett M.A.")</f>
        <v>Albert E.; Gordillo P.; Hernández-Cerezo A.; Rubio A.; Schett M.A.</v>
      </c>
      <c r="E39" s="7" t="str">
        <f>IFERROR(__xludf.DUMMYFUNCTION("""COMPUTED_VALUE"""),"Super-optimization of Smart Contracts")</f>
        <v>Super-optimization of Smart Contracts</v>
      </c>
      <c r="F39" s="7" t="str">
        <f>IFERROR(__xludf.DUMMYFUNCTION("""COMPUTED_VALUE"""),"TOSEM")</f>
        <v>TOSEM</v>
      </c>
      <c r="G39" s="7" t="str">
        <f>IFERROR(__xludf.DUMMYFUNCTION("""COMPUTED_VALUE"""),"Smart contracts are programs deployed on a blockchain. They are executed for a monetary fee paid in gas-a clear optimization target for smart contract compilers. Because smart contracts are a young, fast-moving field without (manually) fine-tuned compiler"&amp;"s, they highly benefit from automated and adaptable approaches, especially as smart contracts are effectively immutable, and as such need a high level of assurance. This makes them an ideal domain for applying formal methods. Super-optimization is a techn"&amp;"ique to find the best translation of a block of instructions by trying all possible sequences of instructions that produce the same result. We present a framework for super-optimizing smart contracts based on Max-SMT with two main ingredients: (1) a stack"&amp;" functional specification extracted from the basic blocks of a smart contract, which is simplified using rules capturing the semantics of arithmetic, bit-wise, and relational operations, and (2) the synthesis of optimized blocks, which finds-by means of a"&amp;"n efficient SMT encoding-basic blocks with minimal gas cost whose stack functional specification is equal (modulo commutativity) to the extracted one.We implemented our framework in the tool syrup 2.0. Through large-scale experiments on real-world smart c"&amp;"ontracts, we analyze performance improvements for different SMT encodings, as well as tradeoffs between quality of optimizations and required optimization time. © 2022 Copyright held by the owner/author(s). Publication rights licensed to ACM.")</f>
        <v>Smart contracts are programs deployed on a blockchain. They are executed for a monetary fee paid in gas-a clear optimization target for smart contract compilers. Because smart contracts are a young, fast-moving field without (manually) fine-tuned compilers, they highly benefit from automated and adaptable approaches, especially as smart contracts are effectively immutable, and as such need a high level of assurance. This makes them an ideal domain for applying formal methods. Super-optimization is a technique to find the best translation of a block of instructions by trying all possible sequences of instructions that produce the same result. We present a framework for super-optimizing smart contracts based on Max-SMT with two main ingredients: (1) a stack functional specification extracted from the basic blocks of a smart contract, which is simplified using rules capturing the semantics of arithmetic, bit-wise, and relational operations, and (2) the synthesis of optimized blocks, which finds-by means of an efficient SMT encoding-basic blocks with minimal gas cost whose stack functional specification is equal (modulo commutativity) to the extracted one.We implemented our framework in the tool syrup 2.0. Through large-scale experiments on real-world smart contracts, we analyze performance improvements for different SMT encodings, as well as tradeoffs between quality of optimizations and required optimization time. © 2022 Copyright held by the owner/author(s). Publication rights licensed to ACM.</v>
      </c>
      <c r="H39" s="8" t="str">
        <f>IFERROR(__xludf.DUMMYFUNCTION("""COMPUTED_VALUE"""),"Max-SMT solvers; optimization; Smart contracts; synthesis")</f>
        <v>Max-SMT solvers; optimization; Smart contracts; synthesis</v>
      </c>
      <c r="I39" s="10" t="b">
        <v>0</v>
      </c>
      <c r="J39" s="10" t="b">
        <v>0</v>
      </c>
      <c r="K39" s="10" t="b">
        <v>0</v>
      </c>
      <c r="L39" s="10" t="b">
        <v>0</v>
      </c>
      <c r="M39" s="10" t="b">
        <v>0</v>
      </c>
      <c r="N39" s="10" t="b">
        <v>0</v>
      </c>
      <c r="O39" s="11" t="b">
        <f t="shared" si="1"/>
        <v>0</v>
      </c>
      <c r="P39" s="16" t="b">
        <v>0</v>
      </c>
      <c r="Q39" s="7"/>
    </row>
    <row r="40">
      <c r="A40" s="5" t="b">
        <v>1</v>
      </c>
      <c r="B40" s="5" t="s">
        <v>58</v>
      </c>
      <c r="C40" s="6" t="str">
        <f>IFERROR(__xludf.DUMMYFUNCTION("""COMPUTED_VALUE"""),"10.1145/2522920.2522929")</f>
        <v>10.1145/2522920.2522929</v>
      </c>
      <c r="D40" s="7" t="str">
        <f>IFERROR(__xludf.DUMMYFUNCTION("""COMPUTED_VALUE"""),"Lizcano D.; Alonso F.; Soriano J.; Lopez G.")</f>
        <v>Lizcano D.; Alonso F.; Soriano J.; Lopez G.</v>
      </c>
      <c r="E40" s="7" t="str">
        <f>IFERROR(__xludf.DUMMYFUNCTION("""COMPUTED_VALUE"""),"A web-centred approach to end-user software engineering")</f>
        <v>A web-centred approach to end-user software engineering</v>
      </c>
      <c r="F40" s="7" t="str">
        <f>IFERROR(__xludf.DUMMYFUNCTION("""COMPUTED_VALUE"""),"TOSEM")</f>
        <v>TOSEM</v>
      </c>
      <c r="G40" s="7" t="str">
        <f>IFERROR(__xludf.DUMMYFUNCTION("""COMPUTED_VALUE"""),"This article addresses one of the major end-user software engineering (EUSE) challenges, namely, how to motivate end users to apply unfamiliar software engineering techniques and activities to achieve their goal: translate requirements into software that "&amp;"meets their needs. EUSE activities are secondary to the goal that the program is helping to achieve and end-user programming is opportunistic. The challenge is then to find ways to incorporate EUSE activities into the existing workflow without users havin"&amp;"g to make substantial changes to the type of work they do or their priorities. In this article, we set out an approach to EUSE for webbased applications.We also propose a software lifecycle that is consistent with the conditions and priorities of end user"&amp;"s without programming skills and is well-aligned with EUSE's characteristic informality, ambiguity and opportunisticness.Users applying this lifecyclemanage to find solutions tha theywould otherwise be unable to identify. They also develop quality product"&amp;"s. Users of this approach will not have to be acquainted with software engineering, as a framework will take them through the web-centred EUSE lifecycle step-by-step. We also report a statistical experiment in which users develop web software with and wit"&amp;"hout a framework to guide them through the lifecycle. Its aim is to validate the applicability of our framework-driven lifecycle. © 2013 ACM.")</f>
        <v>This article addresses one of the major end-user software engineering (EUSE) challenges, namely, how to motivate end users to apply unfamiliar software engineering techniques and activities to achieve their goal: translate requirements into software that meets their needs. EUSE activities are secondary to the goal that the program is helping to achieve and end-user programming is opportunistic. The challenge is then to find ways to incorporate EUSE activities into the existing workflow without users having to make substantial changes to the type of work they do or their priorities. In this article, we set out an approach to EUSE for webbased applications.We also propose a software lifecycle that is consistent with the conditions and priorities of end users without programming skills and is well-aligned with EUSE's characteristic informality, ambiguity and opportunisticness.Users applying this lifecyclemanage to find solutions tha theywould otherwise be unable to identify. They also develop quality products. Users of this approach will not have to be acquainted with software engineering, as a framework will take them through the web-centred EUSE lifecycle step-by-step. We also report a statistical experiment in which users develop web software with and without a framework to guide them through the lifecycle. Its aim is to validate the applicability of our framework-driven lifecycle. © 2013 ACM.</v>
      </c>
      <c r="H40" s="8" t="str">
        <f>IFERROR(__xludf.DUMMYFUNCTION("""COMPUTED_VALUE"""),"End-user development; End-user programming; Human-computer interaction; Visual programming")</f>
        <v>End-user development; End-user programming; Human-computer interaction; Visual programming</v>
      </c>
      <c r="I40" s="9" t="b">
        <v>1</v>
      </c>
      <c r="J40" s="9" t="b">
        <v>1</v>
      </c>
      <c r="K40" s="9" t="b">
        <v>1</v>
      </c>
      <c r="L40" s="10" t="b">
        <v>0</v>
      </c>
      <c r="M40" s="10" t="b">
        <v>0</v>
      </c>
      <c r="N40" s="10" t="b">
        <v>0</v>
      </c>
      <c r="O40" s="11" t="b">
        <f t="shared" si="1"/>
        <v>1</v>
      </c>
      <c r="P40" s="12" t="b">
        <v>0</v>
      </c>
      <c r="Q40" s="7"/>
    </row>
    <row r="41">
      <c r="A41" s="5" t="b">
        <v>1</v>
      </c>
      <c r="B41" s="5" t="s">
        <v>59</v>
      </c>
      <c r="C41" s="6" t="str">
        <f>IFERROR(__xludf.DUMMYFUNCTION("""COMPUTED_VALUE"""),"10.1145/3511096")</f>
        <v>10.1145/3511096</v>
      </c>
      <c r="D41" s="7" t="str">
        <f>IFERROR(__xludf.DUMMYFUNCTION("""COMPUTED_VALUE"""),"Tian H.; Li Y.; Pian W.; Kaboré A.K.; Liu K.; Habib A.; Klein J.; Bissyandé T.F.")</f>
        <v>Tian H.; Li Y.; Pian W.; Kaboré A.K.; Liu K.; Habib A.; Klein J.; Bissyandé T.F.</v>
      </c>
      <c r="E41" s="7" t="str">
        <f>IFERROR(__xludf.DUMMYFUNCTION("""COMPUTED_VALUE"""),"Predicting Patch Correctness Based on the Similarity of Failing Test Cases")</f>
        <v>Predicting Patch Correctness Based on the Similarity of Failing Test Cases</v>
      </c>
      <c r="F41" s="7" t="str">
        <f>IFERROR(__xludf.DUMMYFUNCTION("""COMPUTED_VALUE"""),"TOSEM")</f>
        <v>TOSEM</v>
      </c>
      <c r="G41" s="7" t="str">
        <f>IFERROR(__xludf.DUMMYFUNCTION("""COMPUTED_VALUE"""),"How do we know a generated patch is correct? This is a key challenging question that automated program repair (APR) systems struggle to address given the incompleteness of available test suites. Our intuition is that we can triage correct patches by check"&amp;"ing whether each generated patch implements code changes (i.e., behavior) that are relevant to the bug it addresses. Such a bug is commonly specified by a failing test case. Towards predicting patch correctness in APR, we propose a novel yet simple hypoth"&amp;"esis on how the link between the patch behavior and failing test specifications can be drawn: similar failing test cases should require similar patches. We then propose BATS, an unsupervised learning-based approach to predict patch correctness by checking"&amp;" patch Behavior Against failing Test Specification. BATS exploits deep representation learning models for code and patches: For a given failing test case, the yielded embedding is used to compute similarity metrics in the search for historical similar tes"&amp;"t cases to identify the associated applied patches, which are then used as a proxy for assessing the correctness of the APR-generated patches. Experimentally, we first validate our hypothesis by assessing whether ground-truth developer patches cluster tog"&amp;"ether in the same way that their associated failing test cases are clustered. Then, after collecting a large dataset of 1,278 plausible patches (written by developers or generated by 32 APR tools), we use BATS to predict correct patches: BATS achieves AUC"&amp;" between 0.557 to 0.718 and recall between 0.562 and 0.854 in identifying correct patches. Our approach outperforms state-of-the-art techniques for identifying correct patches without the need for large labeled patch datasets-as is the case with machine l"&amp;"earning-based approaches. While BATS is constrained by the availability of similar test cases, we show that it can still be complementary to existing approaches: When combined with a recent approach that relies on supervised learning, BATS improves the ov"&amp;"erall recall in detecting correct patches. We finally show that BATS is complementary to the state-of-the-art PATCH-SIM dynamic approach for identifying correct patches generated by APR tools. © 2022 Copyright held by the owner/author(s).")</f>
        <v>How do we know a generated patch is correct? This is a key challenging question that automated program repair (APR) systems struggle to address given the incompleteness of available test suites. Our intuition is that we can triage correct patches by checking whether each generated patch implements code changes (i.e., behavior) that are relevant to the bug it addresses. Such a bug is commonly specified by a failing test case. Towards predicting patch correctness in APR, we propose a novel yet simple hypothesis on how the link between the patch behavior and failing test specifications can be drawn: similar failing test cases should require similar patches. We then propose BATS, an unsupervised learning-based approach to predict patch correctness by checking patch Behavior Against failing Test Specification. BATS exploits deep representation learning models for code and patches: For a given failing test case, the yielded embedding is used to compute similarity metrics in the search for historical similar test cases to identify the associated applied patches, which are then used as a proxy for assessing the correctness of the APR-generated patches. Experimentally, we first validate our hypothesis by assessing whether ground-truth developer patches cluster together in the same way that their associated failing test cases are clustered. Then, after collecting a large dataset of 1,278 plausible patches (written by developers or generated by 32 APR tools), we use BATS to predict correct patches: BATS achieves AUC between 0.557 to 0.718 and recall between 0.562 and 0.854 in identifying correct patches. Our approach outperforms state-of-the-art techniques for identifying correct patches without the need for large labeled patch datasets-as is the case with machine learning-based approaches. While BATS is constrained by the availability of similar test cases, we show that it can still be complementary to existing approaches: When combined with a recent approach that relies on supervised learning, BATS improves the overall recall in detecting correct patches. We finally show that BATS is complementary to the state-of-the-art PATCH-SIM dynamic approach for identifying correct patches generated by APR tools. © 2022 Copyright held by the owner/author(s).</v>
      </c>
      <c r="H41" s="8" t="str">
        <f>IFERROR(__xludf.DUMMYFUNCTION("""COMPUTED_VALUE"""),"patch correctness; patch semantics; Program repair; test behavior")</f>
        <v>patch correctness; patch semantics; Program repair; test behavior</v>
      </c>
      <c r="I41" s="10" t="b">
        <v>0</v>
      </c>
      <c r="J41" s="10" t="b">
        <v>0</v>
      </c>
      <c r="K41" s="10" t="b">
        <v>0</v>
      </c>
      <c r="L41" s="10" t="b">
        <v>0</v>
      </c>
      <c r="M41" s="10" t="b">
        <v>0</v>
      </c>
      <c r="N41" s="10" t="b">
        <v>0</v>
      </c>
      <c r="O41" s="11" t="b">
        <f t="shared" si="1"/>
        <v>0</v>
      </c>
      <c r="P41" s="16" t="b">
        <v>0</v>
      </c>
      <c r="Q41" s="13" t="s">
        <v>60</v>
      </c>
    </row>
    <row r="42">
      <c r="A42" s="5" t="b">
        <v>1</v>
      </c>
      <c r="B42" s="5" t="s">
        <v>61</v>
      </c>
      <c r="C42" s="6" t="str">
        <f>IFERROR(__xludf.DUMMYFUNCTION("""COMPUTED_VALUE"""),"10.1145/3450968")</f>
        <v>10.1145/3450968</v>
      </c>
      <c r="D42" s="7" t="str">
        <f>IFERROR(__xludf.DUMMYFUNCTION("""COMPUTED_VALUE"""),"Paulweber P.; Simhandl G.; Zdun U.")</f>
        <v>Paulweber P.; Simhandl G.; Zdun U.</v>
      </c>
      <c r="E42" s="7" t="str">
        <f>IFERROR(__xludf.DUMMYFUNCTION("""COMPUTED_VALUE"""),"Specifying with Interface and Trait Abstractions in Abstract State Machines: A Controlled Experiment")</f>
        <v>Specifying with Interface and Trait Abstractions in Abstract State Machines: A Controlled Experiment</v>
      </c>
      <c r="F42" s="7" t="str">
        <f>IFERROR(__xludf.DUMMYFUNCTION("""COMPUTED_VALUE"""),"TOSEM")</f>
        <v>TOSEM</v>
      </c>
      <c r="G42" s="7" t="str">
        <f>IFERROR(__xludf.DUMMYFUNCTION("""COMPUTED_VALUE"""),"State Machine (ASM) theory is a well-known state-based formal method. As in other state-based formal methods, the proposed specification languages for ASMs still lack easy-to-comprehend abstractions to express structural and behavioral aspects of specific"&amp;"ations. Our goal is to investigate object-oriented abstractions such as interfaces and traits for ASM-based specification languages. We report on a controlled experiment with 98 participants to study the specification efficiency and effectiveness in which"&amp;" participants needed to comprehend an informal specification as problem (stimulus) in form of a textual description and express a corresponding solution in form of a textual ASM specification using either interface or trait syntax extensions. The study wa"&amp;"s carried out with a completely randomized design and one alternative (interface or trait) per experimental group. The results indicate that specification effectiveness of the traits experiment group shows a better performance compared to the interfaces e"&amp;"xperiment group, but specification efficiency shows no statistically significant differences. To the best of our knowledge, this is the first empirical study studying the specification effectiveness and efficiency of object-oriented abstractions in the co"&amp;"ntext of formal methods.  © 2021 ACM.")</f>
        <v>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v>
      </c>
      <c r="H42" s="8" t="str">
        <f>IFERROR(__xludf.DUMMYFUNCTION("""COMPUTED_VALUE"""),"abstract state machines; CASM; controlled experiment; effectiveness; efficiency; Empirical software engineering; interfaces; language constructs; specification; traits")</f>
        <v>abstract state machines; CASM; controlled experiment; effectiveness; efficiency; Empirical software engineering; interfaces; language constructs; specification; traits</v>
      </c>
      <c r="I42" s="9" t="b">
        <v>1</v>
      </c>
      <c r="J42" s="9" t="b">
        <v>1</v>
      </c>
      <c r="K42" s="9" t="b">
        <v>1</v>
      </c>
      <c r="L42" s="10" t="b">
        <v>0</v>
      </c>
      <c r="M42" s="10" t="b">
        <v>0</v>
      </c>
      <c r="N42" s="10" t="b">
        <v>0</v>
      </c>
      <c r="O42" s="11" t="b">
        <f t="shared" si="1"/>
        <v>1</v>
      </c>
      <c r="P42" s="16" t="b">
        <v>0</v>
      </c>
      <c r="Q42" s="7"/>
    </row>
    <row r="43">
      <c r="A43" s="5" t="b">
        <v>1</v>
      </c>
      <c r="B43" s="5" t="s">
        <v>62</v>
      </c>
      <c r="C43" s="6" t="str">
        <f>IFERROR(__xludf.DUMMYFUNCTION("""COMPUTED_VALUE"""),"10.1145/310663.310667")</f>
        <v>10.1145/310663.310667</v>
      </c>
      <c r="D43" s="7" t="str">
        <f>IFERROR(__xludf.DUMMYFUNCTION("""COMPUTED_VALUE"""),"Podgurski A.; Masri W.; McCleese Y.; Wolff F.G.; Yang C.")</f>
        <v>Podgurski A.; Masri W.; McCleese Y.; Wolff F.G.; Yang C.</v>
      </c>
      <c r="E43" s="7" t="str">
        <f>IFERROR(__xludf.DUMMYFUNCTION("""COMPUTED_VALUE"""),"Estimation of software reliability by stratified sampling")</f>
        <v>Estimation of software reliability by stratified sampling</v>
      </c>
      <c r="F43" s="7" t="str">
        <f>IFERROR(__xludf.DUMMYFUNCTION("""COMPUTED_VALUE"""),"TOSEM")</f>
        <v>TOSEM</v>
      </c>
      <c r="G43" s="7" t="str">
        <f>IFERROR(__xludf.DUMMYFUNCTION("""COMPUTED_VALUE"""),"A new approach to software reliability estimation is presented that combines operational testing with stratified sampling in order to reduce the number of program executions that must be checked manually for conformance to requirements. Automatic cluster "&amp;"analysis is applied to execution profiles in order to stratify captured operational executions. Experimental results are reported that suggest this approach can significantly reduce the cost of estimating reliability.")</f>
        <v>A new approach to software reliability estimation is presented that combines operational testing with stratified sampling in order to reduce the number of program executions that must be checked manually for conformance to requirements. Automatic cluster analysis is applied to execution profiles in order to stratify captured operational executions. Experimental results are reported that suggest this approach can significantly reduce the cost of estimating reliability.</v>
      </c>
      <c r="H43" s="8" t="str">
        <f>IFERROR(__xludf.DUMMYFUNCTION("""COMPUTED_VALUE"""),"Beta testing; Cluster analysis; D.2.2 [Software Engineering]: Design Tools and Techniques; D.2.5 [Software Engineering]: Testing and Debugging; D.4.5 [Operating Systems]: Reliability; Operational testing; Software reliability; Software testing")</f>
        <v>Beta testing; Cluster analysis; D.2.2 [Software Engineering]: Design Tools and Techniques; D.2.5 [Software Engineering]: Testing and Debugging; D.4.5 [Operating Systems]: Reliability; Operational testing; Software reliability; Software testing</v>
      </c>
      <c r="I43" s="9" t="b">
        <v>0</v>
      </c>
      <c r="J43" s="9" t="b">
        <v>1</v>
      </c>
      <c r="K43" s="9" t="b">
        <v>1</v>
      </c>
      <c r="L43" s="10" t="b">
        <v>0</v>
      </c>
      <c r="M43" s="10" t="b">
        <v>0</v>
      </c>
      <c r="N43" s="10" t="b">
        <v>0</v>
      </c>
      <c r="O43" s="11" t="b">
        <f t="shared" si="1"/>
        <v>0</v>
      </c>
      <c r="P43" s="12" t="b">
        <v>0</v>
      </c>
      <c r="Q43" s="13" t="s">
        <v>63</v>
      </c>
    </row>
    <row r="44">
      <c r="A44" s="5" t="b">
        <v>1</v>
      </c>
      <c r="B44" s="5" t="s">
        <v>64</v>
      </c>
      <c r="C44" s="6" t="str">
        <f>IFERROR(__xludf.DUMMYFUNCTION("""COMPUTED_VALUE"""),"10.1145/152388.152391")</f>
        <v>10.1145/152388.152391</v>
      </c>
      <c r="D44" s="7" t="str">
        <f>IFERROR(__xludf.DUMMYFUNCTION("""COMPUTED_VALUE"""),"Harrold M.J.; Gupta R.; Soffa M.L.")</f>
        <v>Harrold M.J.; Gupta R.; Soffa M.L.</v>
      </c>
      <c r="E44" s="7" t="str">
        <f>IFERROR(__xludf.DUMMYFUNCTION("""COMPUTED_VALUE"""),"A Methodology for Controlling the Size of a Test Suite")</f>
        <v>A Methodology for Controlling the Size of a Test Suite</v>
      </c>
      <c r="F44" s="7" t="str">
        <f>IFERROR(__xludf.DUMMYFUNCTION("""COMPUTED_VALUE"""),"TOSEM")</f>
        <v>TOSEM</v>
      </c>
      <c r="G44" s="7" t="str">
        <f>IFERROR(__xludf.DUMMYFUNCTION("""COMPUTED_VALUE"""),"This paper presents a technique to select a representative set of test cases from a test suite that provides the same coverage as the entire test suite. This selection is performed by identifying, and then eliminating, the redundant and obsolete test case"&amp;"s in the test suite. The representative set replaces the original test suite and thus, potentially produces a smaller test suite. The representative set can also be used to identify those test cases that should be rerun to test the program after it has be"&amp;"en changed. Our technique is independent of the testing methodology and only requires an association between a testing requirement and the test cases that satisfy the requirement. We illustrate the technique using the data flow testing methodology. The re"&amp;"duction that is possible with our technique is illustrated by experimental results. © 1993, ACM. All rights reserved.")</f>
        <v>This paper presents a technique to select a representative set of test cases from a test suite that provides the same coverage as the entire test suite. This selection is performed by identifying, and then eliminating, the redundant and obsolete test cases in the test suite. The representative set replaces the original test suite and thus, potentially produces a smaller test suite. The representative set can also be used to identify those test cases that should be rerun to test the program after it has been changed. Our technique is independent of the testing methodology and only requires an association between a testing requirement and the test cases that satisfy the requirement. We illustrate the technique using the data flow testing methodology. The reduction that is possible with our technique is illustrated by experimental results. © 1993, ACM. All rights reserved.</v>
      </c>
      <c r="H44" s="8" t="str">
        <f>IFERROR(__xludf.DUMMYFUNCTION("""COMPUTED_VALUE"""),"hitting set; regression testing; software engineering; software maintenance; test suite reduction")</f>
        <v>hitting set; regression testing; software engineering; software maintenance; test suite reduction</v>
      </c>
      <c r="I44" s="9" t="b">
        <v>0</v>
      </c>
      <c r="J44" s="9" t="b">
        <v>1</v>
      </c>
      <c r="K44" s="9" t="b">
        <v>1</v>
      </c>
      <c r="L44" s="10" t="b">
        <v>0</v>
      </c>
      <c r="M44" s="10" t="b">
        <v>0</v>
      </c>
      <c r="N44" s="10" t="b">
        <v>0</v>
      </c>
      <c r="O44" s="11" t="b">
        <f t="shared" si="1"/>
        <v>0</v>
      </c>
      <c r="P44" s="16" t="b">
        <v>0</v>
      </c>
      <c r="Q44" s="7"/>
    </row>
    <row r="45">
      <c r="A45" s="5" t="b">
        <v>1</v>
      </c>
      <c r="B45" s="5" t="s">
        <v>65</v>
      </c>
      <c r="C45" s="6" t="str">
        <f>IFERROR(__xludf.DUMMYFUNCTION("""COMPUTED_VALUE"""),"10.1145/3582575")</f>
        <v>10.1145/3582575</v>
      </c>
      <c r="D45" s="7" t="str">
        <f>IFERROR(__xludf.DUMMYFUNCTION("""COMPUTED_VALUE"""),"Lavazza L.; Locoro A.; Liu G.; Meli R.")</f>
        <v>Lavazza L.; Locoro A.; Liu G.; Meli R.</v>
      </c>
      <c r="E45" s="7" t="str">
        <f>IFERROR(__xludf.DUMMYFUNCTION("""COMPUTED_VALUE"""),"Estimating Software Functional Size via Machine Learning")</f>
        <v>Estimating Software Functional Size via Machine Learning</v>
      </c>
      <c r="F45" s="7" t="str">
        <f>IFERROR(__xludf.DUMMYFUNCTION("""COMPUTED_VALUE"""),"TOSEM")</f>
        <v>TOSEM</v>
      </c>
      <c r="G45" s="7" t="str">
        <f>IFERROR(__xludf.DUMMYFUNCTION("""COMPUTED_VALUE"""),"Measuring software functional size via standard Function Points Analysis (FPA) requires the availability of fully specified requirements and specific competencies. Most of the time, the need to measure software functional size occurs well in advance with "&amp;"respect to these ideal conditions, under the lack of complete information or skilled experts. To work around the constraints of the official measurement process, several estimation methods for FPA have been proposed and are commonly used. Among these, the"&amp;" International Function Points User Group (IFPUG) has adopted the ""High-level FPA""method (also known as the NESMA method). This method avoids weighting each data and transaction function by using fixed weights instead. Applying High-level FPA, or simila"&amp;"r estimation methods, is faster and easier than carrying out the official measurement process but inevitably yields an approximation in the measures. In this article, we contribute to the problem of estimating software functional size measures by using ma"&amp;"chine learning. To the best of our knowledge, machine learning methods were never applied to the early estimation of software functional size. Our goal is to understand whether machine learning techniques yield estimates of FPA measures that are more accu"&amp;"rate than those obtained with High-level FPA or similar methods. An empirical study on a large dataset of functional size predictors was carried out to train and test three of the most popular and robust machine learning methods, namely Random Forests, Su"&amp;"pport Vector Regression , and Neural Networks. A systematic experimental phase, with cycles of dataset filtering and splitting, parameter tuning, and model training and validation, is presented. The estimation accuracy of the obtained models was then eval"&amp;"uated and compared to that of fixed-weight models (e.g., High-level FPA) and linear regression models, also using a second dataset as the test set. We found that Support Vector Regression yields quite accurate estimation models. However, the obtained leve"&amp;"l of accuracy does not appear significantly better with respect to High-level FPA or to models built via ordinary least squares regression. Noticeably, fairly good accuracy levels were obtained by models that do not even require discerning among different"&amp;" types of transactions and data.  © 2023 Copyright held by the owner/author(s). Publication rights licensed to ACM.")</f>
        <v>Measuring software functional size via standard Function Points Analysis (FPA) requires the availability of fully specified requirements and specific competencies. Most of the time, the need to measure software functional size occurs well in advance with respect to these ideal conditions, under the lack of complete information or skilled experts. To work around the constraints of the official measurement process, several estimation methods for FPA have been proposed and are commonly used. Among these, the International Function Points User Group (IFPUG) has adopted the "High-level FPA"method (also known as the NESMA method). This method avoids weighting each data and transaction function by using fixed weights instead. Applying High-level FPA, or similar estimation methods, is faster and easier than carrying out the official measurement process but inevitably yields an approximation in the measures. In this article, we contribute to the problem of estimating software functional size measures by using machine learning. To the best of our knowledge, machine learning methods were never applied to the early estimation of software functional size. Our goal is to understand whether machine learning techniques yield estimates of FPA measures that are more accurate than those obtained with High-level FPA or similar methods. An empirical study on a large dataset of functional size predictors was carried out to train and test three of the most popular and robust machine learning methods, namely Random Forests, Support Vector Regression , and Neural Networks. A systematic experimental phase, with cycles of dataset filtering and splitting, parameter tuning, and model training and validation, is presented. The estimation accuracy of the obtained models was then evaluated and compared to that of fixed-weight models (e.g., High-level FPA) and linear regression models, also using a second dataset as the test set. We found that Support Vector Regression yields quite accurate estimation models. However, the obtained level of accuracy does not appear significantly better with respect to High-level FPA or to models built via ordinary least squares regression. Noticeably, fairly good accuracy levels were obtained by models that do not even require discerning among different types of transactions and data.  © 2023 Copyright held by the owner/author(s). Publication rights licensed to ACM.</v>
      </c>
      <c r="H45" s="8" t="str">
        <f>IFERROR(__xludf.DUMMYFUNCTION("""COMPUTED_VALUE"""),"early size estimation; Function Point Analysis; Function Points; functional size measurement; High-level FPA; machine learning estimation; NESMA Estimated; Neural Networks; Random Forests; SFP; SiFP; simple function points; Support Vector Regression")</f>
        <v>early size estimation; Function Point Analysis; Function Points; functional size measurement; High-level FPA; machine learning estimation; NESMA Estimated; Neural Networks; Random Forests; SFP; SiFP; simple function points; Support Vector Regression</v>
      </c>
      <c r="I45" s="10" t="b">
        <v>0</v>
      </c>
      <c r="J45" s="10" t="b">
        <v>0</v>
      </c>
      <c r="K45" s="10" t="b">
        <v>0</v>
      </c>
      <c r="L45" s="10" t="b">
        <v>0</v>
      </c>
      <c r="M45" s="10" t="b">
        <v>0</v>
      </c>
      <c r="N45" s="10" t="b">
        <v>0</v>
      </c>
      <c r="O45" s="11" t="b">
        <f t="shared" si="1"/>
        <v>0</v>
      </c>
      <c r="P45" s="12" t="b">
        <v>0</v>
      </c>
      <c r="Q45" s="7"/>
    </row>
    <row r="46">
      <c r="A46" s="5" t="b">
        <v>1</v>
      </c>
      <c r="B46" s="5" t="s">
        <v>66</v>
      </c>
      <c r="C46" s="6" t="str">
        <f>IFERROR(__xludf.DUMMYFUNCTION("""COMPUTED_VALUE"""),"10.1145/2559978")</f>
        <v>10.1145/2559978</v>
      </c>
      <c r="D46" s="7" t="str">
        <f>IFERROR(__xludf.DUMMYFUNCTION("""COMPUTED_VALUE"""),"Briand L.; Falessi D.; Nejati S.; Sabetzadeh M.; Yue T.")</f>
        <v>Briand L.; Falessi D.; Nejati S.; Sabetzadeh M.; Yue T.</v>
      </c>
      <c r="E46" s="7" t="str">
        <f>IFERROR(__xludf.DUMMYFUNCTION("""COMPUTED_VALUE"""),"Traceability and sysml design slices to support safety inspections: A controlled experiment")</f>
        <v>Traceability and sysml design slices to support safety inspections: A controlled experiment</v>
      </c>
      <c r="F46" s="7" t="str">
        <f>IFERROR(__xludf.DUMMYFUNCTION("""COMPUTED_VALUE"""),"TOSEM")</f>
        <v>TOSEM</v>
      </c>
      <c r="G46" s="7" t="str">
        <f>IFERROR(__xludf.DUMMYFUNCTION("""COMPUTED_VALUE"""),"Certifying safety-critical software and ensuring its safety requires checking the conformance between safety requirements and design. Increasingly, the development of safety-critical software relies on modeling, and the System Modeling Language (SysML) is"&amp;" now commonly used in many industry sectors. Inspecting safety conformance by comparing design models against safety requirements requires safety inspectors to browse through large models and is consequently time consuming and error-prone. An important co"&amp;"ncern in relation to traceability is cost effectiveness. Making traceability cost effective requires a careful analysis of the trade-offs between the costs incurred over establishing and maintaining traceability links and the benefits that traceability of"&amp;"fers. Traceability is considered worthwhile if it presents a significant advantage for achieving certain goals. In our case, the goals pursued from traceability are to increase the correctness and decrease the effort associated with design safety inspecti"&amp;"ons.")</f>
        <v>Certifying safety-critical software and ensuring its safety requires checking the conformance between safety requirements and design. Increasingly, the development of safety-critical software relies on modeling, and the System Modeling Language (SysML) is now commonly used in many industry sectors. Inspecting safety conformance by comparing design models against safety requirements requires safety inspectors to browse through large models and is consequently time consuming and error-prone. An important concern in relation to traceability is cost effectiveness. Making traceability cost effective requires a careful analysis of the trade-offs between the costs incurred over establishing and maintaining traceability links and the benefits that traceability offers. Traceability is considered worthwhile if it presents a significant advantage for achieving certain goals. In our case, the goals pursued from traceability are to increase the correctness and decrease the effort associated with design safety inspections.</v>
      </c>
      <c r="H46" s="8" t="str">
        <f>IFERROR(__xludf.DUMMYFUNCTION("""COMPUTED_VALUE"""),"Design; Empirical software engineering; Requirements Specification; Software and system safety; Software/program verification")</f>
        <v>Design; Empirical software engineering; Requirements Specification; Software and system safety; Software/program verification</v>
      </c>
      <c r="I46" s="9" t="b">
        <v>1</v>
      </c>
      <c r="J46" s="9" t="b">
        <v>1</v>
      </c>
      <c r="K46" s="9" t="b">
        <v>1</v>
      </c>
      <c r="L46" s="10" t="b">
        <v>0</v>
      </c>
      <c r="M46" s="10" t="b">
        <v>0</v>
      </c>
      <c r="N46" s="10" t="b">
        <v>0</v>
      </c>
      <c r="O46" s="11" t="b">
        <f t="shared" si="1"/>
        <v>1</v>
      </c>
      <c r="P46" s="16" t="b">
        <v>0</v>
      </c>
      <c r="Q46" s="13" t="s">
        <v>67</v>
      </c>
    </row>
    <row r="47">
      <c r="A47" s="5" t="b">
        <v>1</v>
      </c>
      <c r="B47" s="5" t="s">
        <v>68</v>
      </c>
      <c r="C47" s="6" t="str">
        <f>IFERROR(__xludf.DUMMYFUNCTION("""COMPUTED_VALUE"""),"10.1145/234426.234431")</f>
        <v>10.1145/234426.234431</v>
      </c>
      <c r="D47" s="7" t="str">
        <f>IFERROR(__xludf.DUMMYFUNCTION("""COMPUTED_VALUE"""),"Heitmeyer C.L.; Jeffords R.D.; Labaw B.G.")</f>
        <v>Heitmeyer C.L.; Jeffords R.D.; Labaw B.G.</v>
      </c>
      <c r="E47" s="7" t="str">
        <f>IFERROR(__xludf.DUMMYFUNCTION("""COMPUTED_VALUE"""),"Automated Consistency Checking of Requirements Specifications")</f>
        <v>Automated Consistency Checking of Requirements Specifications</v>
      </c>
      <c r="F47" s="7" t="str">
        <f>IFERROR(__xludf.DUMMYFUNCTION("""COMPUTED_VALUE"""),"TOSEM")</f>
        <v>TOSEM</v>
      </c>
      <c r="G47" s="7" t="str">
        <f>IFERROR(__xludf.DUMMYFUNCTION("""COMPUTED_VALUE"""),"This article describes a formal analysis technique, called consistency checking, for automatic detection of errors, such as type errors, nondeterminism, missing cases, and circular definitions, in requirements specifications. The technique is designed to "&amp;"analyze requirements specifications expressed in the SCR (Software Cost Reduction) tabular notation. As background, the SCR approach to specifying requirements is reviewed. To provide a formal semantics for the SCR notation and a foundation for consistenc"&amp;"y checking, a formal requirements model is introduced; the model represents a software system as a finite-state automaton, which produces externally visible outputs in response to changes in monitored environmental quantities. Results of two experiments a"&amp;"re presented which evaluated the utility and scalability of our technique for consistency checking in a real-world avionics application. The role of consistency checking during the requirements phase of software development is discussed.")</f>
        <v>This article describes a formal analysis technique, called consistency checking, for automatic detection of errors, such as type errors, nondeterminism, missing cases, and circular definitions, in requirements specifications. The technique is designed to analyze requirements specifications expressed in the SCR (Software Cost Reduction) tabular notation. As background, the SCR approach to specifying requirements is reviewed. To provide a formal semantics for the SCR notation and a foundation for consistency checking, a formal requirements model is introduced; the model represents a software system as a finite-state automaton, which produces externally visible outputs in response to changes in monitored environmental quantities. Results of two experiments are presented which evaluated the utility and scalability of our technique for consistency checking in a real-world avionics application. The role of consistency checking during the requirements phase of software development is discussed.</v>
      </c>
      <c r="H47" s="8" t="str">
        <f>IFERROR(__xludf.DUMMYFUNCTION("""COMPUTED_VALUE"""),"D.2.1 [Software Engineering]: Requirements/Specifications; D.2.2 [Software Engineering]: Tools and Techniques; D.2.4 [Software Engineering]: Program Verification; D.2.7 [Software Engineering]: Distribution and Maintenance - Documentation")</f>
        <v>D.2.1 [Software Engineering]: Requirements/Specifications; D.2.2 [Software Engineering]: Tools and Techniques; D.2.4 [Software Engineering]: Program Verification; D.2.7 [Software Engineering]: Distribution and Maintenance - Documentation</v>
      </c>
      <c r="I47" s="9" t="b">
        <v>0</v>
      </c>
      <c r="J47" s="9" t="b">
        <v>1</v>
      </c>
      <c r="K47" s="10" t="b">
        <v>0</v>
      </c>
      <c r="L47" s="10" t="b">
        <v>0</v>
      </c>
      <c r="M47" s="10" t="b">
        <v>0</v>
      </c>
      <c r="N47" s="10" t="b">
        <v>0</v>
      </c>
      <c r="O47" s="11" t="b">
        <f t="shared" si="1"/>
        <v>0</v>
      </c>
      <c r="P47" s="16" t="b">
        <v>0</v>
      </c>
      <c r="Q47" s="13" t="s">
        <v>69</v>
      </c>
    </row>
    <row r="48">
      <c r="A48" s="5" t="b">
        <v>1</v>
      </c>
      <c r="B48" s="5" t="s">
        <v>70</v>
      </c>
      <c r="C48" s="6" t="str">
        <f>IFERROR(__xludf.DUMMYFUNCTION("""COMPUTED_VALUE"""),"10.1145/322993.322996")</f>
        <v>10.1145/322993.322996</v>
      </c>
      <c r="D48" s="7" t="str">
        <f>IFERROR(__xludf.DUMMYFUNCTION("""COMPUTED_VALUE"""),"Kuhn D.R.")</f>
        <v>Kuhn D.R.</v>
      </c>
      <c r="E48" s="7" t="str">
        <f>IFERROR(__xludf.DUMMYFUNCTION("""COMPUTED_VALUE"""),"Fault classes and error detection capability of specification-based testing")</f>
        <v>Fault classes and error detection capability of specification-based testing</v>
      </c>
      <c r="F48" s="7" t="str">
        <f>IFERROR(__xludf.DUMMYFUNCTION("""COMPUTED_VALUE"""),"TOSEM")</f>
        <v>TOSEM</v>
      </c>
      <c r="G48" s="7" t="str">
        <f>IFERROR(__xludf.DUMMYFUNCTION("""COMPUTED_VALUE"""),"Some varieties of specification-based testing rely upon methods for generating test cases from predicates in a software specification. These methods derive various test conditions from logic expressions, with the aim of detecting different types of faults"&amp;". Some authors have presented empirical results on the ability of specification-based test generation methods to detect failures. This article describes a method for computing the conditions that must be covered by a test set for the test set to guarantee"&amp;" detection of the particular fault class. It is shown that there is a coverage hierarchy to fault classes that is consistent with, and may therefore explain, experimental results on fault-based testing. The method is also shown to be effective for computi"&amp;"ng MCDC-adequate tests.")</f>
        <v>Some varieties of specification-based testing rely upon methods for generating test cases from predicates in a software specification. These methods derive various test conditions from logic expressions, with the aim of detecting different types of faults. Some authors have presented empirical results on the ability of specification-based test generation methods to detect failures. This article describes a method for computing the conditions that must be covered by a test set for the test set to guarantee detection of the particular fault class. It is shown that there is a coverage hierarchy to fault classes that is consistent with, and may therefore explain, experimental results on fault-based testing. The method is also shown to be effective for computing MCDC-adequate tests.</v>
      </c>
      <c r="H48" s="8" t="str">
        <f>IFERROR(__xludf.DUMMYFUNCTION("""COMPUTED_VALUE"""),"D.2.1 [Software Engineering]: Requirements/Specifications; D.2.4 [Software Engineering]: Software/Program Verification; D.2.5 [Software Engineering]: Testing and Debugging; Testing; Theory; Verification")</f>
        <v>D.2.1 [Software Engineering]: Requirements/Specifications; D.2.4 [Software Engineering]: Software/Program Verification; D.2.5 [Software Engineering]: Testing and Debugging; Testing; Theory; Verification</v>
      </c>
      <c r="I48" s="9" t="b">
        <v>0</v>
      </c>
      <c r="J48" s="9" t="b">
        <v>1</v>
      </c>
      <c r="K48" s="9" t="b">
        <v>1</v>
      </c>
      <c r="L48" s="10" t="b">
        <v>0</v>
      </c>
      <c r="M48" s="10" t="b">
        <v>0</v>
      </c>
      <c r="N48" s="10" t="b">
        <v>0</v>
      </c>
      <c r="O48" s="11" t="b">
        <f t="shared" si="1"/>
        <v>0</v>
      </c>
      <c r="P48" s="16" t="b">
        <v>0</v>
      </c>
      <c r="Q48" s="7"/>
    </row>
    <row r="49">
      <c r="A49" s="5" t="b">
        <v>1</v>
      </c>
      <c r="B49" s="5" t="s">
        <v>71</v>
      </c>
      <c r="C49" s="6" t="str">
        <f>IFERROR(__xludf.DUMMYFUNCTION("""COMPUTED_VALUE"""),"10.1145/2537853")</f>
        <v>10.1145/2537853</v>
      </c>
      <c r="D49" s="7" t="str">
        <f>IFERROR(__xludf.DUMMYFUNCTION("""COMPUTED_VALUE"""),"Harman M.; Krinke J.; Medina-Bulo I.; Palomo-Lozano F.; Ren J.; Yoo S.")</f>
        <v>Harman M.; Krinke J.; Medina-Bulo I.; Palomo-Lozano F.; Ren J.; Yoo S.</v>
      </c>
      <c r="E49" s="7" t="str">
        <f>IFERROR(__xludf.DUMMYFUNCTION("""COMPUTED_VALUE"""),"Exact scalable sensitivity analysis for the next release problem")</f>
        <v>Exact scalable sensitivity analysis for the next release problem</v>
      </c>
      <c r="F49" s="7" t="str">
        <f>IFERROR(__xludf.DUMMYFUNCTION("""COMPUTED_VALUE"""),"TOSEM")</f>
        <v>TOSEM</v>
      </c>
      <c r="G49" s="7" t="str">
        <f>IFERROR(__xludf.DUMMYFUNCTION("""COMPUTED_VALUE"""),"The nature of the requirements analysis problem, based as it is on uncertain and often inaccurate estimates of costs and effort, makes sensitivity analysis important. Sensitivity analysis allows the decision maker to identify those requirements and budget"&amp;"s that are particularly sensitive to misestimation. However, finding scalable sensitivity analysis techniques is not easy because the underlying optimization problem is NP-hard. This article introduces an approach to sensitivity analysis based on exact op"&amp;"timization.We implemented this approach as a tool, OATSAC, which allowed us to experimentally evaluate the scalability and applicability of Requirements Sensitivity Analysis (RSA). Our results show that OATSAC scales sufficiently well for practical applic"&amp;"ations in Requirements Sensitivity Analysis. We also show how the sensitivity analysis can yield insights into difficult and otherwise obscure interactions between budgets, requirements costs, and estimate inaccuracies using a real-world case study. © 201"&amp;"4 ACM.")</f>
        <v>The nature of the requirements analysis problem, based as it is on uncertain and often inaccurate estimates of costs and effort, makes sensitivity analysis important. Sensitivity analysis allows the decision maker to identify those requirements and budgets that are particularly sensitive to misestimation. However, finding scalable sensitivity analysis techniques is not easy because the underlying optimization problem is NP-hard. This article introduces an approach to sensitivity analysis based on exact optimization.We implemented this approach as a tool, OATSAC, which allowed us to experimentally evaluate the scalability and applicability of Requirements Sensitivity Analysis (RSA). Our results show that OATSAC scales sufficiently well for practical applications in Requirements Sensitivity Analysis. We also show how the sensitivity analysis can yield insights into difficult and otherwise obscure interactions between budgets, requirements costs, and estimate inaccuracies using a real-world case study. © 2014 ACM.</v>
      </c>
      <c r="H49" s="8" t="str">
        <f>IFERROR(__xludf.DUMMYFUNCTION("""COMPUTED_VALUE"""),"Next release problem; Requirement engineering; Sensitivity analysis")</f>
        <v>Next release problem; Requirement engineering; Sensitivity analysis</v>
      </c>
      <c r="I49" s="9" t="b">
        <v>0</v>
      </c>
      <c r="J49" s="9" t="b">
        <v>1</v>
      </c>
      <c r="K49" s="9" t="b">
        <v>1</v>
      </c>
      <c r="L49" s="10" t="b">
        <v>0</v>
      </c>
      <c r="M49" s="10" t="b">
        <v>0</v>
      </c>
      <c r="N49" s="10" t="b">
        <v>0</v>
      </c>
      <c r="O49" s="11" t="b">
        <f t="shared" si="1"/>
        <v>0</v>
      </c>
      <c r="P49" s="12" t="b">
        <v>0</v>
      </c>
      <c r="Q49" s="13"/>
    </row>
    <row r="50">
      <c r="A50" s="5" t="b">
        <v>1</v>
      </c>
      <c r="B50" s="5" t="s">
        <v>72</v>
      </c>
      <c r="C50" s="6" t="str">
        <f>IFERROR(__xludf.DUMMYFUNCTION("""COMPUTED_VALUE"""),"10.1145/3548684")</f>
        <v>10.1145/3548684</v>
      </c>
      <c r="D50" s="7" t="str">
        <f>IFERROR(__xludf.DUMMYFUNCTION("""COMPUTED_VALUE"""),"Cruz-Carlon J.; Varshosaz M.; Le Goues C.; Wasowski A.")</f>
        <v>Cruz-Carlon J.; Varshosaz M.; Le Goues C.; Wasowski A.</v>
      </c>
      <c r="E50" s="7" t="str">
        <f>IFERROR(__xludf.DUMMYFUNCTION("""COMPUTED_VALUE"""),"Patching Locking Bugs Statically with Crayons")</f>
        <v>Patching Locking Bugs Statically with Crayons</v>
      </c>
      <c r="F50" s="7" t="str">
        <f>IFERROR(__xludf.DUMMYFUNCTION("""COMPUTED_VALUE"""),"TOSEM")</f>
        <v>TOSEM</v>
      </c>
      <c r="G50" s="7" t="str">
        <f>IFERROR(__xludf.DUMMYFUNCTION("""COMPUTED_VALUE"""),"The Linux Kernel is a world-class operating system controlling most of our computing infrastructure: mobile devices, Internet routers and services, and most of the supercomputers. Linux is also an example of low-level software with no comprehensive regres"&amp;"sion test suite (for good reasons). The kernel's tremendous societal importance imposes strict stability and correctness requirements. These properties make Linux a challenging and relevant target for static automated program repair (APR). Over the past d"&amp;"ecade, a significant progress has been made in dynamic APR. However, dynamic APR techniques do not translate naturally to systems without tests. We present a static APR technique addressing sequential locking API misuse bugs in the Linux Kernel. We attack"&amp;" the key challenge of static APR, namely, the lack of detailed program specification, by combining static analysis with machine learning to complement the information presented by the static analyzer. In experiments on historical real-world bugs in the ke"&amp;"rnel, we were able to automatically re-produce or propose equivalent patches in 85% of the human-made patches, and automatically rank them among the top three candidates for 64% of the cases and among the top five for 74%. © 2023 Copyright held by the own"&amp;"er/author(s).")</f>
        <v>The Linux Kernel is a world-class operating system controlling most of our computing infrastructure: mobile devices, Internet routers and services, and most of the supercomputers. Linux is also an example of low-level software with no comprehensive regression test suite (for good reasons). The kernel's tremendous societal importance imposes strict stability and correctness requirements. These properties make Linux a challenging and relevant target for static automated program repair (APR). Over the past decade, a significant progress has been made in dynamic APR. However, dynamic APR techniques do not translate naturally to systems without tests. We present a static APR technique addressing sequential locking API misuse bugs in the Linux Kernel. We attack the key challenge of static APR, namely, the lack of detailed program specification, by combining static analysis with machine learning to complement the information presented by the static analyzer. In experiments on historical real-world bugs in the kernel, we were able to automatically re-produce or propose equivalent patches in 85% of the human-made patches, and automatically rank them among the top three candidates for 64% of the cases and among the top five for 74%. © 2023 Copyright held by the owner/author(s).</v>
      </c>
      <c r="H50" s="8" t="str">
        <f>IFERROR(__xludf.DUMMYFUNCTION("""COMPUTED_VALUE"""),"Additional Key Words and PhrasesAutomated repair; api misuse; static program repair")</f>
        <v>Additional Key Words and PhrasesAutomated repair; api misuse; static program repair</v>
      </c>
      <c r="I50" s="10" t="b">
        <v>0</v>
      </c>
      <c r="J50" s="10" t="b">
        <v>0</v>
      </c>
      <c r="K50" s="10" t="b">
        <v>0</v>
      </c>
      <c r="L50" s="10" t="b">
        <v>0</v>
      </c>
      <c r="M50" s="10" t="b">
        <v>0</v>
      </c>
      <c r="N50" s="10" t="b">
        <v>0</v>
      </c>
      <c r="O50" s="11" t="b">
        <f t="shared" si="1"/>
        <v>0</v>
      </c>
      <c r="P50" s="16" t="b">
        <v>0</v>
      </c>
      <c r="Q50" s="7"/>
    </row>
    <row r="51">
      <c r="A51" s="5" t="b">
        <v>1</v>
      </c>
      <c r="B51" s="5" t="s">
        <v>73</v>
      </c>
      <c r="C51" s="6" t="str">
        <f>IFERROR(__xludf.DUMMYFUNCTION("""COMPUTED_VALUE"""),"10.1145/2876443")</f>
        <v>10.1145/2876443</v>
      </c>
      <c r="D51" s="7" t="str">
        <f>IFERROR(__xludf.DUMMYFUNCTION("""COMPUTED_VALUE"""),"Zhou M.; Mockus A.; Ma X.; Zhang L.U.; Mei H.")</f>
        <v>Zhou M.; Mockus A.; Ma X.; Zhang L.U.; Mei H.</v>
      </c>
      <c r="E51" s="7" t="str">
        <f>IFERROR(__xludf.DUMMYFUNCTION("""COMPUTED_VALUE"""),"Inflow and retention in oss communities with commercial involvement: A case study of three hybrid projects")</f>
        <v>Inflow and retention in oss communities with commercial involvement: A case study of three hybrid projects</v>
      </c>
      <c r="F51" s="7" t="str">
        <f>IFERROR(__xludf.DUMMYFUNCTION("""COMPUTED_VALUE"""),"TOSEM")</f>
        <v>TOSEM</v>
      </c>
      <c r="G51" s="7" t="str">
        <f>IFERROR(__xludf.DUMMYFUNCTION("""COMPUTED_VALUE"""),"Motivation: Open-source projects are often supported by companies, but such involvement often affects the robust contributor inflow needed to sustain the project and sometimes prompts key contributors to leave. To capture user innovation and to maintain q"&amp;"uality of software and productivity of teams, these projects need to attract and retain contributors. Aim: We want to understand and quantify how inflow and retention are shaped by policies and actions of companies in three application server projects. Me"&amp;"thod: We identified three hybrid projects implementing the same JavaEE specification and used published literature, online materials, and interviews to quantify actions and policies companies used to get involved. We collected project repository data, ana"&amp;"lyzed affiliation history of project participants, and used generalized linear models and survival analysis to measure contributor inflow and retention. Results: We identified coherent groups of policies and actions undertaken by sponsoring companies as t"&amp;"hree models of community involvement and quantified tradeoffs between the inflow and retention each model provides. We found that full control mechanisms and high intensity of commercial involvement were associated with a decrease of external inflow and w"&amp;"ith improved retention. However, a shared control mechanism was associated with increased external inflow contemporaneously with the increase of commercial involvement. Implications: Inspired by a natural experiment, our methods enabled us to quantify asp"&amp;"ects of the balance between community and private interests in open- source software projects and provide clear implications for the structure of future open-source communities.")</f>
        <v>Motivation: Open-source projects are often supported by companies, but such involvement often affects the robust contributor inflow needed to sustain the project and sometimes prompts key contributors to leave. To capture user innovation and to maintain quality of software and productivity of teams, these projects need to attract and retain contributors. Aim: We want to understand and quantify how inflow and retention are shaped by policies and actions of companies in three application server projects. Method: We identified three hybrid projects implementing the same JavaEE specification and used published literature, online materials, and interviews to quantify actions and policies companies used to get involved. We collected project repository data, analyzed affiliation history of project participants, and used generalized linear models and survival analysis to measure contributor inflow and retention. Results: We identified coherent groups of policies and actions undertaken by sponsoring companies as three models of community involvement and quantified tradeoffs between the inflow and retention each model provides. We found that full control mechanisms and high intensity of commercial involvement were associated with a decrease of external inflow and with improved retention. However, a shared control mechanism was associated with increased external inflow contemporaneously with the increase of commercial involvement. Implications: Inspired by a natural experiment, our methods enabled us to quantify aspects of the balance between community and private interests in open- source software projects and provide clear implications for the structure of future open-source communities.</v>
      </c>
      <c r="H51" s="8" t="str">
        <f>IFERROR(__xludf.DUMMYFUNCTION("""COMPUTED_VALUE"""),"Commercial involvement; Contributor inflow; Contributor retention; Extent and intensity of involvement; Hybrid project; Natural experiment")</f>
        <v>Commercial involvement; Contributor inflow; Contributor retention; Extent and intensity of involvement; Hybrid project; Natural experiment</v>
      </c>
      <c r="I51" s="10" t="b">
        <v>0</v>
      </c>
      <c r="J51" s="10" t="b">
        <v>0</v>
      </c>
      <c r="K51" s="10" t="b">
        <v>0</v>
      </c>
      <c r="L51" s="10" t="b">
        <v>0</v>
      </c>
      <c r="M51" s="10" t="b">
        <v>0</v>
      </c>
      <c r="N51" s="10" t="b">
        <v>0</v>
      </c>
      <c r="O51" s="11" t="b">
        <f t="shared" si="1"/>
        <v>0</v>
      </c>
      <c r="P51" s="16" t="b">
        <v>0</v>
      </c>
      <c r="Q51" s="7"/>
    </row>
    <row r="52">
      <c r="A52" s="5" t="b">
        <v>1</v>
      </c>
      <c r="B52" s="5" t="s">
        <v>74</v>
      </c>
      <c r="C52" s="6" t="str">
        <f>IFERROR(__xludf.DUMMYFUNCTION("""COMPUTED_VALUE"""),"10.1145/3436877")</f>
        <v>10.1145/3436877</v>
      </c>
      <c r="D52" s="7" t="str">
        <f>IFERROR(__xludf.DUMMYFUNCTION("""COMPUTED_VALUE"""),"Cheng X.; Wang H.; Hua J.; Xu G.; Sui Y.")</f>
        <v>Cheng X.; Wang H.; Hua J.; Xu G.; Sui Y.</v>
      </c>
      <c r="E52" s="7" t="str">
        <f>IFERROR(__xludf.DUMMYFUNCTION("""COMPUTED_VALUE"""),"DeepWukong: Statically Detecting Software Vulnerabilities Using Deep Graph Neural Network")</f>
        <v>DeepWukong: Statically Detecting Software Vulnerabilities Using Deep Graph Neural Network</v>
      </c>
      <c r="F52" s="7" t="str">
        <f>IFERROR(__xludf.DUMMYFUNCTION("""COMPUTED_VALUE"""),"TOSEM")</f>
        <v>TOSEM</v>
      </c>
      <c r="G52" s="7" t="str">
        <f>IFERROR(__xludf.DUMMYFUNCTION("""COMPUTED_VALUE"""),"Static bug detection has shown its effectiveness in detecting well-defined memory errors, e.g., memory leaks, buffer overflows, and null dereference. However, modern software systems have a wide variety of vulnerabilities. These vulnerabilities are extrem"&amp;"ely complicated with sophisticated programming logic, and these bugs are often caused by different bad programming practices, challenging existing bug detection solutions. It is hard and labor-intensive to develop precise and efficient static analysis sol"&amp;"utions for different types of vulnerabilities, particularly for those that may not have a clear specification as the traditional well-defined vulnerabilities. This article presents DeepWukong, a new deep-learning-based embedding approach to static detecti"&amp;"on of software vulnerabilities for C/C++ programs. Our approach makes a new attempt by leveraging advanced recent graph neural networks to embed code fragments in a compact and low-dimensional representation, producing a new code representation that prese"&amp;"rves high-level programming logic (in the form of control-and data-flows) together with the natural language information of a program. Our evaluation studies the top 10 most common C/C++ vulnerabilities during the past 3 years. We have conducted our exper"&amp;"iments using 105,428 real-world programs by comparing our approach with four well-known traditional static vulnerability detectors and three state-of-the-art deep-learning-based approaches. The experimental results demonstrate the effectiveness of our res"&amp;"earch and have shed light on the promising direction of combining program analysis with deep learning techniques to address the general static code analysis challenges.  © 2021 ACM.")</f>
        <v>Static bug detection has shown its effectiveness in detecting well-defined memory errors, e.g., memory leaks, buffer overflows, and null dereference. However, modern software systems have a wide variety of vulnerabilities. These vulnerabilities are extremely complicated with sophisticated programming logic, and these bugs are often caused by different bad programming practices, challenging existing bug detection solutions. It is hard and labor-intensive to develop precise and efficient static analysis solutions for different types of vulnerabilities, particularly for those that may not have a clear specification as the traditional well-defined vulnerabilities. This article presents DeepWukong, a new deep-learning-based embedding approach to static detection of software vulnerabilities for C/C++ programs. Our approach makes a new attempt by leveraging advanced recent graph neural networks to embed code fragments in a compact and low-dimensional representation, producing a new code representation that preserves high-level programming logic (in the form of control-and data-flows) together with the natural language information of a program. Our evaluation studies the top 10 most common C/C++ vulnerabilities during the past 3 years. We have conducted our experiments using 105,428 real-world programs by comparing our approach with four well-known traditional static vulnerability detectors and three state-of-the-art deep-learning-based approaches. The experimental results demonstrate the effectiveness of our research and have shed light on the promising direction of combining program analysis with deep learning techniques to address the general static code analysis challenges.  © 2021 ACM.</v>
      </c>
      <c r="H52" s="8" t="str">
        <f>IFERROR(__xludf.DUMMYFUNCTION("""COMPUTED_VALUE"""),"graph embedding; Static analysis; vulnerabilities")</f>
        <v>graph embedding; Static analysis; vulnerabilities</v>
      </c>
      <c r="I52" s="10" t="b">
        <v>0</v>
      </c>
      <c r="J52" s="10" t="b">
        <v>0</v>
      </c>
      <c r="K52" s="10" t="b">
        <v>0</v>
      </c>
      <c r="L52" s="10" t="b">
        <v>0</v>
      </c>
      <c r="M52" s="10" t="b">
        <v>0</v>
      </c>
      <c r="N52" s="10" t="b">
        <v>0</v>
      </c>
      <c r="O52" s="11" t="b">
        <f t="shared" si="1"/>
        <v>0</v>
      </c>
      <c r="P52" s="16" t="b">
        <v>0</v>
      </c>
      <c r="Q52" s="7"/>
    </row>
    <row r="53">
      <c r="A53" s="5" t="b">
        <v>1</v>
      </c>
      <c r="B53" s="5" t="s">
        <v>75</v>
      </c>
      <c r="C53" s="6" t="str">
        <f>IFERROR(__xludf.DUMMYFUNCTION("""COMPUTED_VALUE"""),"10.1145/2685613")</f>
        <v>10.1145/2685613</v>
      </c>
      <c r="D53" s="7" t="str">
        <f>IFERROR(__xludf.DUMMYFUNCTION("""COMPUTED_VALUE"""),"El Kholy W.; Bentahar J.; El Menshawy M.; Qu H.; Dssouli R.")</f>
        <v>El Kholy W.; Bentahar J.; El Menshawy M.; Qu H.; Dssouli R.</v>
      </c>
      <c r="E53" s="7" t="str">
        <f>IFERROR(__xludf.DUMMYFUNCTION("""COMPUTED_VALUE"""),"Conditional commitments: Reasoning and model checking")</f>
        <v>Conditional commitments: Reasoning and model checking</v>
      </c>
      <c r="F53" s="7" t="str">
        <f>IFERROR(__xludf.DUMMYFUNCTION("""COMPUTED_VALUE"""),"TOSEM")</f>
        <v>TOSEM</v>
      </c>
      <c r="G53" s="7" t="str">
        <f>IFERROR(__xludf.DUMMYFUNCTION("""COMPUTED_VALUE"""),"While modeling interactions using social commitments provides a fundamental basis for capturing flexible and declarative interactions and helps in addressing the challenge of ensuring compliance with specifications, the designers of the system cannot guar"&amp;"antee that an agent complies with its commitments as it is supposed to, or at least an agent doesn't want to violate its commitments. They may still wish to develop efficient and scalable algorithms by which model checking conditional commitments, a natur"&amp;"al and universal frame of social commitments, is feasible at design time. However, distinguishing between different but related types of conditional commitments, and developing dedicated algorithms to tackle the problem of model checking conditional commi"&amp;"tments, is still an active research topic. In this article, we develop the temporal logic CTLcc that extends Computation Tree Logic (CTL) with new modalities which allow representing and reasoning about two types of communicating conditional commitments a"&amp;"nd their fulfillments using the formalism of interpreted systems. We introduce a set of rules to reason about conditional commitments and their fulfillments. The verification technique is based on developing a new symbolic model checking algorithm to addr"&amp;"ess this verification problem. We analyze the computational complexity and present the full implementation of the developed algorithm on top of the MCMAS model checker. We also evaluate the algorithm's effectiveness and scalability by verifying the compli"&amp;"ance of the NetBill protocol, taken from the business domain, and the process of breast cancer diagnosis and treatment, taken from the health-care domain, with specifications expressed in CTLcc. We finally compare the experimental results with existing pr"&amp;"oposals. © 2014 ACM.")</f>
        <v>While modeling interactions using social commitments provides a fundamental basis for capturing flexible and declarative interactions and helps in addressing the challenge of ensuring compliance with specifications, the designers of the system cannot guarantee that an agent complies with its commitments as it is supposed to, or at least an agent doesn't want to violate its commitments. They may still wish to develop efficient and scalable algorithms by which model checking conditional commitments, a natural and universal frame of social commitments, is feasible at design time. However, distinguishing between different but related types of conditional commitments, and developing dedicated algorithms to tackle the problem of model checking conditional commitments, is still an active research topic. In this article, we develop the temporal logic CTLcc that extends Computation Tree Logic (CTL) with new modalities which allow representing and reasoning about two types of communicating conditional commitments and their fulfillments using the formalism of interpreted systems. We introduce a set of rules to reason about conditional commitments and their fulfillments. The verification technique is based on developing a new symbolic model checking algorithm to address this verification problem. We analyze the computational complexity and present the full implementation of the developed algorithm on top of the MCMAS model checker. We also evaluate the algorithm's effectiveness and scalability by verifying the compliance of the NetBill protocol, taken from the business domain, and the process of breast cancer diagnosis and treatment, taken from the health-care domain, with specifications expressed in CTLcc. We finally compare the experimental results with existing proposals. © 2014 ACM.</v>
      </c>
      <c r="H53" s="8" t="str">
        <f>IFERROR(__xludf.DUMMYFUNCTION("""COMPUTED_VALUE"""),"Reasoning rules; Strong and weak conditional commitments")</f>
        <v>Reasoning rules; Strong and weak conditional commitments</v>
      </c>
      <c r="I53" s="10" t="b">
        <v>0</v>
      </c>
      <c r="J53" s="9" t="b">
        <v>0</v>
      </c>
      <c r="K53" s="10" t="b">
        <v>0</v>
      </c>
      <c r="L53" s="10" t="b">
        <v>0</v>
      </c>
      <c r="M53" s="10" t="b">
        <v>0</v>
      </c>
      <c r="N53" s="10" t="b">
        <v>0</v>
      </c>
      <c r="O53" s="11" t="b">
        <f t="shared" si="1"/>
        <v>0</v>
      </c>
      <c r="P53" s="16" t="b">
        <v>0</v>
      </c>
      <c r="Q53" s="7"/>
    </row>
    <row r="54">
      <c r="A54" s="5" t="b">
        <v>1</v>
      </c>
      <c r="B54" s="5" t="s">
        <v>76</v>
      </c>
      <c r="C54" s="6" t="str">
        <f>IFERROR(__xludf.DUMMYFUNCTION("""COMPUTED_VALUE"""),"10.1145/2699696")</f>
        <v>10.1145/2699696</v>
      </c>
      <c r="D54" s="7" t="str">
        <f>IFERROR(__xludf.DUMMYFUNCTION("""COMPUTED_VALUE"""),"Scanniello G.; Gravino C.; Risi M.; Tortora G.; Dodero G.")</f>
        <v>Scanniello G.; Gravino C.; Risi M.; Tortora G.; Dodero G.</v>
      </c>
      <c r="E54" s="7" t="str">
        <f>IFERROR(__xludf.DUMMYFUNCTION("""COMPUTED_VALUE"""),"Documenting design-pattern instances: A family of experiments on source-code comprehensibility")</f>
        <v>Documenting design-pattern instances: A family of experiments on source-code comprehensibility</v>
      </c>
      <c r="F54" s="7" t="str">
        <f>IFERROR(__xludf.DUMMYFUNCTION("""COMPUTED_VALUE"""),"TOSEM")</f>
        <v>TOSEM</v>
      </c>
      <c r="G54" s="7" t="str">
        <f>IFERROR(__xludf.DUMMYFUNCTION("""COMPUTED_VALUE"""),"Design patterns are recognized as a means to improve software maintenance by furnishing an explicit specification of class and object interactions and their underlying intent [Gamma et al. 1995]. Only a few empirical investigations have been conducted to "&amp;"assess whether the kind of documentation for design patterns implemented in source code affects its comprehensibility. To investigate this aspect, we conducted a family of four controlled experiments with 88 participants having different experience (i.e.,"&amp;" professionals and Bachelor, Master, and PhD students). In each experiment, the participants were divided into three groups and asked to comprehend a nontrivial chunk of an open-source software system. Depending on the group, each participant was, or was "&amp;"not, provided with graphical or textual representations of the design patterns implemented within the source code. We graphically documented design-pattern instances with UML class diagrams. Textually documented instances are directly reported source code"&amp;" as comments. Our results indicate that documenting design-pattern instances yields an improvement in correctness of understanding source code for those participants with an adequate level of experience. © 2015 ACM.")</f>
        <v>Design patterns are recognized as a means to improve software maintenance by furnishing an explicit specification of class and object interactions and their underlying intent [Gamma et al. 1995]. Only a few empirical investigations have been conducted to assess whether the kind of documentation for design patterns implemented in source code affects its comprehensibility. To investigate this aspect, we conducted a family of four controlled experiments with 88 participants having different experience (i.e., professionals and Bachelor, Master, and PhD students). In each experiment, the participants were divided into three groups and asked to comprehend a nontrivial chunk of an open-source software system. Depending on the group, each participant was, or was not, provided with graphical or textual representations of the design patterns implemented within the source code. We graphically documented design-pattern instances with UML class diagrams. Textually documented instances are directly reported source code as comments. Our results indicate that documenting design-pattern instances yields an improvement in correctness of understanding source code for those participants with an adequate level of experience. © 2015 ACM.</v>
      </c>
      <c r="H54" s="8" t="str">
        <f>IFERROR(__xludf.DUMMYFUNCTION("""COMPUTED_VALUE"""),"Controlled experiment; Design patterns; Maintenance; Replications; Software models; Source-code comprehension")</f>
        <v>Controlled experiment; Design patterns; Maintenance; Replications; Software models; Source-code comprehension</v>
      </c>
      <c r="I54" s="9" t="b">
        <v>1</v>
      </c>
      <c r="J54" s="10" t="b">
        <v>0</v>
      </c>
      <c r="K54" s="9" t="b">
        <v>1</v>
      </c>
      <c r="L54" s="10" t="b">
        <v>0</v>
      </c>
      <c r="M54" s="10" t="b">
        <v>0</v>
      </c>
      <c r="N54" s="10" t="b">
        <v>0</v>
      </c>
      <c r="O54" s="11" t="b">
        <f t="shared" si="1"/>
        <v>0</v>
      </c>
      <c r="P54" s="16" t="b">
        <v>0</v>
      </c>
      <c r="Q54" s="13" t="s">
        <v>77</v>
      </c>
    </row>
    <row r="55">
      <c r="A55" s="5" t="b">
        <v>1</v>
      </c>
      <c r="B55" s="5" t="s">
        <v>78</v>
      </c>
      <c r="C55" s="6" t="str">
        <f>IFERROR(__xludf.DUMMYFUNCTION("""COMPUTED_VALUE"""),"10.1145/2629457")</f>
        <v>10.1145/2629457</v>
      </c>
      <c r="D55" s="7" t="str">
        <f>IFERROR(__xludf.DUMMYFUNCTION("""COMPUTED_VALUE"""),"Ricca F.; Scanniello G.; Torchiano M.; Reggio G.; Astesiano E.")</f>
        <v>Ricca F.; Scanniello G.; Torchiano M.; Reggio G.; Astesiano E.</v>
      </c>
      <c r="E55" s="7" t="str">
        <f>IFERROR(__xludf.DUMMYFUNCTION("""COMPUTED_VALUE"""),"Assessing the effect of screen mockups on the comprehension of functional requirements")</f>
        <v>Assessing the effect of screen mockups on the comprehension of functional requirements</v>
      </c>
      <c r="F55" s="7" t="str">
        <f>IFERROR(__xludf.DUMMYFUNCTION("""COMPUTED_VALUE"""),"TOSEM")</f>
        <v>TOSEM</v>
      </c>
      <c r="G55" s="7" t="str">
        <f>IFERROR(__xludf.DUMMYFUNCTION("""COMPUTED_VALUE"""),"Over the last few years, the software engineering community has proposed a number of modeling methods to represent functional requirements. Among them, use cases are recognized as an easy to use and intuitive way to capture and define such requirements. S"&amp;"creen mockups (also called user-interface sketches or user interface-mockups) have been proposed as a complement to use cases for improving the comprehension of functional requirements. In this article, we aim at quantifying the benefits achievable by aug"&amp;"menting use cases with screen mockups in the comprehension of functional requirements with respect to effectiveness, effort, and efficiency. For this purpose, we conducted a family of four controlled experiments, involving 139 participants having differen"&amp;"t profiles. The experiments involved comprehension tasks performed on the requirements documents of two desktop applications. Independently from the participants' profile, we found a statistically significant large effect of the presence of screen mockups"&amp;" on both comprehension effectiveness and comprehension task efficiency. No significant effect was observed on the effort to complete tasks. The main pragmatic lesson is that the screen mockups addition to use cases is able to almost double the efficiency "&amp;"of comprehension tasks. © 2014 ACM.")</f>
        <v>Over the last few years, the software engineering community has proposed a number of modeling methods to represent functional requirements. Among them, use cases are recognized as an easy to use and intuitive way to capture and define such requirements. Screen mockups (also called user-interface sketches or user interface-mockups) have been proposed as a complement to use cases for improving the comprehension of functional requirements. In this article, we aim at quantifying the benefits achievable by augmenting use cases with screen mockups in the comprehension of functional requirements with respect to effectiveness, effort, and efficiency. For this purpose, we conducted a family of four controlled experiments, involving 139 participants having different profiles. The experiments involved comprehension tasks performed on the requirements documents of two desktop applications. Independently from the participants' profile, we found a statistically significant large effect of the presence of screen mockups on both comprehension effectiveness and comprehension task efficiency. No significant effect was observed on the effort to complete tasks. The main pragmatic lesson is that the screen mockups addition to use cases is able to almost double the efficiency of comprehension tasks. © 2014 ACM.</v>
      </c>
      <c r="H55" s="8" t="str">
        <f>IFERROR(__xludf.DUMMYFUNCTION("""COMPUTED_VALUE"""),"analysis models; controlled experiment; family of experiments; replicated experiments; Screen mockups; use cases")</f>
        <v>analysis models; controlled experiment; family of experiments; replicated experiments; Screen mockups; use cases</v>
      </c>
      <c r="I55" s="9" t="b">
        <v>1</v>
      </c>
      <c r="J55" s="9" t="b">
        <v>1</v>
      </c>
      <c r="K55" s="9" t="b">
        <v>1</v>
      </c>
      <c r="L55" s="10" t="b">
        <v>0</v>
      </c>
      <c r="M55" s="10" t="b">
        <v>0</v>
      </c>
      <c r="N55" s="10" t="b">
        <v>0</v>
      </c>
      <c r="O55" s="11" t="b">
        <f t="shared" si="1"/>
        <v>1</v>
      </c>
      <c r="P55" s="16" t="b">
        <v>0</v>
      </c>
      <c r="Q55" s="7"/>
    </row>
    <row r="56">
      <c r="A56" s="5" t="b">
        <v>1</v>
      </c>
      <c r="B56" s="5" t="s">
        <v>79</v>
      </c>
      <c r="C56" s="6" t="str">
        <f>IFERROR(__xludf.DUMMYFUNCTION("""COMPUTED_VALUE"""),"10.1145/2430536.2430539")</f>
        <v>10.1145/2430536.2430539</v>
      </c>
      <c r="D56" s="7" t="str">
        <f>IFERROR(__xludf.DUMMYFUNCTION("""COMPUTED_VALUE"""),"Yue T.; Briand L.C.; Labiche Y.")</f>
        <v>Yue T.; Briand L.C.; Labiche Y.</v>
      </c>
      <c r="E56" s="7" t="str">
        <f>IFERROR(__xludf.DUMMYFUNCTION("""COMPUTED_VALUE"""),"Facilitating the transition from use case models to analysis models: Approach and experiments")</f>
        <v>Facilitating the transition from use case models to analysis models: Approach and experiments</v>
      </c>
      <c r="F56" s="7" t="str">
        <f>IFERROR(__xludf.DUMMYFUNCTION("""COMPUTED_VALUE"""),"TOSEM")</f>
        <v>TOSEM</v>
      </c>
      <c r="G56" s="7" t="str">
        <f>IFERROR(__xludf.DUMMYFUNCTION("""COMPUTED_VALUE"""),"Use case modeling, including use case diagrams and use case specifications (UCSs), is commonly applied to structure and document requirements. UCSs are usually structured but unrestricted textual documents complying with a certain use case template. Howev"&amp;"er, because Use Case Models (UCMods) remain essentially textual, ambiguity is inevitably introduced. In this article, we propose a use case modeling approach, called Restricted Use Case Modeling (RUCM), which is composed of a set of well-defined restricti"&amp;"on rules and a modified use case template. The goal is two-fold: (1) restrict the way users can document UCSs in order to reduce ambiguity and (2) facilitate the manual derivation of initial analysis models which, when using the Unified Modeling Language "&amp;"(UML), are typically composed of class diagrams, sequence diagrams, and possibly other types of diagrams. Though the proposed restriction rules and template are based on a clear rationale, two main questions need to be investigated. First, do users find t"&amp;"hem too restrictive or impractical in certain situations? In other words, can users express the same requirements with RUCM as with unrestricted use cases? Second, do the rules and template have a positive, significant impact on the quality of the constru"&amp;"cted analysis models? To investigate these questions, we performed and report on two controlled experiments, which evaluate the restriction rules and use case template in terms of (1) whether they are easy to apply while developing UCMods and facilitate t"&amp;"he understanding of UCSs, and (2) whether they help users manually derive higher quality analysis models than what can be generated when they are not used, in terms of correctness, completeness, and redundancy. This article reports on the first controlled"&amp;" experiments that evaluate the applicability of restriction rules on use case modeling and their impact on the quality of analysis models. The measures we have defined to characterize restriction rules and the quality of analysis class and sequence diagra"&amp;"ms can be reused to perform similar experiments in the future, either with RUCM or other approaches. Results show that the restriction rules are overall easy to apply and that RUCM results into significant improvements over traditional approaches (i.e., w"&amp;"ith standard templates, without restrictions) in terms of class correctness and class diagram completeness, message correctness and sequence diagram completeness, and understandability of UCSs. © 2013 ACM.")</f>
        <v>Use case modeling, including use case diagrams and use case specifications (UCSs), is commonly applied to structure and document requirements. UCSs are usually structured but unrestricted textual documents complying with a certain use case template. However, because Use Case Models (UCMods) remain essentially textual, ambiguity is inevitably introduced. In this article, we propose a use case modeling approach, called Restricted Use Case Modeling (RUCM), which is composed of a set of well-defined restriction rules and a modified use case template. The goal is two-fold: (1) restrict the way users can document UCSs in order to reduce ambiguity and (2) facilitate the manual derivation of initial analysis models which, when using the Unified Modeling Language (UML), are typically composed of class diagrams, sequence diagrams, and possibly other types of diagrams. Though the proposed restriction rules and template are based on a clear rationale, two main questions need to be investigated. First, do users find them too restrictive or impractical in certain situations? In other words, can users express the same requirements with RUCM as with unrestricted use cases? Second, do the rules and template have a positive, significant impact on the quality of the constructed analysis models? To investigate these questions, we performed and report on two controlled experiments, which evaluate the restriction rules and use case template in terms of (1) whether they are easy to apply while developing UCMods and facilitate the understanding of UCSs, and (2) whether they help users manually derive higher quality analysis models than what can be generated when they are not used, in terms of correctness, completeness, and redundancy. This article reports on the first controlled experiments that evaluate the applicability of restriction rules on use case modeling and their impact on the quality of analysis models. The measures we have defined to characterize restriction rules and the quality of analysis class and sequence diagrams can be reused to perform similar experiments in the future, either with RUCM or other approaches. Results show that the restriction rules are overall easy to apply and that RUCM results into significant improvements over traditional approaches (i.e., with standard templates, without restrictions) in terms of class correctness and class diagram completeness, message correctness and sequence diagram completeness, and understandability of UCSs. © 2013 ACM.</v>
      </c>
      <c r="H56" s="8" t="str">
        <f>IFERROR(__xludf.DUMMYFUNCTION("""COMPUTED_VALUE"""),"Design; Documentation; Experimentation; Measurement")</f>
        <v>Design; Documentation; Experimentation; Measurement</v>
      </c>
      <c r="I56" s="9" t="b">
        <v>1</v>
      </c>
      <c r="J56" s="9" t="b">
        <v>1</v>
      </c>
      <c r="K56" s="9" t="b">
        <v>1</v>
      </c>
      <c r="L56" s="10" t="b">
        <v>0</v>
      </c>
      <c r="M56" s="10" t="b">
        <v>0</v>
      </c>
      <c r="N56" s="10" t="b">
        <v>0</v>
      </c>
      <c r="O56" s="11" t="b">
        <f t="shared" si="1"/>
        <v>1</v>
      </c>
      <c r="P56" s="12" t="b">
        <v>0</v>
      </c>
      <c r="Q56" s="13"/>
    </row>
    <row r="57">
      <c r="A57" s="5" t="b">
        <v>1</v>
      </c>
      <c r="B57" s="5" t="s">
        <v>80</v>
      </c>
      <c r="C57" s="6" t="str">
        <f>IFERROR(__xludf.DUMMYFUNCTION("""COMPUTED_VALUE"""),"10.1145/128894.128897")</f>
        <v>10.1145/128894.128897</v>
      </c>
      <c r="D57" s="7" t="str">
        <f>IFERROR(__xludf.DUMMYFUNCTION("""COMPUTED_VALUE"""),"Schneider G.M.; Martin J.; Tsai W.T.")</f>
        <v>Schneider G.M.; Martin J.; Tsai W.T.</v>
      </c>
      <c r="E57" s="7" t="str">
        <f>IFERROR(__xludf.DUMMYFUNCTION("""COMPUTED_VALUE"""),"An Experimental Study of Fault Detection in User Requirements Documents")</f>
        <v>An Experimental Study of Fault Detection in User Requirements Documents</v>
      </c>
      <c r="F57" s="7" t="str">
        <f>IFERROR(__xludf.DUMMYFUNCTION("""COMPUTED_VALUE"""),"TOSEM")</f>
        <v>TOSEM</v>
      </c>
      <c r="G57" s="7" t="str">
        <f>IFERROR(__xludf.DUMMYFUNCTION("""COMPUTED_VALUE"""),"This paper describes a software engineering experiment designed to confirm results from an earlier project which measured fault detection rates in user requirements documents 1992. The experiment described in this paper involves the creation of a standard"&amp;"ized URD with a known number of injected faults of specific type. Nine independent inspection teams were given this URD with instructions to locate as many faults as possible using the N-fold requirements inspection technique developed by the authors. Res"&amp;"ults obtained from this experiment confirm earlier conclusions about the low rate of fault detection in requirements documents using formal inspections and the advantages to be gained using the N-fold inspection method. The experiment also provides new re"&amp;"sults concerning variability in inspection team performance and the relative difficulty of locating different classes of URD faults. © 1992, ACM. All rights reserved.")</f>
        <v>This paper describes a software engineering experiment designed to confirm results from an earlier project which measured fault detection rates in user requirements documents 1992. The experiment described in this paper involves the creation of a standardized URD with a known number of injected faults of specific type. Nine independent inspection teams were given this URD with instructions to locate as many faults as possible using the N-fold requirements inspection technique developed by the authors. Results obtained from this experiment confirm earlier conclusions about the low rate of fault detection in requirements documents using formal inspections and the advantages to be gained using the N-fold inspection method. The experiment also provides new results concerning variability in inspection team performance and the relative difficulty of locating different classes of URD faults. © 1992, ACM. All rights reserved.</v>
      </c>
      <c r="H57" s="8" t="str">
        <f>IFERROR(__xludf.DUMMYFUNCTION("""COMPUTED_VALUE"""),"fault detection; inspections; user requirements")</f>
        <v>fault detection; inspections; user requirements</v>
      </c>
      <c r="I57" s="9" t="b">
        <v>1</v>
      </c>
      <c r="J57" s="9" t="b">
        <v>1</v>
      </c>
      <c r="K57" s="10" t="b">
        <v>0</v>
      </c>
      <c r="L57" s="10" t="b">
        <v>0</v>
      </c>
      <c r="M57" s="10" t="b">
        <v>0</v>
      </c>
      <c r="N57" s="10" t="b">
        <v>0</v>
      </c>
      <c r="O57" s="11" t="b">
        <f t="shared" si="1"/>
        <v>0</v>
      </c>
      <c r="P57" s="16" t="b">
        <v>0</v>
      </c>
      <c r="Q57" s="7"/>
    </row>
    <row r="58">
      <c r="A58" s="5" t="b">
        <v>1</v>
      </c>
      <c r="B58" s="5" t="s">
        <v>81</v>
      </c>
      <c r="C58" s="6" t="str">
        <f>IFERROR(__xludf.DUMMYFUNCTION("""COMPUTED_VALUE"""),"10.1145/2491912")</f>
        <v>10.1145/2491912</v>
      </c>
      <c r="D58" s="7" t="str">
        <f>IFERROR(__xludf.DUMMYFUNCTION("""COMPUTED_VALUE"""),"Scanniello G.; Gravino C.; Genero M.; Cruz-Lemus J.A.; Tortora G.")</f>
        <v>Scanniello G.; Gravino C.; Genero M.; Cruz-Lemus J.A.; Tortora G.</v>
      </c>
      <c r="E58" s="7" t="str">
        <f>IFERROR(__xludf.DUMMYFUNCTION("""COMPUTED_VALUE"""),"On the impact of UML analysis models on source-code comprehensibility and modifiability")</f>
        <v>On the impact of UML analysis models on source-code comprehensibility and modifiability</v>
      </c>
      <c r="F58" s="7" t="str">
        <f>IFERROR(__xludf.DUMMYFUNCTION("""COMPUTED_VALUE"""),"TOSEM")</f>
        <v>TOSEM</v>
      </c>
      <c r="G58" s="7" t="str">
        <f>IFERROR(__xludf.DUMMYFUNCTION("""COMPUTED_VALUE"""),"We carried out a family of experiments to investigate whether the use of UML models produced in the requirements analysis process helps in the comprehensibility and modifiability of source code. The family consists of a controlled experiment and 3 externa"&amp;"l replications carried out with students and professionals from Italy and Spain. 86 participants with different abilities and levels of experience with UML took part. The results of the experiments were integrated through the use of meta-analysis. The res"&amp;"ults of both the individual experiments and meta-analysis indicate that UML models produced in the requirements analysis process influence neither the comprehensibility of source code nor its modifiability. © 2014 ACM.")</f>
        <v>We carried out a family of experiments to investigate whether the use of UML models produced in the requirements analysis process helps in the comprehensibility and modifiability of source code. The family consists of a controlled experiment and 3 external replications carried out with students and professionals from Italy and Spain. 86 participants with different abilities and levels of experience with UML took part. The results of the experiments were integrated through the use of meta-analysis. The results of both the individual experiments and meta-analysis indicate that UML models produced in the requirements analysis process influence neither the comprehensibility of source code nor its modifiability. © 2014 ACM.</v>
      </c>
      <c r="H58" s="8" t="str">
        <f>IFERROR(__xludf.DUMMYFUNCTION("""COMPUTED_VALUE"""),"Analysis models; Comprehensibility; Controlled experiment; Family of experiments; Maintenance; Modifiability; Replicated experiments; UML")</f>
        <v>Analysis models; Comprehensibility; Controlled experiment; Family of experiments; Maintenance; Modifiability; Replicated experiments; UML</v>
      </c>
      <c r="I58" s="9" t="b">
        <v>1</v>
      </c>
      <c r="J58" s="9" t="b">
        <v>1</v>
      </c>
      <c r="K58" s="9" t="b">
        <v>1</v>
      </c>
      <c r="L58" s="10" t="b">
        <v>0</v>
      </c>
      <c r="M58" s="10" t="b">
        <v>0</v>
      </c>
      <c r="N58" s="10" t="b">
        <v>0</v>
      </c>
      <c r="O58" s="11" t="b">
        <f t="shared" si="1"/>
        <v>1</v>
      </c>
      <c r="P58" s="16" t="b">
        <v>0</v>
      </c>
      <c r="Q58" s="7"/>
    </row>
    <row r="59">
      <c r="A59" s="5" t="b">
        <v>1</v>
      </c>
      <c r="B59" s="5" t="s">
        <v>82</v>
      </c>
      <c r="C59" s="6" t="str">
        <f>IFERROR(__xludf.DUMMYFUNCTION("""COMPUTED_VALUE"""),"10.1145/3340108")</f>
        <v>10.1145/3340108</v>
      </c>
      <c r="D59" s="7" t="str">
        <f>IFERROR(__xludf.DUMMYFUNCTION("""COMPUTED_VALUE"""),"De Lara J.; Guerra E.; Ruscio D.D.; Rocco J.D.; Cuadrado J.S.; Iovino L.; Pierantonio A.")</f>
        <v>De Lara J.; Guerra E.; Ruscio D.D.; Rocco J.D.; Cuadrado J.S.; Iovino L.; Pierantonio A.</v>
      </c>
      <c r="E59" s="7" t="str">
        <f>IFERROR(__xludf.DUMMYFUNCTION("""COMPUTED_VALUE"""),"Automated reuse of model transformations through typing requirements models")</f>
        <v>Automated reuse of model transformations through typing requirements models</v>
      </c>
      <c r="F59" s="7" t="str">
        <f>IFERROR(__xludf.DUMMYFUNCTION("""COMPUTED_VALUE"""),"TOSEM")</f>
        <v>TOSEM</v>
      </c>
      <c r="G59" s="7" t="str">
        <f>IFERROR(__xludf.DUMMYFUNCTION("""COMPUTED_VALUE"""),"Model transformations are key elements of model-driven engineering, where they are used to automate the manipulation of models. However, they are typed with respect to concrete source and target meta-models, making their reuse for other (even similar) met"&amp;"a-models challenging. To improve this situation, we propose capturing the typing requirements for reusing a transformation with other meta-models by the notion of a typing requirements model (TRM). A TRM describes the prerequisites that amodel transformat"&amp;"ion imposes on the source and targetmeta-models to obtain a correct typing. The key observation is that any meta-model pair that satisfies the TRM is a valid reuse context for the transformation at hand. A TRM is made of two domain requirement models (DRM"&amp;"s) describing the requirements for the source and target meta-models, and a compatibility model expressing dependencies between them. We define a notion of refinement between DRMs and see meta-models as a special case of DRM. We provide a catalogue of val"&amp;"id refinements and describe how to automatically extract a TRM from an ATL transformation. The approach is supported by our tool TOTEM. We report on two experiments-based on transformations developed by third parties and meta-model mutation techniques-val"&amp;"idating the correctness and completeness of our TRM extraction procedure and confirming the power of TRMs to encode variability and support flexible reuse. © 2019 Association for Computing Machinery.")</f>
        <v>Model transformations are key elements of model-driven engineering, where they are used to automate the manipulation of models. However, they are typed with respect to concrete source and target meta-models, making their reuse for other (even similar) meta-models challenging. To improve this situation, we propose capturing the typing requirements for reusing a transformation with other meta-models by the notion of a typing requirements model (TRM). A TRM describes the prerequisites that amodel transformation imposes on the source and targetmeta-models to obtain a correct typing. The key observation is that any meta-model pair that satisfies the TRM is a valid reuse context for the transformation at hand. A TRM is made of two domain requirement models (DRMs) describing the requirements for the source and target meta-models, and a compatibility model expressing dependencies between them. We define a notion of refinement between DRMs and see meta-models as a special case of DRM. We provide a catalogue of valid refinements and describe how to automatically extract a TRM from an ATL transformation. The approach is supported by our tool TOTEM. We report on two experiments-based on transformations developed by third parties and meta-model mutation techniques-validating the correctness and completeness of our TRM extraction procedure and confirming the power of TRMs to encode variability and support flexible reuse. © 2019 Association for Computing Machinery.</v>
      </c>
      <c r="H59" s="8" t="str">
        <f>IFERROR(__xludf.DUMMYFUNCTION("""COMPUTED_VALUE"""),"ATL; Meta-modelling; Model transformation; Model transformation reuse; Refinement")</f>
        <v>ATL; Meta-modelling; Model transformation; Model transformation reuse; Refinement</v>
      </c>
      <c r="I59" s="9" t="b">
        <v>0</v>
      </c>
      <c r="J59" s="9" t="b">
        <v>1</v>
      </c>
      <c r="K59" s="10" t="b">
        <v>0</v>
      </c>
      <c r="L59" s="10" t="b">
        <v>0</v>
      </c>
      <c r="M59" s="10" t="b">
        <v>0</v>
      </c>
      <c r="N59" s="10" t="b">
        <v>0</v>
      </c>
      <c r="O59" s="11" t="b">
        <f t="shared" si="1"/>
        <v>0</v>
      </c>
      <c r="P59" s="16" t="b">
        <v>0</v>
      </c>
      <c r="Q59" s="7"/>
    </row>
    <row r="60">
      <c r="A60" s="5" t="b">
        <v>1</v>
      </c>
      <c r="B60" s="5" t="s">
        <v>83</v>
      </c>
      <c r="C60" s="6" t="str">
        <f>IFERROR(__xludf.DUMMYFUNCTION("""COMPUTED_VALUE"""),"10.1145/3392093")</f>
        <v>10.1145/3392093</v>
      </c>
      <c r="D60" s="7" t="str">
        <f>IFERROR(__xludf.DUMMYFUNCTION("""COMPUTED_VALUE"""),"Bao L.; Xing Z.; Xia X.; Lo D.; Wu M.; Yang X.")</f>
        <v>Bao L.; Xing Z.; Xia X.; Lo D.; Wu M.; Yang X.</v>
      </c>
      <c r="E60" s="7" t="str">
        <f>IFERROR(__xludf.DUMMYFUNCTION("""COMPUTED_VALUE"""),"Psc2code: Denoising Code Extraction from Programming Screencasts")</f>
        <v>Psc2code: Denoising Code Extraction from Programming Screencasts</v>
      </c>
      <c r="F60" s="7" t="str">
        <f>IFERROR(__xludf.DUMMYFUNCTION("""COMPUTED_VALUE"""),"TOSEM")</f>
        <v>TOSEM</v>
      </c>
      <c r="G60" s="7" t="str">
        <f>IFERROR(__xludf.DUMMYFUNCTION("""COMPUTED_VALUE"""),"Programming screencasts have become a pervasive resource on the Internet, which help developers learn new programming technologies or skills. The source code in programming screencasts is an important and valuable information for developers. But the strea"&amp;"ming nature of programming screencasts (i.e., a sequence of screen-captured images) limits the ways that developers can interact with the source code in the screencasts. Many studies use the Optical Character Recognition (OCR) technique to convert screen "&amp;"images (also referred to as video frames) into textual content, which can then be indexed and searched easily. However, noisy screen images significantly affect the quality of source code extracted by OCR, for example, no-code frames (e.g., PowerPoint sli"&amp;"des, web pages of API specification), non-code regions (e.g., Package Explorer view, Console view), and noisy code regions with code in completion suggestion popups. Furthermore, due to the code characteristics (e.g., long compound identifiers like ItemLi"&amp;"stener), even professional OCR tools cannot extract source code without errors from screen images. The noisy OCRed source code will negatively affect the downstream applications, such as the effective search and navigation of the source code content in pr"&amp;"ogramming screencasts. In this article, we propose an approach named psc2code to denoise the process of extracting source code from programming screencasts. First, psc2code leverages the Convolutional Neural Network (CNN) based image classification to rem"&amp;"ove non-code and noisy-code frames. Then, psc2code performs edge detection and clustering-based image segmentation to detect sub-windows in a code frame, and based on the detected sub-windows, it identifies and crops the screen region that is most likely "&amp;"to be a code editor. Finally, psc2code calls the API of a professional OCR tool to extract source code from the cropped code regions and leverages the OCRed cross-frame information in the programming screencast and the statistical language model of a larg"&amp;"e corpus of source code to correct errors in the OCRed source code. We conduct an experiment on 1,142 programming screencasts from YouTube. We find that our CNN-based image classification technique can effectively remove the non-code and noisy-code frames"&amp;", which achieves an F1-score of 0.95 on the valid code frames. We also find that psc2code can significantly improve the quality of the OCRed source code by truly correcting about half of incorrectly OCRed words. Based on the source code denoised by psc2co"&amp;"de, we implement two applications: (1) a programming screencast search engine; (2) an interaction-enhanced programming screencast watching tool. Based on the source code extracted from the 1,142 collected programming screencasts, our experiments show that"&amp;" our programming screencast search engine achieves the precision@5, 10, and 20 of 0.93, 0.81, and 0.63, respectively. We also conduct a user study of our interaction-enhanced programming screencast watching tool with 10 participants. This user study shows"&amp;" that our interaction-enhanced watching tool can help participants learn the knowledge in the programming video more efficiently and effectively. © 2020 ACM.")</f>
        <v>Programming screencasts have become a pervasive resource on the Internet, which help developers learn new programming technologies or skills. The source code in programming screencasts is an important and valuable information for developers. But the streaming nature of programming screencasts (i.e., a sequence of screen-captured images) limits the ways that developers can interact with the source code in the screencasts. Many studies use the Optical Character Recognition (OCR) technique to convert screen images (also referred to as video frames) into textual content, which can then be indexed and searched easily. However, noisy screen images significantly affect the quality of source code extracted by OCR, for example, no-code frames (e.g., PowerPoint slides, web pages of API specification), non-code regions (e.g., Package Explorer view, Console view), and noisy code regions with code in completion suggestion popups. Furthermore, due to the code characteristics (e.g., long compound identifiers like ItemListener), even professional OCR tools cannot extract source code without errors from screen images. The noisy OCRed source code will negatively affect the downstream applications, such as the effective search and navigation of the source code content in programming screencasts. In this article, we propose an approach named psc2code to denoise the process of extracting source code from programming screencasts. First, psc2code leverages the Convolutional Neural Network (CNN) based image classification to remove non-code and noisy-code frames. Then, psc2code performs edge detection and clustering-based image segmentation to detect sub-windows in a code frame, and based on the detected sub-windows, it identifies and crops the screen region that is most likely to be a code editor. Finally, psc2code calls the API of a professional OCR tool to extract source code from the cropped code regions and leverages the OCRed cross-frame information in the programming screencast and the statistical language model of a large corpus of source code to correct errors in the OCRed source code. We conduct an experiment on 1,142 programming screencasts from YouTube. We find that our CNN-based image classification technique can effectively remove the non-code and noisy-code frames, which achieves an F1-score of 0.95 on the valid code frames. We also find that psc2code can significantly improve the quality of the OCRed source code by truly correcting about half of incorrectly OCRed words. Based on the source code denoised by psc2code, we implement two applications: (1) a programming screencast search engine; (2) an interaction-enhanced programming screencast watching tool. Based on the source code extracted from the 1,142 collected programming screencasts, our experiments show that our programming screencast search engine achieves the precision@5, 10, and 20 of 0.93, 0.81, and 0.63, respectively. We also conduct a user study of our interaction-enhanced programming screencast watching tool with 10 participants. This user study shows that our interaction-enhanced watching tool can help participants learn the knowledge in the programming video more efficiently and effectively. © 2020 ACM.</v>
      </c>
      <c r="H60" s="8" t="str">
        <f>IFERROR(__xludf.DUMMYFUNCTION("""COMPUTED_VALUE"""),"code search; deep learning; Programming videos")</f>
        <v>code search; deep learning; Programming videos</v>
      </c>
      <c r="I60" s="9" t="b">
        <v>0</v>
      </c>
      <c r="J60" s="10" t="b">
        <v>0</v>
      </c>
      <c r="K60" s="10" t="b">
        <v>0</v>
      </c>
      <c r="L60" s="10" t="b">
        <v>0</v>
      </c>
      <c r="M60" s="10" t="b">
        <v>0</v>
      </c>
      <c r="N60" s="10" t="b">
        <v>0</v>
      </c>
      <c r="O60" s="11" t="b">
        <f t="shared" si="1"/>
        <v>0</v>
      </c>
      <c r="P60" s="16" t="b">
        <v>0</v>
      </c>
      <c r="Q60" s="7"/>
    </row>
    <row r="61">
      <c r="A61" s="5" t="b">
        <v>1</v>
      </c>
      <c r="B61" s="5" t="s">
        <v>84</v>
      </c>
      <c r="C61" s="6" t="str">
        <f>IFERROR(__xludf.DUMMYFUNCTION("""COMPUTED_VALUE"""),"10.1109/TSE.2021.3124323")</f>
        <v>10.1109/TSE.2021.3124323</v>
      </c>
      <c r="D61" s="7" t="str">
        <f>IFERROR(__xludf.DUMMYFUNCTION("""COMPUTED_VALUE"""),"Parasaram N.; Barr E.T.; Mechtaev S.")</f>
        <v>Parasaram N.; Barr E.T.; Mechtaev S.</v>
      </c>
      <c r="E61" s="7" t="str">
        <f>IFERROR(__xludf.DUMMYFUNCTION("""COMPUTED_VALUE"""),"Trident: Controlling Side Effects in Automated Program Repair")</f>
        <v>Trident: Controlling Side Effects in Automated Program Repair</v>
      </c>
      <c r="F61" s="7" t="str">
        <f>IFERROR(__xludf.DUMMYFUNCTION("""COMPUTED_VALUE"""),"TSE")</f>
        <v>TSE</v>
      </c>
      <c r="G61" s="7" t="str">
        <f>IFERROR(__xludf.DUMMYFUNCTION("""COMPUTED_VALUE"""),"The goal of program repair is to eliminate a bug in a given program by automatically modifying its source code. The majority of real-world software is written in imperative programming languages. Each function or expression in imperative code may have sid"&amp;"e effects, observable effects beyond returning a value. Existing program repair approaches have a limited ability to handle side effects. Previous test-driven semantic repair approaches only synthesise patches without side effects. Heuristic repair approa"&amp;"ches generate patches with side effects only if suitable code fragments exist in the program or a database of repair patterns, or can be derived from training data. This work introduces Trident, the first test-driven program repair approach that synthesiz"&amp;"es patches with side effects without relying on the plastic surgery hypothesis, a database of patterns, or training data. Trident relies on an interplay of several parts. First, it infers a specification for synthesising side-effected patches using symbol"&amp;"ic execution with a custom state merging strategy that alleviates path explosion due to side effects. Second, it uses a novel component-based patch synthesis approach that supports lvalues, values that appear on the left-hand sides of assignments. In an e"&amp;"valuation on open-source projects, Trident successfully repaired 6 out of 10 real bugs that require insertion of new code with side effects, which previous techniques do not therefore repair. Evaluated on the ManyBugs benchmark, Trident successfully repai"&amp;"red two new bugs that previous approaches could not. Adding patches with side effects to the search space can exacerbate test-overfitting. We experimentally demonstrate that the simple heuristic of preferring patches with the fewest side effects alleviate"&amp;"s the problem. An evaluation on a large number of smaller programs shows that this strategy reduces test-overfitting caused by side-effects, increasing the rate of correct patches from 33.3% to 58.3%.  © 1976-2012 IEEE.")</f>
        <v>The goal of program repair is to eliminate a bug in a given program by automatically modifying its source code. The majority of real-world software is written in imperative programming languages. Each function or expression in imperative code may have side effects, observable effects beyond returning a value. Existing program repair approaches have a limited ability to handle side effects. Previous test-driven semantic repair approaches only synthesise patches without side effects. Heuristic repair approaches generate patches with side effects only if suitable code fragments exist in the program or a database of repair patterns, or can be derived from training data. This work introduces Trident, the first test-driven program repair approach that synthesizes patches with side effects without relying on the plastic surgery hypothesis, a database of patterns, or training data. Trident relies on an interplay of several parts. First, it infers a specification for synthesising side-effected patches using symbolic execution with a custom state merging strategy that alleviates path explosion due to side effects. Second, it uses a novel component-based patch synthesis approach that supports lvalues, values that appear on the left-hand sides of assignments. In an evaluation on open-source projects, Trident successfully repaired 6 out of 10 real bugs that require insertion of new code with side effects, which previous techniques do not therefore repair. Evaluated on the ManyBugs benchmark, Trident successfully repaired two new bugs that previous approaches could not. Adding patches with side effects to the search space can exacerbate test-overfitting. We experimentally demonstrate that the simple heuristic of preferring patches with the fewest side effects alleviates the problem. An evaluation on a large number of smaller programs shows that this strategy reduces test-overfitting caused by side-effects, increasing the rate of correct patches from 33.3% to 58.3%.  © 1976-2012 IEEE.</v>
      </c>
      <c r="H61" s="8" t="str">
        <f>IFERROR(__xludf.DUMMYFUNCTION("""COMPUTED_VALUE"""),"program repair; program synthesis; side effects; symbolic execution")</f>
        <v>program repair; program synthesis; side effects; symbolic execution</v>
      </c>
      <c r="I61" s="9" t="b">
        <v>0</v>
      </c>
      <c r="J61" s="10" t="b">
        <v>0</v>
      </c>
      <c r="K61" s="10" t="b">
        <v>0</v>
      </c>
      <c r="L61" s="10" t="b">
        <v>0</v>
      </c>
      <c r="M61" s="10" t="b">
        <v>0</v>
      </c>
      <c r="N61" s="10" t="b">
        <v>0</v>
      </c>
      <c r="O61" s="11" t="b">
        <f t="shared" si="1"/>
        <v>0</v>
      </c>
      <c r="P61" s="16" t="b">
        <v>0</v>
      </c>
      <c r="Q61" s="7"/>
    </row>
    <row r="62">
      <c r="A62" s="5" t="b">
        <v>1</v>
      </c>
      <c r="B62" s="5" t="s">
        <v>85</v>
      </c>
      <c r="C62" s="6" t="str">
        <f>IFERROR(__xludf.DUMMYFUNCTION("""COMPUTED_VALUE"""),"10.1109/TSE.2019.2901468")</f>
        <v>10.1109/TSE.2019.2901468</v>
      </c>
      <c r="D62" s="7" t="str">
        <f>IFERROR(__xludf.DUMMYFUNCTION("""COMPUTED_VALUE"""),"Scalabrino S.; Bavota G.; Vendome C.; Linares-Vasquez M.; Poshyvanyk D.; Oliveto R.")</f>
        <v>Scalabrino S.; Bavota G.; Vendome C.; Linares-Vasquez M.; Poshyvanyk D.; Oliveto R.</v>
      </c>
      <c r="E62" s="7" t="str">
        <f>IFERROR(__xludf.DUMMYFUNCTION("""COMPUTED_VALUE"""),"Automatically Assessing Code Understandability")</f>
        <v>Automatically Assessing Code Understandability</v>
      </c>
      <c r="F62" s="7" t="str">
        <f>IFERROR(__xludf.DUMMYFUNCTION("""COMPUTED_VALUE"""),"TSE")</f>
        <v>TSE</v>
      </c>
      <c r="G62" s="7" t="str">
        <f>IFERROR(__xludf.DUMMYFUNCTION("""COMPUTED_VALUE"""),"Understanding software is an inherent requirement for many maintenance and evolution tasks. Without a thorough understanding of the code, developers would not be able to fix bugs or add new features timely. Measuring code understandability might be useful"&amp;" to guide developers in writing better code, and could also help in estimating the effort required to modify code components. Unfortunately, there are no metrics designed to assess the understandability of code snippets. In this work, we perform an extens"&amp;"ive evaluation of 121 existing as well as new code-related, documentation-related, and developer-related metrics. We try to (i) correlate each metric with understandability and (ii) build models combining metrics to assess understandability. To do this, w"&amp;"e use 444 human evaluations from 63 developers and we obtained a bold negative result: none of the 121 experimented metrics is able to capture code understandability, not even the ones assumed to assess quality attributes apparently related, such as code "&amp;"readability and complexity. While we observed some improvements while combining metrics in models, their effectiveness is still far from making them suitable for practical applications. Finally, we conducted interviews with five professional developers to"&amp;" understand the factors that influence their ability to understand code snippets, aiming at identifying possible new metrics.  © 1976-2012 IEEE.")</f>
        <v>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v>
      </c>
      <c r="H62" s="8" t="str">
        <f>IFERROR(__xludf.DUMMYFUNCTION("""COMPUTED_VALUE"""),"code understandability; empirical study; negative result; Software metrics")</f>
        <v>code understandability; empirical study; negative result; Software metrics</v>
      </c>
      <c r="I62" s="9" t="b">
        <v>1</v>
      </c>
      <c r="J62" s="10" t="b">
        <v>0</v>
      </c>
      <c r="K62" s="10" t="b">
        <v>0</v>
      </c>
      <c r="L62" s="10" t="b">
        <v>0</v>
      </c>
      <c r="M62" s="10" t="b">
        <v>0</v>
      </c>
      <c r="N62" s="10" t="b">
        <v>0</v>
      </c>
      <c r="O62" s="11" t="b">
        <f t="shared" si="1"/>
        <v>0</v>
      </c>
      <c r="P62" s="16" t="b">
        <v>0</v>
      </c>
      <c r="Q62" s="7"/>
    </row>
    <row r="63">
      <c r="A63" s="5" t="b">
        <v>1</v>
      </c>
      <c r="B63" s="5" t="s">
        <v>86</v>
      </c>
      <c r="C63" s="6" t="str">
        <f>IFERROR(__xludf.DUMMYFUNCTION("""COMPUTED_VALUE"""),"10.1109/TSE.2017.2782813")</f>
        <v>10.1109/TSE.2017.2782813</v>
      </c>
      <c r="D63" s="7" t="str">
        <f>IFERROR(__xludf.DUMMYFUNCTION("""COMPUTED_VALUE"""),"Frey S.; Rashid A.; Anthonysamy P.; Pinto-Albuquerque M.; Naqvi S.A.")</f>
        <v>Frey S.; Rashid A.; Anthonysamy P.; Pinto-Albuquerque M.; Naqvi S.A.</v>
      </c>
      <c r="E63" s="7" t="str">
        <f>IFERROR(__xludf.DUMMYFUNCTION("""COMPUTED_VALUE"""),"The Good, the Bad and the Ugly: A Study of Security Decisions in a Cyber-Physical Systems Game")</f>
        <v>The Good, the Bad and the Ugly: A Study of Security Decisions in a Cyber-Physical Systems Game</v>
      </c>
      <c r="F63" s="7" t="str">
        <f>IFERROR(__xludf.DUMMYFUNCTION("""COMPUTED_VALUE"""),"TSE")</f>
        <v>TSE</v>
      </c>
      <c r="G63" s="7" t="str">
        <f>IFERROR(__xludf.DUMMYFUNCTION("""COMPUTED_VALUE"""),"Stakeholders' security decisions play a fundamental role in determining security requirements, yet, little is currently understood about how different stakeholder groups within an organisation approach security and the drivers and tacit biases underpinnin"&amp;"g their decisions. We studied and contrasted the security decisions of three demographics-security experts, computer scientists and managers-when playing a tabletop game that we designed and developed. The game tasks players with managing the security of "&amp;"a cyber-physical environment while facing various threats. Analysis of 12 groups of players (4 groups in each of our demographics) reveals strategies that repeat in particular demographics, e.g., managers and security experts generally favoring technologi"&amp;"cal solutions over personnel training, which computer scientists preferred. Surprisingly, security experts were not ipso facto better players-in some cases, they made very questionable decisions-yet they showed a higher level of confidence in themselves. "&amp;"We classified players' decision-making processes, i.e., procedure-, experience-, scenario- or intuition-driven. We identified decision patterns, both good practices and typical errors and pitfalls. Our game provides a requirements sandbox in which players"&amp;" can experiment with security risks, learn about decision-making and its consequences, and reflect on their own perception of security. © 1976-2012 IEEE.")</f>
        <v>Stakeholders' security decisions play a fundamental role in determining security requirements, yet, little is currently understood about how different stakeholder groups within an organisation approach security and the drivers and tacit biases underpinning their decisions. We studied and contrasted the security decisions of three demographics-security experts, computer scientists and managers-when playing a tabletop game that we designed and developed. The game tasks players with managing the security of a cyber-physical environment while facing various threats. Analysis of 12 groups of players (4 groups in each of our demographics) reveals strategies that repeat in particular demographics, e.g., managers and security experts generally favoring technological solutions over personnel training, which computer scientists preferred. Surprisingly, security experts were not ipso facto better players-in some cases, they made very questionable decisions-yet they showed a higher level of confidence in themselves. We classified players' decision-making processes, i.e., procedure-, experience-, scenario- or intuition-driven. We identified decision patterns, both good practices and typical errors and pitfalls. Our game provides a requirements sandbox in which players can experiment with security risks, learn about decision-making and its consequences, and reflect on their own perception of security. © 1976-2012 IEEE.</v>
      </c>
      <c r="H63" s="8" t="str">
        <f>IFERROR(__xludf.DUMMYFUNCTION("""COMPUTED_VALUE"""),"decision patterns; game; Security decisions; security requirements")</f>
        <v>decision patterns; game; Security decisions; security requirements</v>
      </c>
      <c r="I63" s="10" t="b">
        <v>0</v>
      </c>
      <c r="J63" s="10" t="b">
        <v>0</v>
      </c>
      <c r="K63" s="10" t="b">
        <v>0</v>
      </c>
      <c r="L63" s="10" t="b">
        <v>0</v>
      </c>
      <c r="M63" s="10" t="b">
        <v>0</v>
      </c>
      <c r="N63" s="10" t="b">
        <v>0</v>
      </c>
      <c r="O63" s="11" t="b">
        <f t="shared" si="1"/>
        <v>0</v>
      </c>
      <c r="P63" s="16" t="b">
        <v>0</v>
      </c>
      <c r="Q63" s="7"/>
    </row>
    <row r="64">
      <c r="A64" s="5" t="b">
        <v>1</v>
      </c>
      <c r="B64" s="5" t="s">
        <v>87</v>
      </c>
      <c r="C64" s="6" t="str">
        <f>IFERROR(__xludf.DUMMYFUNCTION("""COMPUTED_VALUE"""),"10.1109/TSE.2021.3128820")</f>
        <v>10.1109/TSE.2021.3128820</v>
      </c>
      <c r="D64" s="7" t="str">
        <f>IFERROR(__xludf.DUMMYFUNCTION("""COMPUTED_VALUE"""),"Ataiefard F.; Mashhadi M.J.; Hemmati H.; Walkinshaw N.")</f>
        <v>Ataiefard F.; Mashhadi M.J.; Hemmati H.; Walkinshaw N.</v>
      </c>
      <c r="E64" s="7" t="str">
        <f>IFERROR(__xludf.DUMMYFUNCTION("""COMPUTED_VALUE"""),"Deep State Inference: Toward Behavioral Model Inference of Black-Box Software Systems")</f>
        <v>Deep State Inference: Toward Behavioral Model Inference of Black-Box Software Systems</v>
      </c>
      <c r="F64" s="7" t="str">
        <f>IFERROR(__xludf.DUMMYFUNCTION("""COMPUTED_VALUE"""),"TSE")</f>
        <v>TSE</v>
      </c>
      <c r="G64" s="7" t="str">
        <f>IFERROR(__xludf.DUMMYFUNCTION("""COMPUTED_VALUE"""),"Many software engineering tasks, such as testing, debugging, and anomaly detection can benefit from the ability to infer a behavioral model of the software. Most existing inference approaches assume access to code to collect execution sequences. In this p"&amp;"aper, we investigate a black-box scenario, where the system under analysis cannot be instrumented in this fashion. This scenario is particularly common when it comes to the analysis of control system logs, which often take the form of continuous signals. "&amp;"In this situation, an execution trace amounts to a multivariate time-series of input and output signals, where different states of the system correspond to different 'phases' in the time-series. From an inference perspective, the challenge is to detect wh"&amp;"en these phase changes take place. Unfortunately, most existing solutions are either univariate, make assumptions about the data distribution, or have limited learning power. In this paper we propose a hybrid deep neural network that accepts as input a mu"&amp;"ltivariate time series and applies a set of convolutional and recurrent layers to learn the non-linear correlations between signals and the patterns over time. We show how this approach can be used to accurately detect state changes, and how the inferred "&amp;"models can be successfully applied to transfer-learning scenarios, to accurately process traces from different products with similar execution characteristics. Our experimental results on two UAV autopilot case studies (one industrial and one open-source)"&amp;" indicate that our approach is highly accurate (over 90% F1 score for state classification) and significantly improves baselines (by up to 102% for change point detection). Using transfer learning we also show that up to 90% of the maximum achievable F1 s"&amp;"cores in the open-source case study can be achieved by reusing the trained models from the industrial case and only fine tuning them using as low as 5 labeled samples, which reduces the manual labeling effort by 98%.  © 1976-2012 IEEE.")</f>
        <v>Many software engineering tasks, such as testing, debugging, and anomaly detection can benefit from the ability to infer a behavioral model of the software. Most existing inference approaches assume access to code to collect execution sequences. In this paper, we investigate a black-box scenario, where the system under analysis cannot be instrumented in this fashion. This scenario is particularly common when it comes to the analysis of control system logs, which often take the form of continuous signals. In this situation, an execution trace amounts to a multivariate time-series of input and output signals, where different states of the system correspond to different 'phases' in the time-series. From an inference perspective, the challenge is to detect when these phase changes take place. Unfortunately, most existing solutions are either univariate, make assumptions about the data distribution, or have limited learning power. In this paper we propose a hybrid deep neural network that accepts as input a multivariate time series and applies a set of convolutional and recurrent layers to learn the non-linear correlations between signals and the patterns over time. We show how this approach can be used to accurately detect state changes, and how the inferred models can be successfully applied to transfer-learning scenarios, to accurately process traces from different products with similar execution characteristics. Our experimental results on two UAV autopilot case studies (one industrial and one open-source) indicate that our approach is highly accurate (over 90% F1 score for state classification) and significantly improves baselines (by up to 102% for change point detection). Using transfer learning we also show that up to 90% of the maximum achievable F1 scores in the open-source case study can be achieved by reusing the trained models from the industrial case and only fine tuning them using as low as 5 labeled samples, which reduces the manual labeling effort by 98%.  © 1976-2012 IEEE.</v>
      </c>
      <c r="H64" s="8" t="str">
        <f>IFERROR(__xludf.DUMMYFUNCTION("""COMPUTED_VALUE"""),"black-box model inference; convolutional neural network; deep learning; Recurrent neural network; specification mining; time series; transfer learning; UAV AutoPilot")</f>
        <v>black-box model inference; convolutional neural network; deep learning; Recurrent neural network; specification mining; time series; transfer learning; UAV AutoPilot</v>
      </c>
      <c r="I64" s="10" t="b">
        <v>0</v>
      </c>
      <c r="J64" s="10" t="b">
        <v>0</v>
      </c>
      <c r="K64" s="10" t="b">
        <v>0</v>
      </c>
      <c r="L64" s="10" t="b">
        <v>0</v>
      </c>
      <c r="M64" s="10" t="b">
        <v>0</v>
      </c>
      <c r="N64" s="10" t="b">
        <v>0</v>
      </c>
      <c r="O64" s="11" t="b">
        <f t="shared" si="1"/>
        <v>0</v>
      </c>
      <c r="P64" s="16" t="b">
        <v>0</v>
      </c>
      <c r="Q64" s="7"/>
    </row>
    <row r="65">
      <c r="A65" s="5" t="b">
        <v>1</v>
      </c>
      <c r="B65" s="5" t="s">
        <v>88</v>
      </c>
      <c r="C65" s="6" t="str">
        <f>IFERROR(__xludf.DUMMYFUNCTION("""COMPUTED_VALUE"""),"10.1109/TSE.2022.3150333")</f>
        <v>10.1109/TSE.2022.3150333</v>
      </c>
      <c r="D65" s="7" t="str">
        <f>IFERROR(__xludf.DUMMYFUNCTION("""COMPUTED_VALUE"""),"Liu A.; Liu S.")</f>
        <v>Liu A.; Liu S.</v>
      </c>
      <c r="E65" s="7" t="str">
        <f>IFERROR(__xludf.DUMMYFUNCTION("""COMPUTED_VALUE"""),"Enhancing the Capability of Testing-Based Formal Verification by Handling Operations in Software Packages")</f>
        <v>Enhancing the Capability of Testing-Based Formal Verification by Handling Operations in Software Packages</v>
      </c>
      <c r="F65" s="7" t="str">
        <f>IFERROR(__xludf.DUMMYFUNCTION("""COMPUTED_VALUE"""),"TSE")</f>
        <v>TSE</v>
      </c>
      <c r="G65" s="7" t="str">
        <f>IFERROR(__xludf.DUMMYFUNCTION("""COMPUTED_VALUE"""),"Testing a program based on its specification is necessary to ensure that the program meets its desired functionality. Formal methods, based on some mathematical theories, are often used to enhance the quality of systems but suffer from difficulties in app"&amp;"lication. The Testing-Based Formal Verification (TBFV) is proposed as an alternative to ensure the correctness of all traversed program paths, but is limited and impractical due to the lack of the capability of dealing with operations (e.g., methods defin"&amp;"ed in classes) provided in software packages. In this paper, we provide an axiomatic approach to dealing with this problem so as to enhance the capability of the TBFV. In particular, we focus on the Vector, ArrayList, and LinkedList classes in Java. We pr"&amp;"esent both an example to demonstrate how our approach works properly and two small experiments conducted to evaluate the performance of our approach by comparing it with the specification-based testing (SBT). The result shows that our approach is more tha"&amp;"n 30% superior to the SBT in bug detection.  © 2022 IEEE.")</f>
        <v>Testing a program based on its specification is necessary to ensure that the program meets its desired functionality. Formal methods, based on some mathematical theories, are often used to enhance the quality of systems but suffer from difficulties in application. The Testing-Based Formal Verification (TBFV) is proposed as an alternative to ensure the correctness of all traversed program paths, but is limited and impractical due to the lack of the capability of dealing with operations (e.g., methods defined in classes) provided in software packages. In this paper, we provide an axiomatic approach to dealing with this problem so as to enhance the capability of the TBFV. In particular, we focus on the Vector, ArrayList, and LinkedList classes in Java. We present both an example to demonstrate how our approach works properly and two small experiments conducted to evaluate the performance of our approach by comparing it with the specification-based testing (SBT). The result shows that our approach is more than 30% superior to the SBT in bug detection.  © 2022 IEEE.</v>
      </c>
      <c r="H65" s="8" t="str">
        <f>IFERROR(__xludf.DUMMYFUNCTION("""COMPUTED_VALUE"""),"formal verification; Hoare logic; method invocation; Specification; testing")</f>
        <v>formal verification; Hoare logic; method invocation; Specification; testing</v>
      </c>
      <c r="I65" s="9" t="b">
        <v>0</v>
      </c>
      <c r="J65" s="10" t="b">
        <v>0</v>
      </c>
      <c r="K65" s="9" t="b">
        <v>0</v>
      </c>
      <c r="L65" s="10" t="b">
        <v>0</v>
      </c>
      <c r="M65" s="10" t="b">
        <v>0</v>
      </c>
      <c r="N65" s="10" t="b">
        <v>0</v>
      </c>
      <c r="O65" s="11" t="b">
        <f t="shared" si="1"/>
        <v>0</v>
      </c>
      <c r="P65" s="12" t="b">
        <v>0</v>
      </c>
      <c r="Q65" s="13"/>
    </row>
    <row r="66">
      <c r="A66" s="5" t="b">
        <v>1</v>
      </c>
      <c r="B66" s="5" t="s">
        <v>89</v>
      </c>
      <c r="C66" s="6" t="str">
        <f>IFERROR(__xludf.DUMMYFUNCTION("""COMPUTED_VALUE"""),"10.1109/TSE.2018.2790925")</f>
        <v>10.1109/TSE.2018.2790925</v>
      </c>
      <c r="D66" s="7" t="str">
        <f>IFERROR(__xludf.DUMMYFUNCTION("""COMPUTED_VALUE"""),"Chen J.; Nair V.; Krishna R.; Menzies T.")</f>
        <v>Chen J.; Nair V.; Krishna R.; Menzies T.</v>
      </c>
      <c r="E66" s="7" t="str">
        <f>IFERROR(__xludf.DUMMYFUNCTION("""COMPUTED_VALUE"""),"Sampling as a Baseline Optimizer for Search-Based Software Engineering")</f>
        <v>Sampling as a Baseline Optimizer for Search-Based Software Engineering</v>
      </c>
      <c r="F66" s="7" t="str">
        <f>IFERROR(__xludf.DUMMYFUNCTION("""COMPUTED_VALUE"""),"TSE")</f>
        <v>TSE</v>
      </c>
      <c r="G66" s="7" t="str">
        <f>IFERROR(__xludf.DUMMYFUNCTION("""COMPUTED_VALUE"""),"Increasingly, Software Engineering (SE) researchers use search-based optimization techniques to solve SE problems with multiple conflicting objectives. These techniques often apply CPU-intensive evolutionary algorithms to explore generations of mutations "&amp;"to a population of candidate solutions. An alternative approach, proposed in this paper, is to start with a very large population and sample down to just the better solutions. We call this method Sway, short for the sampling way. This paper compares Sway "&amp;"versus state-of-the-art search-based SE tools using seven models: five software product line models; and two other software process control models (concerned with project management, effort estimation, and selection of requirements) during incremental agi"&amp;"le development. For these models, the experiments of this paper show that Sway is competitive with corresponding state-of-the-art evolutionary algorithms while requiring orders of magnitude fewer evaluations. Considering the simplicity and effectiveness o"&amp;"f Sway, we, therefore, propose this approach as a baseline method for search-based software engineering models, especially for models that are very slow to execute. © 1976-2012 IEEE.")</f>
        <v>Increasingly, Software Engineering (SE) researchers use search-based optimization techniques to solve SE problems with multiple conflicting objectives. These techniques often apply CPU-intensive evolutionary algorithms to explore generations of mutations to a population of candidate solutions. An alternative approach, proposed in this paper, is to start with a very large population and sample down to just the better solutions. We call this method Sway, short for the sampling way. This paper compares Sway versus state-of-the-art search-based SE tools using seven models: five software product line models; and two other software process control models (concerned with project management, effort estimation, and selection of requirements) during incremental agile development. For these models, the experiments of this paper show that Sway is competitive with corresponding state-of-the-art evolutionary algorithms while requiring orders of magnitude fewer evaluations. Considering the simplicity and effectiveness of Sway, we, therefore, propose this approach as a baseline method for search-based software engineering models, especially for models that are very slow to execute. © 1976-2012 IEEE.</v>
      </c>
      <c r="H66" s="8" t="str">
        <f>IFERROR(__xludf.DUMMYFUNCTION("""COMPUTED_VALUE"""),"evolutionary algorithms; sampling; Search-based SE")</f>
        <v>evolutionary algorithms; sampling; Search-based SE</v>
      </c>
      <c r="I66" s="9" t="b">
        <v>0</v>
      </c>
      <c r="J66" s="10" t="b">
        <v>0</v>
      </c>
      <c r="K66" s="10" t="b">
        <v>0</v>
      </c>
      <c r="L66" s="10" t="b">
        <v>0</v>
      </c>
      <c r="M66" s="10" t="b">
        <v>0</v>
      </c>
      <c r="N66" s="10" t="b">
        <v>0</v>
      </c>
      <c r="O66" s="11" t="b">
        <f t="shared" si="1"/>
        <v>0</v>
      </c>
      <c r="P66" s="12" t="b">
        <v>0</v>
      </c>
      <c r="Q66" s="7"/>
    </row>
    <row r="67">
      <c r="A67" s="5" t="b">
        <v>1</v>
      </c>
      <c r="B67" s="5" t="s">
        <v>90</v>
      </c>
      <c r="C67" s="6" t="str">
        <f>IFERROR(__xludf.DUMMYFUNCTION("""COMPUTED_VALUE"""),"10.1109/TSE.2008.49")</f>
        <v>10.1109/TSE.2008.49</v>
      </c>
      <c r="D67" s="7" t="str">
        <f>IFERROR(__xludf.DUMMYFUNCTION("""COMPUTED_VALUE"""),"Carver J.C.; Nagappan N.; Page A.")</f>
        <v>Carver J.C.; Nagappan N.; Page A.</v>
      </c>
      <c r="E67" s="7" t="str">
        <f>IFERROR(__xludf.DUMMYFUNCTION("""COMPUTED_VALUE"""),"The impact of educational background on the effectiveness of requirements inspections: An empirical study")</f>
        <v>The impact of educational background on the effectiveness of requirements inspections: An empirical study</v>
      </c>
      <c r="F67" s="7" t="str">
        <f>IFERROR(__xludf.DUMMYFUNCTION("""COMPUTED_VALUE"""),"TSE")</f>
        <v>TSE</v>
      </c>
      <c r="G67" s="7" t="str">
        <f>IFERROR(__xludf.DUMMYFUNCTION("""COMPUTED_VALUE"""),"While the inspection of various software artifacts increases the quality of the end product, the effectiveness of an inspection depends largely on the individual inspectors involved. To address that issue, a large-scale controlled inspection experiment wi"&amp;"th over 70 professionals was conducted at Microsoft Corporation that focused on the relationship between an inspector's background and their effectiveness during a requirements inspection. The results of the study showed that inspectors with university de"&amp;"grees in majors not related to computer science found significantly more defects than those with degrees in computer science majors. We also observed that level of education (Masters, PhD), prior industrial experience or other job related experiences did "&amp;"not significantly impact the effectiveness of an inspector. The only other type of experience that had a significant impact on effectiveness was experience in writing requirements, i.e. professionals with prior experience writing requirements found statis"&amp;"tically significant more defects than their counterparts. © 2008 IEEE.")</f>
        <v>While the inspection of various software artifacts increases the quality of the end product, the effectiveness of an inspection depends largely on the individual inspectors involved. To address that issue, a large-scale controlled inspection experiment with over 70 professionals was conducted at Microsoft Corporation that focused on the relationship between an inspector's background and their effectiveness during a requirements inspection. The results of the study showed that inspectors with university degrees in majors not related to computer science found significantly more defects than those with degrees in computer science majors. We also observed that level of education (Masters, PhD), prior industrial experience or other job related experiences did not significantly impact the effectiveness of an inspector. The only other type of experience that had a significant impact on effectiveness was experience in writing requirements, i.e. professionals with prior experience writing requirements found statistically significant more defects than their counterparts. © 2008 IEEE.</v>
      </c>
      <c r="H67" s="8" t="str">
        <f>IFERROR(__xludf.DUMMYFUNCTION("""COMPUTED_VALUE"""),"Metrics/measurement; Requirements/specifications; Software quality/SQA")</f>
        <v>Metrics/measurement; Requirements/specifications; Software quality/SQA</v>
      </c>
      <c r="I67" s="9" t="b">
        <v>1</v>
      </c>
      <c r="J67" s="9" t="b">
        <v>1</v>
      </c>
      <c r="K67" s="10" t="b">
        <v>0</v>
      </c>
      <c r="L67" s="10" t="b">
        <v>0</v>
      </c>
      <c r="M67" s="10" t="b">
        <v>0</v>
      </c>
      <c r="N67" s="10" t="b">
        <v>0</v>
      </c>
      <c r="O67" s="11" t="b">
        <f t="shared" si="1"/>
        <v>0</v>
      </c>
      <c r="P67" s="16" t="b">
        <v>0</v>
      </c>
      <c r="Q67" s="7"/>
    </row>
    <row r="68">
      <c r="A68" s="5" t="b">
        <v>1</v>
      </c>
      <c r="B68" s="5" t="s">
        <v>91</v>
      </c>
      <c r="C68" s="6" t="str">
        <f>IFERROR(__xludf.DUMMYFUNCTION("""COMPUTED_VALUE"""),"10.1109/TSE.2018.2861735")</f>
        <v>10.1109/TSE.2018.2861735</v>
      </c>
      <c r="D68" s="7" t="str">
        <f>IFERROR(__xludf.DUMMYFUNCTION("""COMPUTED_VALUE"""),"Falessi D.; Roll J.; Guo J.L.C.; Cleland-Huang J.")</f>
        <v>Falessi D.; Roll J.; Guo J.L.C.; Cleland-Huang J.</v>
      </c>
      <c r="E68" s="7" t="str">
        <f>IFERROR(__xludf.DUMMYFUNCTION("""COMPUTED_VALUE"""),"Leveraging historical associations between requirements and source code to identify impacted classes")</f>
        <v>Leveraging historical associations between requirements and source code to identify impacted classes</v>
      </c>
      <c r="F68" s="7" t="str">
        <f>IFERROR(__xludf.DUMMYFUNCTION("""COMPUTED_VALUE"""),"TSE")</f>
        <v>TSE</v>
      </c>
      <c r="G68" s="7" t="str">
        <f>IFERROR(__xludf.DUMMYFUNCTION("""COMPUTED_VALUE"""),"As new requirements are introduced and implemented in a software system, developers must identify the set of source code classes which need to be changed. Therefore, past effort has focused on predicting the set of classes impacted by a requirement. In th"&amp;"is paper, we introduce and evaluate a new type of information based on the intuition that the set of requirements which are associated with historical changes to a specific class are likely to exhibit semantic similarity to new requirements which impact t"&amp;"hat class. This new Requirements to Requirements Set (R2RS) family of metrics captures the semantic similarity between a new requirement and the set of existing requirements previously associated with a class. The aim of this paper is to present and evalu"&amp;"ate the usefulness of R2RS metrics in predicting the set of classes impacted by a requirement. We consider 18 different R2RS metrics by combining six natural language processing techniques to measure the semantic similarity among texts (e.g., VSM) and thr"&amp;"ee distribution scores to compute overall similarity (e.g., average among similarity scores). We evaluate if R2RS is useful for predicting impacted classes in combination and against four other families of metrics that are based upon temporal locality of "&amp;"changes, direct similarity to code, complexity metrics, and code smells. Our evaluation features five classifiers and 78 releases belonging to four large open-source projects, which result in over 700,000 candidate impacted classes. Experimental results s"&amp;"how that leveraging R2RS information increases the accuracy of predicting impacted classes practically by an average of more than 60 percent across the various classifiers and projects. © 1976-2012 IEEE.")</f>
        <v>As new requirements are introduced and implemented in a software system, developers must identify the set of source code classes which need to be changed. Therefore, past effort has focused on predicting the set of classes impacted by a requirement. In this paper, we introduce and evaluate a new type of information based on the intuition that the set of requirements which are associated with historical changes to a specific class are likely to exhibit semantic similarity to new requirements which impact that class. This new Requirements to Requirements Set (R2RS) family of metrics captures the semantic similarity between a new requirement and the set of existing requirements previously associated with a class. The aim of this paper is to present and evaluate the usefulness of R2RS metrics in predicting the set of classes impacted by a requirement. We consider 18 different R2RS metrics by combining six natural language processing techniques to measure the semantic similarity among texts (e.g., VSM) and three distribution scores to compute overall similarity (e.g., average among similarity scores). We evaluate if R2RS is useful for predicting impacted classes in combination and against four other families of metrics that are based upon temporal locality of changes, direct similarity to code, complexity metrics, and code smells. Our evaluation features five classifiers and 78 releases belonging to four large open-source projects, which result in over 700,000 candidate impacted classes. Experimental results show that leveraging R2RS information increases the accuracy of predicting impacted classes practically by an average of more than 60 percent across the various classifiers and projects. © 1976-2012 IEEE.</v>
      </c>
      <c r="H68" s="8" t="str">
        <f>IFERROR(__xludf.DUMMYFUNCTION("""COMPUTED_VALUE"""),"Impact analysis; mining software repositories; traceability")</f>
        <v>Impact analysis; mining software repositories; traceability</v>
      </c>
      <c r="I68" s="10" t="b">
        <v>0</v>
      </c>
      <c r="J68" s="9" t="b">
        <v>1</v>
      </c>
      <c r="K68" s="9" t="b">
        <v>1</v>
      </c>
      <c r="L68" s="10" t="b">
        <v>0</v>
      </c>
      <c r="M68" s="10" t="b">
        <v>0</v>
      </c>
      <c r="N68" s="10" t="b">
        <v>0</v>
      </c>
      <c r="O68" s="11" t="b">
        <f t="shared" si="1"/>
        <v>0</v>
      </c>
      <c r="P68" s="16" t="b">
        <v>0</v>
      </c>
      <c r="Q68" s="17" t="s">
        <v>92</v>
      </c>
    </row>
    <row r="69">
      <c r="A69" s="5" t="b">
        <v>1</v>
      </c>
      <c r="B69" s="5" t="s">
        <v>93</v>
      </c>
      <c r="C69" s="6" t="str">
        <f>IFERROR(__xludf.DUMMYFUNCTION("""COMPUTED_VALUE"""),"10.1109/32.729682")</f>
        <v>10.1109/32.729682</v>
      </c>
      <c r="D69" s="7" t="str">
        <f>IFERROR(__xludf.DUMMYFUNCTION("""COMPUTED_VALUE"""),"Tsang S.; Magill E.H.")</f>
        <v>Tsang S.; Magill E.H.</v>
      </c>
      <c r="E69" s="7" t="str">
        <f>IFERROR(__xludf.DUMMYFUNCTION("""COMPUTED_VALUE"""),"Learning to detect and avoid run-time feature interactions in intelligent networks")</f>
        <v>Learning to detect and avoid run-time feature interactions in intelligent networks</v>
      </c>
      <c r="F69" s="7" t="str">
        <f>IFERROR(__xludf.DUMMYFUNCTION("""COMPUTED_VALUE"""),"TSE")</f>
        <v>TSE</v>
      </c>
      <c r="G69" s="7" t="str">
        <f>IFERROR(__xludf.DUMMYFUNCTION("""COMPUTED_VALUE"""),"The Intelligent Network (IN) allows rapid changes in the services provisioned and their functionality. Services may be supplied by different service providers, making it unlikely that all service specifications will be available for examination by any sin"&amp;"gle agency. Approaches to handle feature interaction problems must be able to operate within these constraints. Work by the authors has produced a generic run-time feature interaction manager (FIM) concept to manage feature interactions in a live network."&amp;" It monitors features as black-boxes, learns their ""correct"" behavior and uses this to determine when feature interactions have occurred. This paper describes and compares experiences using three different techniques to realize the proposed approach. Th"&amp;"ese are: states sequence monitoring, artificial neural networks (ANN), and rule-based monitoring which also includes integrated generic resolution approaches. The paper explores the design alternatives with the various techniques, and reports on the resul"&amp;"ts obtained from experimentation. ©1998 IEEE.")</f>
        <v>The Intelligent Network (IN) allows rapid changes in the services provisioned and their functionality. Services may be supplied by different service providers, making it unlikely that all service specifications will be available for examination by any single agency. Approaches to handle feature interaction problems must be able to operate within these constraints. Work by the authors has produced a generic run-time feature interaction manager (FIM) concept to manage feature interactions in a live network. It monitors features as black-boxes, learns their "correct" behavior and uses this to determine when feature interactions have occurred. This paper describes and compares experiences using three different techniques to realize the proposed approach. These are: states sequence monitoring, artificial neural networks (ANN), and rule-based monitoring which also includes integrated generic resolution approaches. The paper explores the design alternatives with the various techniques, and reports on the results obtained from experimentation. ©1998 IEEE.</v>
      </c>
      <c r="H69" s="8" t="str">
        <f>IFERROR(__xludf.DUMMYFUNCTION("""COMPUTED_VALUE"""),"Artificial neural networks; Feature interaction management; Intelligent networks")</f>
        <v>Artificial neural networks; Feature interaction management; Intelligent networks</v>
      </c>
      <c r="I69" s="10" t="b">
        <v>0</v>
      </c>
      <c r="J69" s="10" t="b">
        <v>0</v>
      </c>
      <c r="K69" s="10" t="b">
        <v>0</v>
      </c>
      <c r="L69" s="10" t="b">
        <v>0</v>
      </c>
      <c r="M69" s="10" t="b">
        <v>0</v>
      </c>
      <c r="N69" s="10" t="b">
        <v>0</v>
      </c>
      <c r="O69" s="11" t="b">
        <f t="shared" si="1"/>
        <v>0</v>
      </c>
      <c r="P69" s="16" t="b">
        <v>0</v>
      </c>
      <c r="Q69" s="7"/>
    </row>
    <row r="70">
      <c r="A70" s="5" t="b">
        <v>1</v>
      </c>
      <c r="B70" s="5" t="s">
        <v>94</v>
      </c>
      <c r="C70" s="6" t="str">
        <f>IFERROR(__xludf.DUMMYFUNCTION("""COMPUTED_VALUE"""),"10.1109/TSE.2021.3112503")</f>
        <v>10.1109/TSE.2021.3112503</v>
      </c>
      <c r="D70" s="7" t="str">
        <f>IFERROR(__xludf.DUMMYFUNCTION("""COMPUTED_VALUE"""),"Mohanani R.; Ralph P.; Turhan B.; Mandic V.")</f>
        <v>Mohanani R.; Ralph P.; Turhan B.; Mandic V.</v>
      </c>
      <c r="E70" s="7" t="str">
        <f>IFERROR(__xludf.DUMMYFUNCTION("""COMPUTED_VALUE"""),"How Templated Requirements Specifications Inhibit Creativity in Software Engineering")</f>
        <v>How Templated Requirements Specifications Inhibit Creativity in Software Engineering</v>
      </c>
      <c r="F70" s="7" t="str">
        <f>IFERROR(__xludf.DUMMYFUNCTION("""COMPUTED_VALUE"""),"TSE")</f>
        <v>TSE</v>
      </c>
      <c r="G70" s="7" t="str">
        <f>IFERROR(__xludf.DUMMYFUNCTION("""COMPUTED_VALUE"""),"Desiderata is a general term for stakeholder needs, desires or preferences. Recent experiments demonstrate that presenting desiderata as templated requirements specifications leads to less creative solutions. However, these experiments do not establish ho"&amp;"w the presentation of desiderata affects design creativity. This study, therefore, aims to explore the cognitive mechanisms by which presenting desiderata as templated requirements specifications reduces creativity during software design. Forty-two softwa"&amp;"re designers, organized into 21 pairs, participated in a dialog-based protocol study. Their interactions were transcribed and the transcripts were analyzed in two ways: (1) using inductive process coding and (2) using an a-priori coding scheme focusing on"&amp;" fixation and critical thinking. Process coding shows that participants exhibited seven categories of behavior: making design moves, uncritically accepting, rejecting, grouping, questioning, assuming and considering quality criteria. Closed coding shows t"&amp;"hat participants tend to accept given requirements and priority levels while rejecting newer, more innovative design ideas. Overall, the results suggest that designers fixate on desiderata presented as templated requirements specifications, hindering crit"&amp;"ical thinking. More precisely, requirements fixation mediates the negative relationship between specification formality and creativity.  © 1976-2012 IEEE.")</f>
        <v>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v>
      </c>
      <c r="H70" s="8" t="str">
        <f>IFERROR(__xludf.DUMMYFUNCTION("""COMPUTED_VALUE"""),"Cognitive bias; critical thinking; fixation; protocol analysis; requirements; requirements engineering; software design")</f>
        <v>Cognitive bias; critical thinking; fixation; protocol analysis; requirements; requirements engineering; software design</v>
      </c>
      <c r="I70" s="9" t="b">
        <v>0</v>
      </c>
      <c r="J70" s="9" t="b">
        <v>1</v>
      </c>
      <c r="K70" s="9" t="b">
        <v>1</v>
      </c>
      <c r="L70" s="10" t="b">
        <v>0</v>
      </c>
      <c r="M70" s="10" t="b">
        <v>0</v>
      </c>
      <c r="N70" s="10" t="b">
        <v>0</v>
      </c>
      <c r="O70" s="11" t="b">
        <f t="shared" si="1"/>
        <v>0</v>
      </c>
      <c r="P70" s="16" t="b">
        <v>0</v>
      </c>
      <c r="Q70" s="7"/>
    </row>
    <row r="71">
      <c r="A71" s="5" t="b">
        <v>1</v>
      </c>
      <c r="B71" s="5" t="s">
        <v>95</v>
      </c>
      <c r="C71" s="6" t="str">
        <f>IFERROR(__xludf.DUMMYFUNCTION("""COMPUTED_VALUE"""),"10.1109/TSE.2011.102")</f>
        <v>10.1109/TSE.2011.102</v>
      </c>
      <c r="D71" s="7" t="str">
        <f>IFERROR(__xludf.DUMMYFUNCTION("""COMPUTED_VALUE"""),"Liu S.; Chen Y.; Nagoya F.; McDermid J.A.")</f>
        <v>Liu S.; Chen Y.; Nagoya F.; McDermid J.A.</v>
      </c>
      <c r="E71" s="7" t="str">
        <f>IFERROR(__xludf.DUMMYFUNCTION("""COMPUTED_VALUE"""),"Formal specification-based inspection for verification of programs")</f>
        <v>Formal specification-based inspection for verification of programs</v>
      </c>
      <c r="F71" s="7" t="str">
        <f>IFERROR(__xludf.DUMMYFUNCTION("""COMPUTED_VALUE"""),"TSE")</f>
        <v>TSE</v>
      </c>
      <c r="G71" s="7" t="str">
        <f>IFERROR(__xludf.DUMMYFUNCTION("""COMPUTED_VALUE"""),"Software inspection is a static analysis technique that is widely used for defect detection, but which suffers from a lack of rigor. In this paper, we address this problem by taking advantage of formal specification and analysis to support a systematic an"&amp;"d rigorous inspection method. The aim of the method is to use inspection to determine whether every functional scenario defined in the specification is implemented correctly by a set of program paths and whether every program path of the program contribut"&amp;"es to the implementation of some functional scenario in the specification. The method is comprised of five steps: deriving functional scenarios from the specification, deriving paths from the program, linking scenarios to paths, analyzing paths against th"&amp;"e corresponding scenarios, and producing an inspection report, and allows for a systematic and automatic generation of a checklist for inspection. We present an example to show how the method can be used, and describe an experiment to evaluate its perform"&amp;"ance by comparing it to perspective-based reading (PBR). The result shows that our method may be more effective in detecting function-related defects than PBR but slightly less effective in detecting implementation-related defects. We also describe a prot"&amp;"otype tool to demonstrate the supportability of the method, and draw some conclusions about our work. © 2012 IEEE.")</f>
        <v>Software inspection is a static analysis technique that is widely used for defect detection, but which suffers from a lack of rigor. In this paper, we address this problem by taking advantage of formal specification and analysis to support a systematic and rigorous inspection method. The aim of the method is to use inspection to determine whether every functional scenario defined in the specification is implemented correctly by a set of program paths and whether every program path of the program contributes to the implementation of some functional scenario in the specification. The method is comprised of five steps: deriving functional scenarios from the specification, deriving paths from the program, linking scenarios to paths, analyzing paths against the corresponding scenarios, and producing an inspection report, and allows for a systematic and automatic generation of a checklist for inspection. We present an example to show how the method can be used, and describe an experiment to evaluate its performance by comparing it to perspective-based reading (PBR). The result shows that our method may be more effective in detecting function-related defects than PBR but slightly less effective in detecting implementation-related defects. We also describe a prototype tool to demonstrate the supportability of the method, and draw some conclusions about our work. © 2012 IEEE.</v>
      </c>
      <c r="H71" s="8" t="str">
        <f>IFERROR(__xludf.DUMMYFUNCTION("""COMPUTED_VALUE"""),"formal specification; program verification; software inspection; Specification-based program inspection")</f>
        <v>formal specification; program verification; software inspection; Specification-based program inspection</v>
      </c>
      <c r="I71" s="10" t="b">
        <v>0</v>
      </c>
      <c r="J71" s="10" t="b">
        <v>0</v>
      </c>
      <c r="K71" s="10" t="b">
        <v>0</v>
      </c>
      <c r="L71" s="10" t="b">
        <v>0</v>
      </c>
      <c r="M71" s="10" t="b">
        <v>0</v>
      </c>
      <c r="N71" s="10" t="b">
        <v>0</v>
      </c>
      <c r="O71" s="11" t="b">
        <f t="shared" si="1"/>
        <v>0</v>
      </c>
      <c r="P71" s="16" t="b">
        <v>0</v>
      </c>
      <c r="Q71" s="7"/>
    </row>
    <row r="72">
      <c r="A72" s="5" t="b">
        <v>1</v>
      </c>
      <c r="B72" s="5" t="s">
        <v>96</v>
      </c>
      <c r="C72" s="6" t="str">
        <f>IFERROR(__xludf.DUMMYFUNCTION("""COMPUTED_VALUE"""),"10.1109/TSE.2023.3331254")</f>
        <v>10.1109/TSE.2023.3331254</v>
      </c>
      <c r="D72" s="7" t="str">
        <f>IFERROR(__xludf.DUMMYFUNCTION("""COMPUTED_VALUE"""),"Babikian A.A.; Semerath O.; Varro D.")</f>
        <v>Babikian A.A.; Semerath O.; Varro D.</v>
      </c>
      <c r="E72" s="7" t="str">
        <f>IFERROR(__xludf.DUMMYFUNCTION("""COMPUTED_VALUE"""),"Concretization of Abstract Traffic Scene Specifications Using Metaheuristic Search")</f>
        <v>Concretization of Abstract Traffic Scene Specifications Using Metaheuristic Search</v>
      </c>
      <c r="F72" s="7" t="str">
        <f>IFERROR(__xludf.DUMMYFUNCTION("""COMPUTED_VALUE"""),"TSE")</f>
        <v>TSE</v>
      </c>
      <c r="G72" s="7" t="str">
        <f>IFERROR(__xludf.DUMMYFUNCTION("""COMPUTED_VALUE"""),"Existing safety assurance approaches for autonomous vehicles (AVs) perform system-level safety evaluation by placing the AV-under-test in challenging traffic scenarios captured by abstract scenario specifications and investigated in realistic traffic simu"&amp;"lators. As a first step towards scenario-based testing of AVs, the initial scene of a traffic scenario must be concretized. In this context, the scene concretization challenge takes as input a high-level specification of abstract traffic scenes and aims t"&amp;"o map them to concrete scenes where exact numeric initial values are defined for each attribute of a vehicle (e.g. position or velocity). In this paper, we propose a traffic scene concretization approach that places vehicles on realistic road maps such th"&amp;"at they satisfy an extensible set of abstract constraints defined by an expressive scene specification language which also supports static detection of inconsistencies. Then, abstract constraints are mapped to corresponding numeric constraints, which are "&amp;"solved by metaheuristic search with customizable objective functions and constraint aggregation strategies. We conduct a series of experiments over three realistic road maps to compare eight configurations of our approach with three variations of the stat"&amp;"e-of-the-art SCENIC tool, and to evaluate its scalability. Authors")</f>
        <v>Existing safety assurance approaches for autonomous vehicles (AVs) perform system-level safety evaluation by placing the AV-under-test in challenging traffic scenarios captured by abstract scenario specifications and investigated in realistic traffic simulators. As a first step towards scenario-based testing of AVs, the initial scene of a traffic scenario must be concretized. In this context, the scene concretization challenge takes as input a high-level specification of abstract traffic scenes and aims to map them to concrete scenes where exact numeric initial values are defined for each attribute of a vehicle (e.g. position or velocity). In this paper, we propose a traffic scene concretization approach that places vehicles on realistic road maps such that they satisfy an extensible set of abstract constraints defined by an expressive scene specification language which also supports static detection of inconsistencies. Then, abstract constraints are mapped to corresponding numeric constraints, which are solved by metaheuristic search with customizable objective functions and constraint aggregation strategies. We conduct a series of experiments over three realistic road maps to compare eight configurations of our approach with three variations of the state-of-the-art SCENIC tool, and to evaluate its scalability. Authors</v>
      </c>
      <c r="H72" s="8" t="str">
        <f>IFERROR(__xludf.DUMMYFUNCTION("""COMPUTED_VALUE"""),"assurance for autonomous vehicles; Behavioral sciences; metaheuristic search; Metaheuristics; Roads; Safety; scenario description language; Specification languages; Standards; Testing; traffic scene concretization")</f>
        <v>assurance for autonomous vehicles; Behavioral sciences; metaheuristic search; Metaheuristics; Roads; Safety; scenario description language; Specification languages; Standards; Testing; traffic scene concretization</v>
      </c>
      <c r="I72" s="10" t="b">
        <v>0</v>
      </c>
      <c r="J72" s="10" t="b">
        <v>0</v>
      </c>
      <c r="K72" s="10" t="b">
        <v>0</v>
      </c>
      <c r="L72" s="10" t="b">
        <v>0</v>
      </c>
      <c r="M72" s="10" t="b">
        <v>0</v>
      </c>
      <c r="N72" s="10" t="b">
        <v>0</v>
      </c>
      <c r="O72" s="11" t="b">
        <f t="shared" si="1"/>
        <v>0</v>
      </c>
      <c r="P72" s="16" t="b">
        <v>0</v>
      </c>
      <c r="Q72" s="7"/>
    </row>
    <row r="73">
      <c r="A73" s="5" t="b">
        <v>1</v>
      </c>
      <c r="B73" s="5" t="s">
        <v>97</v>
      </c>
      <c r="C73" s="6" t="str">
        <f>IFERROR(__xludf.DUMMYFUNCTION("""COMPUTED_VALUE"""),"10.1109/TSE.2020.3022212")</f>
        <v>10.1109/TSE.2020.3022212</v>
      </c>
      <c r="D73" s="7" t="str">
        <f>IFERROR(__xludf.DUMMYFUNCTION("""COMPUTED_VALUE"""),"Teymourian N.; Izadkhah H.; Isazadeh A.")</f>
        <v>Teymourian N.; Izadkhah H.; Isazadeh A.</v>
      </c>
      <c r="E73" s="7" t="str">
        <f>IFERROR(__xludf.DUMMYFUNCTION("""COMPUTED_VALUE"""),"A Fast Clustering Algorithm for Modularization of Large-Scale Software Systems")</f>
        <v>A Fast Clustering Algorithm for Modularization of Large-Scale Software Systems</v>
      </c>
      <c r="F73" s="7" t="str">
        <f>IFERROR(__xludf.DUMMYFUNCTION("""COMPUTED_VALUE"""),"TSE")</f>
        <v>TSE</v>
      </c>
      <c r="G73" s="7" t="str">
        <f>IFERROR(__xludf.DUMMYFUNCTION("""COMPUTED_VALUE"""),"A software system evolves over time in order to meet the needs of users. Understanding a program is the most important step to apply new requirements. Clustering techniques through dividing a program into small and meaningful parts make it possible to und"&amp;"erstand the program. In general, clustering algorithms are classified into two categories: hierarchical and non-hierarchical algorithms (such as search-based approaches). While clustering problems generally tend to be NP-hard, search-based algorithms prod"&amp;"uce acceptable clustering and have time and space constraints and hence they are inefficient in large-scale software systems. Most algorithms which currently used in software clustering fields do not scale well when applied to large and very large applica"&amp;"tions. In this paper, we present a new and fast clustering algorithm, FCA, that can overcome space and time constraints of existing algorithms by performing operations on the dependency matrix and extracting other matrices based on a set of features. The "&amp;"experimental results on ten small-sized applications, ten folders with different functionalities from Mozilla Firefox, a large-sized application (namely ITK), and a very large-sized application (namely Chromium) demonstrate that the proposed algorithm ach"&amp;"ieves higher quality modularization compared with hierarchical algorithms. It can also compete with search-based algorithms and a clustering algorithm based on subsystem patterns. But the running time of the proposed algorithm is much shorter than that of"&amp;" the hierarchical and non-hierarchical algorithms. The source code of the proposed algorithm can be accessed at https://github.com/SoftwareMaintenanceLab.  © 1976-2012 IEEE.")</f>
        <v>A software system evolves over time in order to meet the needs of users. Understanding a program is the most important step to apply new requirements. Clustering techniques through dividing a program into small and meaningful parts make it possible to understand the program. In general, clustering algorithms are classified into two categories: hierarchical and non-hierarchical algorithms (such as search-based approaches). While clustering problems generally tend to be NP-hard, search-based algorithms produce acceptable clustering and have time and space constraints and hence they are inefficient in large-scale software systems. Most algorithms which currently used in software clustering fields do not scale well when applied to large and very large applications. In this paper, we present a new and fast clustering algorithm, FCA, that can overcome space and time constraints of existing algorithms by performing operations on the dependency matrix and extracting other matrices based on a set of features. The experimental results on ten small-sized applications, ten folders with different functionalities from Mozilla Firefox, a large-sized application (namely ITK), and a very large-sized application (namely Chromium) demonstrate that the proposed algorithm achieves higher quality modularization compared with hierarchical algorithms. It can also compete with search-based algorithms and a clustering algorithm based on subsystem patterns. But the running time of the proposed algorithm is much shorter than that of the hierarchical and non-hierarchical algorithms. The source code of the proposed algorithm can be accessed at https://github.com/SoftwareMaintenanceLab.  © 1976-2012 IEEE.</v>
      </c>
      <c r="H73" s="8" t="str">
        <f>IFERROR(__xludf.DUMMYFUNCTION("""COMPUTED_VALUE"""),"architecture recovery; Software clustering; software comprehension; software maintenance; software modularization")</f>
        <v>architecture recovery; Software clustering; software comprehension; software maintenance; software modularization</v>
      </c>
      <c r="I73" s="10" t="b">
        <v>0</v>
      </c>
      <c r="J73" s="10" t="b">
        <v>0</v>
      </c>
      <c r="K73" s="10" t="b">
        <v>0</v>
      </c>
      <c r="L73" s="10" t="b">
        <v>0</v>
      </c>
      <c r="M73" s="10" t="b">
        <v>0</v>
      </c>
      <c r="N73" s="10" t="b">
        <v>0</v>
      </c>
      <c r="O73" s="11" t="b">
        <f t="shared" si="1"/>
        <v>0</v>
      </c>
      <c r="P73" s="16" t="b">
        <v>0</v>
      </c>
      <c r="Q73" s="7"/>
    </row>
    <row r="74">
      <c r="A74" s="5" t="b">
        <v>1</v>
      </c>
      <c r="B74" s="5" t="s">
        <v>98</v>
      </c>
      <c r="C74" s="6" t="str">
        <f>IFERROR(__xludf.DUMMYFUNCTION("""COMPUTED_VALUE"""),"10.1109/32.815328")</f>
        <v>10.1109/32.815328</v>
      </c>
      <c r="D74" s="7" t="str">
        <f>IFERROR(__xludf.DUMMYFUNCTION("""COMPUTED_VALUE"""),"Younis M.F.; Marlowe T.J.; Stoyen A.D.; Tsai G.")</f>
        <v>Younis M.F.; Marlowe T.J.; Stoyen A.D.; Tsai G.</v>
      </c>
      <c r="E74" s="7" t="str">
        <f>IFERROR(__xludf.DUMMYFUNCTION("""COMPUTED_VALUE"""),"Statically safe speculative execution for real-time systems")</f>
        <v>Statically safe speculative execution for real-time systems</v>
      </c>
      <c r="F74" s="7" t="str">
        <f>IFERROR(__xludf.DUMMYFUNCTION("""COMPUTED_VALUE"""),"TSE")</f>
        <v>TSE</v>
      </c>
      <c r="G74" s="7" t="str">
        <f>IFERROR(__xludf.DUMMYFUNCTION("""COMPUTED_VALUE"""),"Deterministic worst-case execution for satisfying hard-real-time constraints, and speculative execution with rollback for improving average-case throughput, appear to lie on opposite ends of a spectrum of performance requirements and strategies. Nonethele"&amp;"ss, we show that there are situations in which speculative execution can improve the performance of a hard real-time system, either by enhancing average performance while not affecting the worst-case, or by actually decreasing the worst-case execution tim"&amp;"e. The paper proposes a set of compiler transformation rules to identify opportunities for speculative execution and transform the code. Moreover, we have conducted an extensive experiment using simulation of randomly generated real-time programs to evalu"&amp;"ate applicability and profitability of speculative execution. The simulation results indicate that speculative execution improves average execution time and program timeliness. Finally, a prototype implementation is described in which these transformation"&amp;"s have been evaluated for realistic applications.")</f>
        <v>Deterministic worst-case execution for satisfying hard-real-time constraints, and speculative execution with rollback for improving average-case throughput, appear to lie on opposite ends of a spectrum of performance requirements and strategies. Nonetheless, we show that there are situations in which speculative execution can improve the performance of a hard real-time system, either by enhancing average performance while not affecting the worst-case, or by actually decreasing the worst-case execution time. The paper proposes a set of compiler transformation rules to identify opportunities for speculative execution and transform the code. Moreover, we have conducted an extensive experiment using simulation of randomly generated real-time programs to evaluate applicability and profitability of speculative execution. The simulation results indicate that speculative execution improves average execution time and program timeliness. Finally, a prototype implementation is described in which these transformations have been evaluated for realistic applications.</v>
      </c>
      <c r="H74" s="8"/>
      <c r="I74" s="10" t="b">
        <v>0</v>
      </c>
      <c r="J74" s="10" t="b">
        <v>0</v>
      </c>
      <c r="K74" s="10" t="b">
        <v>0</v>
      </c>
      <c r="L74" s="10" t="b">
        <v>0</v>
      </c>
      <c r="M74" s="10" t="b">
        <v>0</v>
      </c>
      <c r="N74" s="10" t="b">
        <v>0</v>
      </c>
      <c r="O74" s="11" t="b">
        <f t="shared" si="1"/>
        <v>0</v>
      </c>
      <c r="P74" s="16" t="b">
        <v>0</v>
      </c>
      <c r="Q74" s="7"/>
    </row>
    <row r="75">
      <c r="A75" s="5" t="b">
        <v>1</v>
      </c>
      <c r="B75" s="5" t="s">
        <v>99</v>
      </c>
      <c r="C75" s="6" t="str">
        <f>IFERROR(__xludf.DUMMYFUNCTION("""COMPUTED_VALUE"""),"10.1109/TSE.2015.2476797")</f>
        <v>10.1109/TSE.2015.2476797</v>
      </c>
      <c r="D75" s="7" t="str">
        <f>IFERROR(__xludf.DUMMYFUNCTION("""COMPUTED_VALUE"""),"Caporuscio M.; Grassi V.; Marzolla M.; Mirandola R.")</f>
        <v>Caporuscio M.; Grassi V.; Marzolla M.; Mirandola R.</v>
      </c>
      <c r="E75" s="7" t="str">
        <f>IFERROR(__xludf.DUMMYFUNCTION("""COMPUTED_VALUE"""),"GoPrime: A Fully Decentralized Middleware for Utility-Aware Service Assembly")</f>
        <v>GoPrime: A Fully Decentralized Middleware for Utility-Aware Service Assembly</v>
      </c>
      <c r="F75" s="7" t="str">
        <f>IFERROR(__xludf.DUMMYFUNCTION("""COMPUTED_VALUE"""),"TSE")</f>
        <v>TSE</v>
      </c>
      <c r="G75" s="7" t="str">
        <f>IFERROR(__xludf.DUMMYFUNCTION("""COMPUTED_VALUE"""),"Modern applications, e.g., for pervasive computing scenarios, are increasingly reliant on systems built from multiple distributed components, which must be suitably composed to meet some specified functional and non-functional requirements. A key challeng"&amp;"e is how to efficiently and effectively manage such complex systems. The use of self-management capabilities has been suggested as a possible way to address this challenge. To cope with the scalability and robustness issues of large distributed systems, s"&amp;"elf-management should ideally be architected in a decentralized way, where the overall system behavior emerges from local decisions and interactions. Within this context, we propose GoPrime, a fully decentralized middleware solution for the adaptive self-"&amp;"assembly of distributed services. The GoPrime goal is to build and maintain an assembly of services that, besides functional requirements, fulfils also global quality-of-service and structural requirements. The key aspect of GoPrime is the use of a gossip"&amp;" protocol to achieve decentralized information dissemination and decision making. To show the validity of our approach, we present results from the experimentation of a prototype implementation of GoPrime in a mobile health application, and an extensive s"&amp;"et of simulation experiments that assess the effectiveness of GoPrime in terms of scalability, robustness and convergence speed. © 2015 IEEE.")</f>
        <v>Modern applications, e.g., for pervasive computing scenarios, are increasingly reliant on systems built from multiple distributed components, which must be suitably composed to meet some specified functional and non-functional requirements. A key challenge is how to efficiently and effectively manage such complex systems. The use of self-management capabilities has been suggested as a possible way to address this challenge. To cope with the scalability and robustness issues of large distributed systems, self-management should ideally be architected in a decentralized way, where the overall system behavior emerges from local decisions and interactions. Within this context, we propose GoPrime, a fully decentralized middleware solution for the adaptive self-assembly of distributed services. The GoPrime goal is to build and maintain an assembly of services that, besides functional requirements, fulfils also global quality-of-service and structural requirements. The key aspect of GoPrime is the use of a gossip protocol to achieve decentralized information dissemination and decision making. To show the validity of our approach, we present results from the experimentation of a prototype implementation of GoPrime in a mobile health application, and an extensive set of simulation experiments that assess the effectiveness of GoPrime in terms of scalability, robustness and convergence speed. © 2015 IEEE.</v>
      </c>
      <c r="H75" s="8" t="str">
        <f>IFERROR(__xludf.DUMMYFUNCTION("""COMPUTED_VALUE"""),"gossip protocol; pervasive computing; quality of service; runtime adaptation; Service-oriented architecture")</f>
        <v>gossip protocol; pervasive computing; quality of service; runtime adaptation; Service-oriented architecture</v>
      </c>
      <c r="I75" s="10" t="b">
        <v>0</v>
      </c>
      <c r="J75" s="10" t="b">
        <v>0</v>
      </c>
      <c r="K75" s="10" t="b">
        <v>0</v>
      </c>
      <c r="L75" s="10" t="b">
        <v>0</v>
      </c>
      <c r="M75" s="10" t="b">
        <v>0</v>
      </c>
      <c r="N75" s="10" t="b">
        <v>0</v>
      </c>
      <c r="O75" s="11" t="b">
        <f t="shared" si="1"/>
        <v>0</v>
      </c>
      <c r="P75" s="16" t="b">
        <v>0</v>
      </c>
      <c r="Q75" s="7"/>
    </row>
    <row r="76">
      <c r="A76" s="5" t="b">
        <v>1</v>
      </c>
      <c r="B76" s="5" t="s">
        <v>100</v>
      </c>
      <c r="C76" s="6" t="str">
        <f>IFERROR(__xludf.DUMMYFUNCTION("""COMPUTED_VALUE"""),"10.1109/TSE.2022.3228308")</f>
        <v>10.1109/TSE.2022.3228308</v>
      </c>
      <c r="D76" s="7" t="str">
        <f>IFERROR(__xludf.DUMMYFUNCTION("""COMPUTED_VALUE"""),"Schafer B.; Van Der Aa H.; Leopold H.; Stuckenschmidt H.")</f>
        <v>Schafer B.; Van Der Aa H.; Leopold H.; Stuckenschmidt H.</v>
      </c>
      <c r="E76" s="7" t="str">
        <f>IFERROR(__xludf.DUMMYFUNCTION("""COMPUTED_VALUE"""),"Sketch2Process: End-to-End BPMN Sketch Recognition Based on Neural Networks")</f>
        <v>Sketch2Process: End-to-End BPMN Sketch Recognition Based on Neural Networks</v>
      </c>
      <c r="F76" s="7" t="str">
        <f>IFERROR(__xludf.DUMMYFUNCTION("""COMPUTED_VALUE"""),"TSE")</f>
        <v>TSE</v>
      </c>
      <c r="G76" s="7" t="str">
        <f>IFERROR(__xludf.DUMMYFUNCTION("""COMPUTED_VALUE"""),"Process models play an important role in various software engineering contexts. Among others, they are used to capture business-related requirements and provide the basis for the development of process-oriented applications in low-code/no-code settings. T"&amp;"o support modelers in creating, checking, and maintaining process models, dedicated tools are available. While these tools are generally considered as indispensable to capture process models for their later use, the initial version of a process model is o"&amp;"ften sketched on a whiteboard or a piece of paper. This has been found to have great advantages, especially with respect to communication and collaboration. It, however, also creates the need to subsequently transform the model sketch into a digital count"&amp;"erpart that can be further processed by modeling and analysis tools. Therefore, to automate this task, various so-called sketch recognition approaches have been defined in the past. Yet, these existing approaches are too limited for use in practice, since"&amp;" they, for instance, require sketches to be created on a digital device or do not address the recognition of edges or textual labels. Against this background, we use this paper to introduce Sketch2Process, the first end-to-end sketch recognition approach "&amp;"for process models captured using BPMN. Sketch2Process uses a neural network-based architecture to recognize the shapes, edges, and textual labels of highly expressive process models, covering 25 types of BPMN elements. To train and evaluate our approach,"&amp;" we created a dataset consisting of 704 hand-drawn and manually annotated BPMN models. Our experiments demonstrate that our approach is highly accurate and consistently outperforms the state of the art.  © 1976-2012 IEEE.")</f>
        <v>Process models play an important role in various software engineering contexts. Among others, they are used to capture business-related requirements and provide the basis for the development of process-oriented applications in low-code/no-code settings. To support modelers in creating, checking, and maintaining process models, dedicated tools are available. While these tools are generally considered as indispensable to capture process models for their later use, the initial version of a process model is often sketched on a whiteboard or a piece of paper. This has been found to have great advantages, especially with respect to communication and collaboration. It, however, also creates the need to subsequently transform the model sketch into a digital counterpart that can be further processed by modeling and analysis tools. Therefore, to automate this task, various so-called sketch recognition approaches have been defined in the past. Yet, these existing approaches are too limited for use in practice, since they, for instance, require sketches to be created on a digital device or do not address the recognition of edges or textual labels. Against this background, we use this paper to introduce Sketch2Process, the first end-to-end sketch recognition approach for process models captured using BPMN. Sketch2Process uses a neural network-based architecture to recognize the shapes, edges, and textual labels of highly expressive process models, covering 25 types of BPMN elements. To train and evaluate our approach, we created a dataset consisting of 704 hand-drawn and manually annotated BPMN models. Our experiments demonstrate that our approach is highly accurate and consistently outperforms the state of the art.  © 1976-2012 IEEE.</v>
      </c>
      <c r="H76" s="8" t="str">
        <f>IFERROR(__xludf.DUMMYFUNCTION("""COMPUTED_VALUE"""),"business process modeling; graphics recognition and interpretation; Requirements engineering")</f>
        <v>business process modeling; graphics recognition and interpretation; Requirements engineering</v>
      </c>
      <c r="I76" s="10" t="b">
        <v>0</v>
      </c>
      <c r="J76" s="10" t="b">
        <v>0</v>
      </c>
      <c r="K76" s="10" t="b">
        <v>0</v>
      </c>
      <c r="L76" s="10" t="b">
        <v>0</v>
      </c>
      <c r="M76" s="10" t="b">
        <v>0</v>
      </c>
      <c r="N76" s="10" t="b">
        <v>0</v>
      </c>
      <c r="O76" s="11" t="b">
        <f t="shared" si="1"/>
        <v>0</v>
      </c>
      <c r="P76" s="16" t="b">
        <v>0</v>
      </c>
      <c r="Q76" s="7"/>
    </row>
    <row r="77">
      <c r="A77" s="5" t="b">
        <v>1</v>
      </c>
      <c r="B77" s="5" t="s">
        <v>101</v>
      </c>
      <c r="C77" s="6" t="str">
        <f>IFERROR(__xludf.DUMMYFUNCTION("""COMPUTED_VALUE"""),"10.1109/TSE.2015.2510633")</f>
        <v>10.1109/TSE.2015.2510633</v>
      </c>
      <c r="D77" s="7" t="str">
        <f>IFERROR(__xludf.DUMMYFUNCTION("""COMPUTED_VALUE"""),"Marchetto A.; Islam M.M.; Asghar W.; Susi A.; Scanniello G.")</f>
        <v>Marchetto A.; Islam M.M.; Asghar W.; Susi A.; Scanniello G.</v>
      </c>
      <c r="E77" s="7" t="str">
        <f>IFERROR(__xludf.DUMMYFUNCTION("""COMPUTED_VALUE"""),"A Multi-Objective Technique to Prioritize Test Cases")</f>
        <v>A Multi-Objective Technique to Prioritize Test Cases</v>
      </c>
      <c r="F77" s="7" t="str">
        <f>IFERROR(__xludf.DUMMYFUNCTION("""COMPUTED_VALUE"""),"TSE")</f>
        <v>TSE</v>
      </c>
      <c r="G77" s="7" t="str">
        <f>IFERROR(__xludf.DUMMYFUNCTION("""COMPUTED_VALUE"""),"While performing regression testing, an appropriate choice for test case ordering allows the tester to early discover faults in source code. To this end, test case prioritization techniques can be used. Several existing test case prioritization techniques"&amp;" leave out the execution cost of test cases and exploit a single objective function (e.g., code or requirements coverage). In this paper, we present a multi-objective test case prioritization technique that determines the ordering of test cases that maxim"&amp;"ize the number of discovered faults that are both technical and business critical. In other words, our new technique aims at both early discovering faults and reducing the execution cost of test cases. To this end, we automatically recover links among sof"&amp;"tware artifacts (i.e., requirements specifications, test cases, and source code) and apply a metric-based approach to automatically identify critical and fault-prone portions of software artifacts, thus becoming able to give them more importance during te"&amp;"st case prioritization. We experimentally evaluated our technique on 21 Java applications. The obtained results support our hypotheses on efficiency and effectiveness of our new technique and on the use of automatic artifacts analysis and weighting in tes"&amp;"t case prioritization. © 2015 IEEE.")</f>
        <v>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 © 2015 IEEE.</v>
      </c>
      <c r="H77" s="8" t="str">
        <f>IFERROR(__xludf.DUMMYFUNCTION("""COMPUTED_VALUE"""),"Regression testing; requirements; test case prioritization; testing")</f>
        <v>Regression testing; requirements; test case prioritization; testing</v>
      </c>
      <c r="I77" s="10" t="b">
        <v>0</v>
      </c>
      <c r="J77" s="10" t="b">
        <v>0</v>
      </c>
      <c r="K77" s="10" t="b">
        <v>0</v>
      </c>
      <c r="L77" s="10" t="b">
        <v>0</v>
      </c>
      <c r="M77" s="10" t="b">
        <v>0</v>
      </c>
      <c r="N77" s="10" t="b">
        <v>0</v>
      </c>
      <c r="O77" s="11" t="b">
        <f t="shared" si="1"/>
        <v>0</v>
      </c>
      <c r="P77" s="16" t="b">
        <v>0</v>
      </c>
      <c r="Q77" s="17" t="s">
        <v>102</v>
      </c>
    </row>
    <row r="78">
      <c r="A78" s="5" t="b">
        <v>1</v>
      </c>
      <c r="B78" s="5" t="s">
        <v>103</v>
      </c>
      <c r="C78" s="6" t="str">
        <f>IFERROR(__xludf.DUMMYFUNCTION("""COMPUTED_VALUE"""),"10.1109/TSE.2008.63")</f>
        <v>10.1109/TSE.2008.63</v>
      </c>
      <c r="D78" s="7" t="str">
        <f>IFERROR(__xludf.DUMMYFUNCTION("""COMPUTED_VALUE"""),"Shoham S.; Yahav E.; Fink S.J.; Pistoia M.")</f>
        <v>Shoham S.; Yahav E.; Fink S.J.; Pistoia M.</v>
      </c>
      <c r="E78" s="7" t="str">
        <f>IFERROR(__xludf.DUMMYFUNCTION("""COMPUTED_VALUE"""),"Static specification mining using automata-based abstractions")</f>
        <v>Static specification mining using automata-based abstractions</v>
      </c>
      <c r="F78" s="7" t="str">
        <f>IFERROR(__xludf.DUMMYFUNCTION("""COMPUTED_VALUE"""),"TSE")</f>
        <v>TSE</v>
      </c>
      <c r="G78" s="7" t="str">
        <f>IFERROR(__xludf.DUMMYFUNCTION("""COMPUTED_VALUE"""),"We present a novel approach to client-side mining of temporal API specifications based on static analysis. Specifically, we present an interprocedural analysis over a combined domain that abstracts both aliasing and event sequences for individual objects."&amp;" The analysis uses a new family of automata-based abstractions to represent unbounded event sequences, designed to disambiguate distinct usage patterns and merge similar usage patterns. Additionally, our approach includes an algorithm that summarizes abst"&amp;"ract traces based on automata clusters, and effectively rules out spurious behaviors. We show experimental results mining specifications from a number of Java clients and APIs. The results indicate that effective static analysis for client-side mining req"&amp;"uires fairly precise treatment of aliasing and abstract event sequences. Based on the results, we conclude that static client-side specification mining shows promise as a complement or alternative to dynamic approaches. © 2008 IEEE.")</f>
        <v>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 © 2008 IEEE.</v>
      </c>
      <c r="H78" s="8" t="str">
        <f>IFERROR(__xludf.DUMMYFUNCTION("""COMPUTED_VALUE"""),"Specification mining; Static analysis; Typestate")</f>
        <v>Specification mining; Static analysis; Typestate</v>
      </c>
      <c r="I78" s="10" t="b">
        <v>0</v>
      </c>
      <c r="J78" s="10" t="b">
        <v>0</v>
      </c>
      <c r="K78" s="10" t="b">
        <v>0</v>
      </c>
      <c r="L78" s="10" t="b">
        <v>0</v>
      </c>
      <c r="M78" s="10" t="b">
        <v>0</v>
      </c>
      <c r="N78" s="10" t="b">
        <v>0</v>
      </c>
      <c r="O78" s="11" t="b">
        <f t="shared" si="1"/>
        <v>0</v>
      </c>
      <c r="P78" s="16" t="b">
        <v>0</v>
      </c>
      <c r="Q78" s="7"/>
    </row>
    <row r="79">
      <c r="A79" s="5" t="b">
        <v>1</v>
      </c>
      <c r="B79" s="5" t="s">
        <v>104</v>
      </c>
      <c r="C79" s="6" t="str">
        <f>IFERROR(__xludf.DUMMYFUNCTION("""COMPUTED_VALUE"""),"10.1109/TSE.2020.3027522")</f>
        <v>10.1109/TSE.2020.3027522</v>
      </c>
      <c r="D79" s="7" t="str">
        <f>IFERROR(__xludf.DUMMYFUNCTION("""COMPUTED_VALUE"""),"Papis B.; Grochowski K.; Subzda K.; Sijko K.")</f>
        <v>Papis B.; Grochowski K.; Subzda K.; Sijko K.</v>
      </c>
      <c r="E79" s="7" t="str">
        <f>IFERROR(__xludf.DUMMYFUNCTION("""COMPUTED_VALUE"""),"Experimental Evaluation of Test-Driven Development With Interns Working on a Real Industrial Project")</f>
        <v>Experimental Evaluation of Test-Driven Development With Interns Working on a Real Industrial Project</v>
      </c>
      <c r="F79" s="7" t="str">
        <f>IFERROR(__xludf.DUMMYFUNCTION("""COMPUTED_VALUE"""),"TSE")</f>
        <v>TSE</v>
      </c>
      <c r="G79" s="7" t="str">
        <f>IFERROR(__xludf.DUMMYFUNCTION("""COMPUTED_VALUE"""),"Context: There is still little evidence on differences between Test-Driven Development and Test-Last Development, especially for real-world projects, so their impact on code/test quality is an ongoing research trend. An empirical comparison is presented, "&amp;"with 19 participants working on an industrial project developed for an energy market software company, implementing real-world requirements for one of the company's customers. Objective: Examine the impact of TDD and TLD on quality of the code and the tes"&amp;"ts. The aim is to evaluate if there is a significant difference in external code quality and test quality between these techniques. Method: The experiment is based on a randomized within-subjects block design, with participants working for three months on"&amp;" the same requirements using different techniques, changed from week to week, within three different competence blocks: Intermediate, Novice and Mixed. The resulting code was verified for process conformance. The participants developed only business logic"&amp;" and were separated from infrastructural concerns. A separate group of code repositories was used to work without unit tests, to verify that the requirements were not too easy for the participants. Also, it was analysed if there is any difference between "&amp;"the code created by shared efforts of developers with different competences and the code created by participants isolated in the competence blocks. The resulting implementations had LOC order of magnitude of 10k. Results: Statistically significant advanta"&amp;"ge of TDD in terms of external code quality (1.8 fewer bugs) and test quality (5 percentage points higher) than TLD. Additionally, TDD narrows the gap in code coverage between developers from different competence blocks. At the same time, TDD proved to ha"&amp;"ve a considerable entry barrier and was hard to follow strictly, especially by Novices. Still, no significant difference w.r.t. code coverage has been observed between the Intermediate and the Novice developers - as opposed to TLD, which was easier to fol"&amp;"low. Lastly, isolating the Intermediate developers from the Novices had significant impact on the code quality. Conclusion:TDD is a recommended technique for software projects with a long horizon or when it is critical to minimize the number of bugs and a"&amp;"chieve high code coverage.  © 1976-2012 IEEE.")</f>
        <v>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v>
      </c>
      <c r="H79" s="8" t="str">
        <f>IFERROR(__xludf.DUMMYFUNCTION("""COMPUTED_VALUE"""),"Empirical software engineering; iterative test last development; Test driven development")</f>
        <v>Empirical software engineering; iterative test last development; Test driven development</v>
      </c>
      <c r="I79" s="9" t="b">
        <v>1</v>
      </c>
      <c r="J79" s="9" t="b">
        <v>1</v>
      </c>
      <c r="K79" s="9" t="b">
        <v>1</v>
      </c>
      <c r="L79" s="10" t="b">
        <v>0</v>
      </c>
      <c r="M79" s="10" t="b">
        <v>0</v>
      </c>
      <c r="N79" s="10" t="b">
        <v>0</v>
      </c>
      <c r="O79" s="11" t="b">
        <f t="shared" si="1"/>
        <v>1</v>
      </c>
      <c r="P79" s="16" t="b">
        <v>0</v>
      </c>
      <c r="Q79" s="7"/>
    </row>
    <row r="80">
      <c r="A80" s="5" t="b">
        <v>1</v>
      </c>
      <c r="B80" s="5" t="s">
        <v>105</v>
      </c>
      <c r="C80" s="6" t="str">
        <f>IFERROR(__xludf.DUMMYFUNCTION("""COMPUTED_VALUE"""),"10.1109/TSE.2020.3014394")</f>
        <v>10.1109/TSE.2020.3014394</v>
      </c>
      <c r="D80" s="7" t="str">
        <f>IFERROR(__xludf.DUMMYFUNCTION("""COMPUTED_VALUE"""),"Kallehbasti M.M.P.; Rossi M.; Baresi L.")</f>
        <v>Kallehbasti M.M.P.; Rossi M.; Baresi L.</v>
      </c>
      <c r="E80" s="7" t="str">
        <f>IFERROR(__xludf.DUMMYFUNCTION("""COMPUTED_VALUE"""),"On How Bit-Vector Logic Can Help Verify LTL-Based Specifications")</f>
        <v>On How Bit-Vector Logic Can Help Verify LTL-Based Specifications</v>
      </c>
      <c r="F80" s="7" t="str">
        <f>IFERROR(__xludf.DUMMYFUNCTION("""COMPUTED_VALUE"""),"TSE")</f>
        <v>TSE</v>
      </c>
      <c r="G80" s="7" t="str">
        <f>IFERROR(__xludf.DUMMYFUNCTION("""COMPUTED_VALUE"""),"This paper studies how bit-vector logic (bv logic) can help improve the efficiency of verifying specifications expressed in Linear Temporal Logic (LTL). First, it exploits the notion of Bounded Satisfiability Checking to propose an improved encoding of LT"&amp;"L formulae into formulae of bv logic, which can be formally verified by means of Satisfiability Modulo Theories (SMT) solvers. To assess the gain in efficiency, we compare the proposed encoding, implemented in our tool $\mathbb {Z}$Zot, against three well"&amp;"-known encodings available in the literature: the classic bounded encoding and the optimized, incremental one, as implemented in both NuSMV and nuXmv, and the encoding optimized for metric temporal logic, which was the 'standard' implementation provided b"&amp;"y $\mathbb {Z}$Zot. We also compared the newly proposed solution against five additional efficient algorithms proposed by nuXmv, which is the state-of-the-art tool for verifying LTL specifications. The experiments show that the new encoding provides signi"&amp;"ficant benefits with respect to existing tools. Since the first set of experiments only used Z3 as SMT solver, we also wanted to assess whether the benefits were induced by the specific solver or were more general. This is why we also embedded different S"&amp;"MT solvers in $\mathbb {Z}$Zot. Besides Z3, we also carried out experiments with CVC4, Mathsat, Yices2, and Boolector, and compared the results against the first and second best solutions provided by either NuSMV or nuXmv. Obtained results witness that th"&amp;"e benefits of the bv logic encoding are independent of the specific solver. Bv logic-based solutions are better than traditional ones with only a few exceptions. It is also true that there is no particular SMT solver that outperformed the others. Boolecto"&amp;"r is often the best as for memory usage, while Yices2 and Z3 are often the fastest ones.  © 1976-2012 IEEE.")</f>
        <v>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v>
      </c>
      <c r="H80" s="8" t="str">
        <f>IFERROR(__xludf.DUMMYFUNCTION("""COMPUTED_VALUE"""),"bit-vector logic; bounded satisfiability checking; Formal methods; linear temporal logic")</f>
        <v>bit-vector logic; bounded satisfiability checking; Formal methods; linear temporal logic</v>
      </c>
      <c r="I80" s="9" t="b">
        <v>0</v>
      </c>
      <c r="J80" s="9" t="b">
        <v>1</v>
      </c>
      <c r="K80" s="9" t="b">
        <v>1</v>
      </c>
      <c r="L80" s="10" t="b">
        <v>0</v>
      </c>
      <c r="M80" s="10" t="b">
        <v>0</v>
      </c>
      <c r="N80" s="10" t="b">
        <v>0</v>
      </c>
      <c r="O80" s="11" t="b">
        <f t="shared" si="1"/>
        <v>0</v>
      </c>
      <c r="P80" s="16" t="b">
        <v>0</v>
      </c>
      <c r="Q80" s="7"/>
    </row>
    <row r="81">
      <c r="A81" s="5" t="b">
        <v>1</v>
      </c>
      <c r="B81" s="5" t="s">
        <v>106</v>
      </c>
      <c r="C81" s="6" t="str">
        <f>IFERROR(__xludf.DUMMYFUNCTION("""COMPUTED_VALUE"""),"10.1109/32.798322")</f>
        <v>10.1109/32.798322</v>
      </c>
      <c r="D81" s="7" t="str">
        <f>IFERROR(__xludf.DUMMYFUNCTION("""COMPUTED_VALUE"""),"Chandra S.; Richards B.; Larus J.R.")</f>
        <v>Chandra S.; Richards B.; Larus J.R.</v>
      </c>
      <c r="E81" s="7" t="str">
        <f>IFERROR(__xludf.DUMMYFUNCTION("""COMPUTED_VALUE"""),"Teapot: A domain-specific language for writing cache coherence protocols")</f>
        <v>Teapot: A domain-specific language for writing cache coherence protocols</v>
      </c>
      <c r="F81" s="7" t="str">
        <f>IFERROR(__xludf.DUMMYFUNCTION("""COMPUTED_VALUE"""),"TSE")</f>
        <v>TSE</v>
      </c>
      <c r="G81" s="7" t="str">
        <f>IFERROR(__xludf.DUMMYFUNCTION("""COMPUTED_VALUE"""),"In this paper, we describe Teapot, a domain-specific language for writing cache coherence protocols. Cache coherence is of concern when parallel and distributed systems make local replicas of shared data to improve scalability and performance. In both dis"&amp;"tributed shared memory systems and distributed file systems, a coherence protocol maintains agreement among the replicated copies as the underlying data are modified by programs running on the system. Cache coherence protocols are notoriously difficult to"&amp;" implement, debug, and maintain. Moreover, protocols are not off-the-shelf, reusable components, because their details depend on the requirements of the system under consideration. The complexity of engineering coherence protocols can discourage users fro"&amp;"m experimenting with new, potentially more efficient protocols. We have designed and implemented Teapot, a domain-specific language that attempts to address this complexity. Teapot's language constructs, such as a state-centric control structure and conti"&amp;"nuations, are better suited to expressing protocol code than those of a typical systems programming language. Teapot also facilitates automatic verification of protocols, so hard to find protocol bugs, such as deadlocks, can be detected and fixed before e"&amp;"ncountering them on an actual execution. We describe the design rationale of Teapot, present an empirical evaluation of the language using two case studies, and relate the lessons that we learned in building a domain-specific language for systems programm"&amp;"ing.")</f>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v>
      </c>
      <c r="H81" s="8"/>
      <c r="I81" s="10" t="b">
        <v>0</v>
      </c>
      <c r="J81" s="10" t="b">
        <v>0</v>
      </c>
      <c r="K81" s="10" t="b">
        <v>0</v>
      </c>
      <c r="L81" s="10" t="b">
        <v>0</v>
      </c>
      <c r="M81" s="10" t="b">
        <v>0</v>
      </c>
      <c r="N81" s="10" t="b">
        <v>0</v>
      </c>
      <c r="O81" s="11" t="b">
        <f t="shared" si="1"/>
        <v>0</v>
      </c>
      <c r="P81" s="16" t="b">
        <v>0</v>
      </c>
      <c r="Q81" s="7"/>
    </row>
    <row r="82">
      <c r="A82" s="5" t="b">
        <v>1</v>
      </c>
      <c r="B82" s="5" t="s">
        <v>107</v>
      </c>
      <c r="C82" s="6" t="str">
        <f>IFERROR(__xludf.DUMMYFUNCTION("""COMPUTED_VALUE"""),"10.1109/32.988711")</f>
        <v>10.1109/32.988711</v>
      </c>
      <c r="D82" s="7" t="str">
        <f>IFERROR(__xludf.DUMMYFUNCTION("""COMPUTED_VALUE"""),"Prechelt L.; Unger B.; Tichy W.F.; Brössler P.; Votta L.G.")</f>
        <v>Prechelt L.; Unger B.; Tichy W.F.; Brössler P.; Votta L.G.</v>
      </c>
      <c r="E82" s="7" t="str">
        <f>IFERROR(__xludf.DUMMYFUNCTION("""COMPUTED_VALUE"""),"A controlled experiment in maintenance comparing design patterns to simpler solutions")</f>
        <v>A controlled experiment in maintenance comparing design patterns to simpler solutions</v>
      </c>
      <c r="F82" s="7" t="str">
        <f>IFERROR(__xludf.DUMMYFUNCTION("""COMPUTED_VALUE"""),"TSE")</f>
        <v>TSE</v>
      </c>
      <c r="G82" s="7" t="str">
        <f>IFERROR(__xludf.DUMMYFUNCTION("""COMPUTED_VALUE"""),"Software design patterns package proven solutions to recurring design problems in a form that simplifies reuse. We are seeking empirical evidence whether using design patterns is beneficial. In particular, one may prefer using a design pattern even if the"&amp;" actual design problem is simpler than that solved by the pattern, i.e., if not all of the functionality offered by the pattern is actually required. Our experiment investigates software maintenance scenarios that employ various design patterns and compar"&amp;"es designs with patterns to simpler alternatives. The subjects were professional software engineers. In most of our nine maintenance tasks, we found positive effects from using a design pattern: Either its inherent additional flexibility was achieved with"&amp;"out requiring more maintenance time or maintenance time was reduced compared to the simpler alternative. In a few cases, we found negative effects: The alternative solution was less error-prone or required less maintenance time. Although most of these eff"&amp;"ects were expected, a few were surprising: A negative effect occurs although a certain application of the Observer pattern appears to be well justified and a positive effect occurs despite superfluous flexibility (and, hence, complexity) introduced by a c"&amp;"ertain application of the Decorator pattern. Overall, we conclude that, unless there is a clear reason to prefer the simpler solution, it is probably wise to choose the flexibility provided by the design pattern because unexpected new requirements often a"&amp;"ppear. We identify several questions for future empirical research.")</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82" s="8" t="str">
        <f>IFERROR(__xludf.DUMMYFUNCTION("""COMPUTED_VALUE"""),"Change effort; Controlled experiment; Design alternatives; Design pattern; Maintenance")</f>
        <v>Change effort; Controlled experiment; Design alternatives; Design pattern; Maintenance</v>
      </c>
      <c r="I82" s="9" t="b">
        <v>1</v>
      </c>
      <c r="J82" s="10" t="b">
        <v>0</v>
      </c>
      <c r="K82" s="9" t="b">
        <v>1</v>
      </c>
      <c r="L82" s="10" t="b">
        <v>0</v>
      </c>
      <c r="M82" s="10" t="b">
        <v>0</v>
      </c>
      <c r="N82" s="10" t="b">
        <v>0</v>
      </c>
      <c r="O82" s="11" t="b">
        <f t="shared" si="1"/>
        <v>0</v>
      </c>
      <c r="P82" s="16" t="b">
        <v>0</v>
      </c>
      <c r="Q82" s="7"/>
    </row>
    <row r="83">
      <c r="A83" s="5" t="b">
        <v>1</v>
      </c>
      <c r="B83" s="5" t="s">
        <v>108</v>
      </c>
      <c r="C83" s="6" t="str">
        <f>IFERROR(__xludf.DUMMYFUNCTION("""COMPUTED_VALUE"""),"10.1109/TSE.2014.2312918")</f>
        <v>10.1109/TSE.2014.2312918</v>
      </c>
      <c r="D83" s="7" t="str">
        <f>IFERROR(__xludf.DUMMYFUNCTION("""COMPUTED_VALUE"""),"Pei Y.; Furia C.A.; Nordio M.; Wei Y.; Meyer B.; Zeller A.")</f>
        <v>Pei Y.; Furia C.A.; Nordio M.; Wei Y.; Meyer B.; Zeller A.</v>
      </c>
      <c r="E83" s="7" t="str">
        <f>IFERROR(__xludf.DUMMYFUNCTION("""COMPUTED_VALUE"""),"Automated fixing of programs with contracts")</f>
        <v>Automated fixing of programs with contracts</v>
      </c>
      <c r="F83" s="7" t="str">
        <f>IFERROR(__xludf.DUMMYFUNCTION("""COMPUTED_VALUE"""),"TSE")</f>
        <v>TSE</v>
      </c>
      <c r="G83" s="7" t="str">
        <f>IFERROR(__xludf.DUMMYFUNCTION("""COMPUTED_VALUE"""),"This paper describes AutoFix, an automatic debugging technique that can fix faults in general-purpose software. To provide high-quality fix suggestions and to enable automation of the whole debugging process, AutoFix relies on the presence of simple speci"&amp;"fication elements in the form of contracts (such as pre- and postconditions). Using contracts enhances the precision of dynamic analysis techniques for fault detection and localization, and for validating fixes. The only required user input to the AutoFix"&amp;" supporting tool is then a faulty program annotated with contracts; the tool produces a collection of validated fixes for the fault ranked according to an estimate of their suitability. In an extensive experimental evaluation, we applied AutoFix to over 2"&amp;"00 faults in four code bases of different maturity and quality (of implementation and of contracts). AutoFix successfully fixed 42 percent of the faults, producing, in the majority of cases, corrections of quality comparable to those competent programmers"&amp;" would write; the used computational resources were modest, with an average time per fix below 20 minutes on commodity hardware. These figures compare favorably to the state of the art in automated program fixing, and demonstrate that the AutoFix approach"&amp;" is successfully applicable to reduce the debugging burden in real-world scenarios. © 2013 IEEE.")</f>
        <v>This paper describes AutoFix, an automatic debugging technique that can fix faults in general-purpose software. To provide high-quality fix suggestions and to enable automation of the whole debugging process, AutoFix relies on the presence of simple specification elements in the form of contracts (such as pre- and postconditions). Using contracts enhances the precision of dynamic analysis techniques for fault detection and localization, and for validating fixes. The only required user input to the AutoFix supporting tool is then a faulty program annotated with contracts; the tool produces a collection of validated fixes for the fault ranked according to an estimate of their suitability. In an extensive experimental evaluation, we applied AutoFix to over 200 faults in four code bases of different maturity and quality (of implementation and of contracts). AutoFix successfully fixed 42 percent of the faults, producing, in the majority of cases, corrections of quality comparable to those competent programmers would write; the used computational resources were modest, with an average time per fix below 20 minutes on commodity hardware. These figures compare favorably to the state of the art in automated program fixing, and demonstrate that the AutoFix approach is successfully applicable to reduce the debugging burden in real-world scenarios. © 2013 IEEE.</v>
      </c>
      <c r="H83" s="8" t="str">
        <f>IFERROR(__xludf.DUMMYFUNCTION("""COMPUTED_VALUE"""),"Automatic program repair; contracts; dynamic analysis")</f>
        <v>Automatic program repair; contracts; dynamic analysis</v>
      </c>
      <c r="I83" s="10" t="b">
        <v>0</v>
      </c>
      <c r="J83" s="10" t="b">
        <v>0</v>
      </c>
      <c r="K83" s="10" t="b">
        <v>0</v>
      </c>
      <c r="L83" s="10" t="b">
        <v>0</v>
      </c>
      <c r="M83" s="10" t="b">
        <v>0</v>
      </c>
      <c r="N83" s="10" t="b">
        <v>0</v>
      </c>
      <c r="O83" s="11" t="b">
        <f t="shared" si="1"/>
        <v>0</v>
      </c>
      <c r="P83" s="16" t="b">
        <v>0</v>
      </c>
      <c r="Q83" s="7"/>
    </row>
    <row r="84">
      <c r="A84" s="5" t="b">
        <v>1</v>
      </c>
      <c r="B84" s="5" t="s">
        <v>109</v>
      </c>
      <c r="C84" s="6" t="str">
        <f>IFERROR(__xludf.DUMMYFUNCTION("""COMPUTED_VALUE"""),"10.1109/TSE.2013.15")</f>
        <v>10.1109/TSE.2013.15</v>
      </c>
      <c r="D84" s="7" t="str">
        <f>IFERROR(__xludf.DUMMYFUNCTION("""COMPUTED_VALUE"""),"Galeotti J.P.; Rosner N.; Lopez Pombo C.G.; Frias M.F.")</f>
        <v>Galeotti J.P.; Rosner N.; Lopez Pombo C.G.; Frias M.F.</v>
      </c>
      <c r="E84" s="7" t="str">
        <f>IFERROR(__xludf.DUMMYFUNCTION("""COMPUTED_VALUE"""),"TACO: Efficient SAT-based bounded verification using symmetry breaking and tight bounds")</f>
        <v>TACO: Efficient SAT-based bounded verification using symmetry breaking and tight bounds</v>
      </c>
      <c r="F84" s="7" t="str">
        <f>IFERROR(__xludf.DUMMYFUNCTION("""COMPUTED_VALUE"""),"TSE")</f>
        <v>TSE</v>
      </c>
      <c r="G84" s="7" t="str">
        <f>IFERROR(__xludf.DUMMYFUNCTION("""COMPUTED_VALUE"""),"SAT-based bounded verification of annotated code consists of translating the code together with the annotations to a propositional formula, and analyzing the formula for specification violations using a SAT-solver. If a violation is found, an execution tr"&amp;"ace exposing the failure is exhibited. Code involving linked data structures with intricate invariants is particularly hard to analyze using these techniques. In this paper, we present Translation of Annotated COde (TACO), a prototype tool which implement"&amp;"s a novel, general, and fully automated technique for the SAT-based analysis of JML-annotated Java sequential programs dealing with complex linked data structures. We instrument code analysis with a symmetry-breaking predicate which, on one hand, reduces "&amp;"the size of the search space by ignoring certain classes of isomorphic models and, on the other hand, allows for the parallel, automated computation of tight bounds for Java fields. Experiments show that the translations to propositional formulas require "&amp;"significantly less propositional variables, leading to an improvement of the efficiency of the analysis of orders of magnitude, compared to the noninstrumented SAT-based analysis. We show that in some cases our tool can uncover bugs that cannot be detecte"&amp;"d by state-of-the-art tools based on SAT-solving, model checking, or SMT-solving. © 1976-2012 IEEE.")</f>
        <v>SAT-based bounded verification of annotated code consists of translating the code together with the annotations to a propositional formula, and analyzing the formula for specification violations using a SAT-solver. If a violation is found, an execution trace exposing the failure is exhibited. Code involving linked data structures with intricate invariants is particularly hard to analyze using these techniques. In this paper, we present Translation of Annotated COde (TACO), a prototype tool which implements a novel, general, and fully automated technique for the SAT-based analysis of JML-annotated Java sequential programs dealing with complex linked data structures. We instrument code analysis with a symmetry-breaking predicate which, on one hand, reduces the size of the search space by ignoring certain classes of isomorphic models and, on the other hand, allows for the parallel, automated computation of tight bounds for Java fields. Experiments show that the translations to propositional formulas require significantly less propositional variables, leading to an improvement of the efficiency of the analysis of orders of magnitude, compared to the noninstrumented SAT-based analysis. We show that in some cases our tool can uncover bugs that cannot be detected by state-of-the-art tools based on SAT-solving, model checking, or SMT-solving. © 1976-2012 IEEE.</v>
      </c>
      <c r="H84" s="8" t="str">
        <f>IFERROR(__xludf.DUMMYFUNCTION("""COMPUTED_VALUE"""),"Alloy; DynAlloy; KodKod; SAT-based code analysis; Static analysis")</f>
        <v>Alloy; DynAlloy; KodKod; SAT-based code analysis; Static analysis</v>
      </c>
      <c r="I84" s="10" t="b">
        <v>0</v>
      </c>
      <c r="J84" s="10" t="b">
        <v>0</v>
      </c>
      <c r="K84" s="10" t="b">
        <v>0</v>
      </c>
      <c r="L84" s="10" t="b">
        <v>0</v>
      </c>
      <c r="M84" s="10" t="b">
        <v>0</v>
      </c>
      <c r="N84" s="10" t="b">
        <v>0</v>
      </c>
      <c r="O84" s="11" t="b">
        <f t="shared" si="1"/>
        <v>0</v>
      </c>
      <c r="P84" s="16" t="b">
        <v>0</v>
      </c>
      <c r="Q84" s="7"/>
    </row>
    <row r="85">
      <c r="A85" s="5" t="b">
        <v>1</v>
      </c>
      <c r="B85" s="5" t="s">
        <v>110</v>
      </c>
      <c r="C85" s="6" t="str">
        <f>IFERROR(__xludf.DUMMYFUNCTION("""COMPUTED_VALUE"""),"10.1109/TSE.2010.92")</f>
        <v>10.1109/TSE.2010.92</v>
      </c>
      <c r="D85" s="7" t="str">
        <f>IFERROR(__xludf.DUMMYFUNCTION("""COMPUTED_VALUE"""),"Calinescu R.; Grunske L.; Kwiatkowska M.; Mirandola R.; Tamburrelli G.")</f>
        <v>Calinescu R.; Grunske L.; Kwiatkowska M.; Mirandola R.; Tamburrelli G.</v>
      </c>
      <c r="E85" s="7" t="str">
        <f>IFERROR(__xludf.DUMMYFUNCTION("""COMPUTED_VALUE"""),"Dynamic QoS management and optimization in service-based systems")</f>
        <v>Dynamic QoS management and optimization in service-based systems</v>
      </c>
      <c r="F85" s="7" t="str">
        <f>IFERROR(__xludf.DUMMYFUNCTION("""COMPUTED_VALUE"""),"TSE")</f>
        <v>TSE</v>
      </c>
      <c r="G85" s="7" t="str">
        <f>IFERROR(__xludf.DUMMYFUNCTION("""COMPUTED_VALUE"""),"Service-based systems that are dynamically composed at runtime to provide complex, adaptive functionality are currently one of the main development paradigms in software engineering. However, the Quality of Service (QoS) delivered by these systems remains"&amp;" an important concern, and needs to be managed in an equally adaptive and predictable way. To address this need, we introduce a novel, tool-supported framework for the development of adaptive service-based systems called QoSMOS (QoS Management and Optimiz"&amp;"ation of Service-based systems). QoSMOS can be used to develop service-based systems that achieve their QoS requirements through dynamically adapting to changes in the system state, environment, and workload. QoSMOS service-based systems translate high-le"&amp;"vel QoS requirements specified by their administrators into probabilistic temporal logic formulae, which are then formally and automatically analyzed to identify and enforce optimal system configurations. The QoSMOS self-adaptation mechanism can handle re"&amp;"liability and performance-related QoS requirements, and can be integrated into newly developed solutions or legacy systems. The effectiveness and scalability of the approach are validated using simulations and a set of experiments based on an implementati"&amp;"on of an adaptive service-based system for remote medical assistance. © 2011 IEEE Published by the IEEE Computer Society.")</f>
        <v>Service-based systems that are dynamically composed at runtime to provide complex, adaptive functionality are currently one of the main development paradigms in software engineering. However, the Quality of Service (QoS) delivered by these systems remains an important concern, and needs to be managed in an equally adaptive and predictable way. To address this need, we introduce a novel, tool-supported framework for the development of adaptive service-based systems called QoSMOS (QoS Management and Optimization of Service-based systems). QoSMOS can be used to develop service-based systems that achieve their QoS requirements through dynamically adapting to changes in the system state, environment, and workload. QoSMOS service-based systems translate high-level QoS requirements specified by their administrators into probabilistic temporal logic formulae, which are then formally and automatically analyzed to identify and enforce optimal system configurations. The QoSMOS self-adaptation mechanism can handle reliability and performance-related QoS requirements, and can be integrated into newly developed solutions or legacy systems. The effectiveness and scalability of the approach are validated using simulations and a set of experiments based on an implementation of an adaptive service-based system for remote medical assistance. © 2011 IEEE Published by the IEEE Computer Society.</v>
      </c>
      <c r="H85" s="8" t="str">
        <f>IFERROR(__xludf.DUMMYFUNCTION("""COMPUTED_VALUE"""),"Adaptive systems; QoS management; QoS optimization; Service-oriented software engineering")</f>
        <v>Adaptive systems; QoS management; QoS optimization; Service-oriented software engineering</v>
      </c>
      <c r="I85" s="10" t="b">
        <v>0</v>
      </c>
      <c r="J85" s="10" t="b">
        <v>0</v>
      </c>
      <c r="K85" s="10" t="b">
        <v>0</v>
      </c>
      <c r="L85" s="10" t="b">
        <v>0</v>
      </c>
      <c r="M85" s="10" t="b">
        <v>0</v>
      </c>
      <c r="N85" s="10" t="b">
        <v>0</v>
      </c>
      <c r="O85" s="11" t="b">
        <f t="shared" si="1"/>
        <v>0</v>
      </c>
      <c r="P85" s="16" t="b">
        <v>0</v>
      </c>
      <c r="Q85" s="7"/>
    </row>
    <row r="86">
      <c r="A86" s="5" t="b">
        <v>1</v>
      </c>
      <c r="B86" s="5" t="s">
        <v>111</v>
      </c>
      <c r="C86" s="6" t="str">
        <f>IFERROR(__xludf.DUMMYFUNCTION("""COMPUTED_VALUE"""),"10.1109/TSE.2011.10")</f>
        <v>10.1109/TSE.2011.10</v>
      </c>
      <c r="D86" s="7" t="str">
        <f>IFERROR(__xludf.DUMMYFUNCTION("""COMPUTED_VALUE"""),"Di Pietro I.; Pagliarecci F.; Spalazzi L.")</f>
        <v>Di Pietro I.; Pagliarecci F.; Spalazzi L.</v>
      </c>
      <c r="E86" s="7" t="str">
        <f>IFERROR(__xludf.DUMMYFUNCTION("""COMPUTED_VALUE"""),"Model checking semantically annotated services")</f>
        <v>Model checking semantically annotated services</v>
      </c>
      <c r="F86" s="7" t="str">
        <f>IFERROR(__xludf.DUMMYFUNCTION("""COMPUTED_VALUE"""),"TSE")</f>
        <v>TSE</v>
      </c>
      <c r="G86" s="7" t="str">
        <f>IFERROR(__xludf.DUMMYFUNCTION("""COMPUTED_VALUE"""),"Model checking is a formal verification method widely accepted in the web service world because of its capability to reason about service behavior at process level. It has been used as a basic tool in several scenarios such as service selection, service v"&amp;"alidation, and service composition. The importance of semantics is also widely recognized. Indeed, there are several solutions to the problem of providing semantics to web services, most of them relying on some form of Description Logic. This paper presen"&amp;"ts an integration of model checking and semantic reasoning technologies in an efficient way. This can be considered the first step toward the use of semantic model checking in problems of selection, validation, and composition. The approach relies on a re"&amp;"presentation of services at process level that is based on semantically annotated state transition systems (asts) and a representation of specifications based on a semantically annotated version of computation tree logic (anctl). This paper proves that th"&amp;"e semantic model checking algorithm is sound and complete and can be accomplished in polynomial time. This approach has been evaluated with several experiments. © 2012 IEEE.")</f>
        <v>Model checking is a formal verification method widely accepted in the web service world because of its capability to reason about service behavior at process level. It has been used as a basic tool in several scenarios such as service selection, service validation, and service composition. The importance of semantics is also widely recognized. Indeed, there are several solutions to the problem of providing semantics to web services, most of them relying on some form of Description Logic. This paper presents an integration of model checking and semantic reasoning technologies in an efficient way. This can be considered the first step toward the use of semantic model checking in problems of selection, validation, and composition. The approach relies on a representation of services at process level that is based on semantically annotated state transition systems (asts) and a representation of specifications based on a semantically annotated version of computation tree logic (anctl). This paper proves that the semantic model checking algorithm is sound and complete and can be accomplished in polynomial time. This approach has been evaluated with several experiments. © 2012 IEEE.</v>
      </c>
      <c r="H86" s="8" t="str">
        <f>IFERROR(__xludf.DUMMYFUNCTION("""COMPUTED_VALUE"""),"description logic; Formal methods; intelligent web services; model checking; semantic web; temporal logic; web services")</f>
        <v>description logic; Formal methods; intelligent web services; model checking; semantic web; temporal logic; web services</v>
      </c>
      <c r="I86" s="10" t="b">
        <v>0</v>
      </c>
      <c r="J86" s="10" t="b">
        <v>0</v>
      </c>
      <c r="K86" s="10" t="b">
        <v>0</v>
      </c>
      <c r="L86" s="10" t="b">
        <v>0</v>
      </c>
      <c r="M86" s="10" t="b">
        <v>0</v>
      </c>
      <c r="N86" s="10" t="b">
        <v>0</v>
      </c>
      <c r="O86" s="11" t="b">
        <f t="shared" si="1"/>
        <v>0</v>
      </c>
      <c r="P86" s="16" t="b">
        <v>0</v>
      </c>
      <c r="Q86" s="7"/>
    </row>
    <row r="87">
      <c r="A87" s="5" t="b">
        <v>1</v>
      </c>
      <c r="B87" s="5" t="s">
        <v>112</v>
      </c>
      <c r="C87" s="6" t="str">
        <f>IFERROR(__xludf.DUMMYFUNCTION("""COMPUTED_VALUE"""),"10.1109/TSE.2020.2987862")</f>
        <v>10.1109/TSE.2020.2987862</v>
      </c>
      <c r="D87" s="7" t="str">
        <f>IFERROR(__xludf.DUMMYFUNCTION("""COMPUTED_VALUE"""),"Xu T.; Chen L.; Pei Y.; Zhang T.; Pan M.; Furia C.A.")</f>
        <v>Xu T.; Chen L.; Pei Y.; Zhang T.; Pan M.; Furia C.A.</v>
      </c>
      <c r="E87" s="7" t="str">
        <f>IFERROR(__xludf.DUMMYFUNCTION("""COMPUTED_VALUE"""),"Restore: Retrospective Fault Localization Enhancing Automated Program Repair")</f>
        <v>Restore: Retrospective Fault Localization Enhancing Automated Program Repair</v>
      </c>
      <c r="F87" s="7" t="str">
        <f>IFERROR(__xludf.DUMMYFUNCTION("""COMPUTED_VALUE"""),"TSE")</f>
        <v>TSE</v>
      </c>
      <c r="G87" s="7" t="str">
        <f>IFERROR(__xludf.DUMMYFUNCTION("""COMPUTED_VALUE"""),"Fault localization is a crucial step of automated program repair, because accurately identifying program locations that are most closely implicated with a fault greatly affects the effectiveness of the patching process. An ideal fault localization techniq"&amp;"ue would provide precise information while requiring moderate computational resources - to best support an efficient search for correct fixes. In contrast, most automated program repair tools use standard fault localization techniques - which are not tigh"&amp;"tly integrated with the overall program repair process, and hence deliver only subpar efficiency. In this paper, we present retrospective fault localization: a novel fault localization technique geared to the requirements of automated program repair. A ke"&amp;"y idea of retrospective fault localization is to reuse the outcome of failed patch validation to support mutation-based dynamic analysis - providing accurate fault localization information without incurring onerous computational costs. We implemented retr"&amp;"ospective fault localization in a tool called Restore - based on the Jaid Java program repair system. Experiments involving faults from the Defects4J standard benchmark indicate that retrospective fault localization can boost automated program repair: Res"&amp;"tore efficiently explores a large fix space, delivering state-of-the-art effectiveness (41 Defects4J bugs correctly fixed, 8 of which no other automated repair tool for Java can fix) while simultaneously boosting performance (speedup over 3 compared to Ja"&amp;"id). Retrospective fault localization is applicable to any automated program repair techniques that rely on fault localization and dynamic validation of patches. © 1976-2012 IEEE.")</f>
        <v>Fault localization is a crucial step of automated program repair, because accurately identifying program locations that are most closely implicated with a fault greatly affects the effectiveness of the patching process. An ideal fault localization technique would provide precise information while requiring moderate computational resources - to best support an efficient search for correct fixes. In contrast, most automated program repair tools use standard fault localization techniques - which are not tightly integrated with the overall program repair process, and hence deliver only subpar efficiency. In this paper, we present retrospective fault localization: a novel fault localization technique geared to the requirements of automated program repair. A key idea of retrospective fault localization is to reuse the outcome of failed patch validation to support mutation-based dynamic analysis - providing accurate fault localization information without incurring onerous computational costs. We implemented retrospective fault localization in a tool called Restore - based on the Jaid Java program repair system. Experiments involving faults from the Defects4J standard benchmark indicate that retrospective fault localization can boost automated program repair: Restore efficiently explores a large fix space, delivering state-of-the-art effectiveness (41 Defects4J bugs correctly fixed, 8 of which no other automated repair tool for Java can fix) while simultaneously boosting performance (speedup over 3 compared to Jaid). Retrospective fault localization is applicable to any automated program repair techniques that rely on fault localization and dynamic validation of patches. © 1976-2012 IEEE.</v>
      </c>
      <c r="H87" s="8"/>
      <c r="I87" s="10" t="b">
        <v>0</v>
      </c>
      <c r="J87" s="10" t="b">
        <v>0</v>
      </c>
      <c r="K87" s="10" t="b">
        <v>0</v>
      </c>
      <c r="L87" s="10" t="b">
        <v>0</v>
      </c>
      <c r="M87" s="10" t="b">
        <v>0</v>
      </c>
      <c r="N87" s="10" t="b">
        <v>0</v>
      </c>
      <c r="O87" s="11" t="b">
        <f t="shared" si="1"/>
        <v>0</v>
      </c>
      <c r="P87" s="16" t="b">
        <v>0</v>
      </c>
      <c r="Q87" s="7"/>
    </row>
    <row r="88">
      <c r="A88" s="5" t="b">
        <v>1</v>
      </c>
      <c r="B88" s="5" t="s">
        <v>113</v>
      </c>
      <c r="C88" s="6" t="str">
        <f>IFERROR(__xludf.DUMMYFUNCTION("""COMPUTED_VALUE"""),"10.1109/32.908957")</f>
        <v>10.1109/32.908957</v>
      </c>
      <c r="D88" s="7" t="str">
        <f>IFERROR(__xludf.DUMMYFUNCTION("""COMPUTED_VALUE"""),"Ernst M.D.; Cockrell J.; Griswold W.G.; Notkin D.")</f>
        <v>Ernst M.D.; Cockrell J.; Griswold W.G.; Notkin D.</v>
      </c>
      <c r="E88" s="7" t="str">
        <f>IFERROR(__xludf.DUMMYFUNCTION("""COMPUTED_VALUE"""),"Dynamically discovering likely program invariants to support program evolution")</f>
        <v>Dynamically discovering likely program invariants to support program evolution</v>
      </c>
      <c r="F88" s="7" t="str">
        <f>IFERROR(__xludf.DUMMYFUNCTION("""COMPUTED_VALUE"""),"TSE")</f>
        <v>TSE</v>
      </c>
      <c r="G88" s="7" t="str">
        <f>IFERROR(__xludf.DUMMYFUNCTION("""COMPUTED_VALUE"""),"Explicitly stated program invariants can help programmers by identifying program properties that must be preserved when modifying code. In practice, however, these invariants are usually implicit. An alternative to expecting programmers to fully annotate "&amp;"code with invariants is to automatically infer likely invariants from the program itself. This research focuses on dynamic techniques for discovering invariants from execution traces. This article reports three results. First, it describes techniques for "&amp;"dynamically discovering invariants, along with an implementation, named Daikon, that embodies these techniques. Second, it reports on the application of Daikon to two sets of target programs. In programs from Gries's work on program derivation, the system"&amp;" rediscovered predefined invariants. In a C program lacking explicit invariants, the system discovered invariants that assisted a software evolution task. These experiments demonstrate that, at least for small programs, invariant inference is both accurat"&amp;"e and useful. Third, it analyzes scalability issues, such as invariant detection runtime and accuracy, as functions of test suites and program points instrumented.")</f>
        <v>Explicitly stated program invariants can help programmers by identifying program properties that must be preserved when modifying code. In practice, however, these invariants are usually implicit. An alternative to expecting programmers to fully annotate code with invariants is to automatically infer likely invariants from the program itself. This research focuses on dynamic techniques for discovering invariants from execution traces. This article reports three results. First, it describes techniques for dynamically discovering invariants, along with an implementation, named Daikon, that embodies these techniques. Second, it reports on the application of Daikon to two sets of target programs. In programs from Gries's work on program derivation, the system rediscovered predefined invariants. In a C program lacking explicit invariants, the system discovered invariants that assisted a software evolution task. These experiments demonstrate that, at least for small programs, invariant inference is both accurate and useful. Third, it analyzes scalability issues, such as invariant detection runtime and accuracy, as functions of test suites and program points instrumented.</v>
      </c>
      <c r="H88" s="8"/>
      <c r="I88" s="10" t="b">
        <v>0</v>
      </c>
      <c r="J88" s="10" t="b">
        <v>0</v>
      </c>
      <c r="K88" s="10" t="b">
        <v>0</v>
      </c>
      <c r="L88" s="10" t="b">
        <v>0</v>
      </c>
      <c r="M88" s="10" t="b">
        <v>0</v>
      </c>
      <c r="N88" s="10" t="b">
        <v>0</v>
      </c>
      <c r="O88" s="11" t="b">
        <f t="shared" si="1"/>
        <v>0</v>
      </c>
      <c r="P88" s="16" t="b">
        <v>0</v>
      </c>
      <c r="Q88" s="7"/>
    </row>
    <row r="89">
      <c r="A89" s="5" t="b">
        <v>1</v>
      </c>
      <c r="B89" s="5" t="s">
        <v>114</v>
      </c>
      <c r="C89" s="6" t="str">
        <f>IFERROR(__xludf.DUMMYFUNCTION("""COMPUTED_VALUE"""),"10.1109/TSE.2004.80")</f>
        <v>10.1109/TSE.2004.80</v>
      </c>
      <c r="D89" s="7" t="str">
        <f>IFERROR(__xludf.DUMMYFUNCTION("""COMPUTED_VALUE"""),"Edwards S.H.; Sitaraman M.; Weide B.W.; Hollingsworth J.")</f>
        <v>Edwards S.H.; Sitaraman M.; Weide B.W.; Hollingsworth J.</v>
      </c>
      <c r="E89" s="7" t="str">
        <f>IFERROR(__xludf.DUMMYFUNCTION("""COMPUTED_VALUE"""),"Contract-checking wrappers for C++ classes")</f>
        <v>Contract-checking wrappers for C++ classes</v>
      </c>
      <c r="F89" s="7" t="str">
        <f>IFERROR(__xludf.DUMMYFUNCTION("""COMPUTED_VALUE"""),"TSE")</f>
        <v>TSE</v>
      </c>
      <c r="G89" s="7" t="str">
        <f>IFERROR(__xludf.DUMMYFUNCTION("""COMPUTED_VALUE"""),"Two kinds of interface contract violations can occur in component-based software: A client component can fail to satisfy a requirement of a component it is using, or a component implementation can fail to fulfill its obligations to the client. The traditi"&amp;"onal approach to detecting and reporting such violations is to embed assertion checks into component source code, with compile-time control over whether they are enabled. This works well for the original component developers, but it fails to meet the need"&amp;"s of component clients who do not have access to source code for such components. A wrapper-based approach, in which contract checking is not hard-coded into the underlying component but is ""layered"" on top of it, offers several relative advantages. It "&amp;"is practical and effective for C++ classes. Checking code can be distributed in binary form along with the underlying component, it can be installed or removed without requiring recompilation of either the underlying component or the client code, it can b"&amp;"e selectively enabled or disabled by the component client on a per-component basis, and it does not require the client to have access to any special tools (which might have been used by the component developer) to support wrapper installation and control."&amp;" Experimental evidence indicates that wrappers in C++ impose modest additional overhead compared to inlining assertion checks. © 2004 IEEE.")</f>
        <v>Two kinds of interface contract violations can occur in component-based software: A client component can fail to satisfy a requirement of a component it is using, or a component implementation can fail to fulfill its obligations to the client. The traditional approach to detecting and reporting such violations is to embed assertion checks into component source code, with compile-time control over whether they are enabled. This works well for the original component developers, but it fails to meet the needs of component clients who do not have access to source code for such components. A wrapper-based approach, in which contract checking is not hard-coded into the underlying component but is "layered" on top of it, offers several relative advantages. It is practical and effective for C++ classes. Checking code can be distributed in binary form along with the underlying component, it can be installed or removed without requiring recompilation of either the underlying component or the client code, it can be selectively enabled or disabled by the component client on a per-component basis, and it does not require the client to have access to any special tools (which might have been used by the component developer) to support wrapper installation and control. Experimental evidence indicates that wrappers in C++ impose modest additional overhead compared to inlining assertion checks. © 2004 IEEE.</v>
      </c>
      <c r="H89" s="8" t="str">
        <f>IFERROR(__xludf.DUMMYFUNCTION("""COMPUTED_VALUE"""),"Assertion checkers; Binary components; Class invariants; Coding techniques; Debugging aids; Design by contract; Postconditions; Preconditions; Specification")</f>
        <v>Assertion checkers; Binary components; Class invariants; Coding techniques; Debugging aids; Design by contract; Postconditions; Preconditions; Specification</v>
      </c>
      <c r="I89" s="10" t="b">
        <v>0</v>
      </c>
      <c r="J89" s="10" t="b">
        <v>0</v>
      </c>
      <c r="K89" s="10" t="b">
        <v>0</v>
      </c>
      <c r="L89" s="10" t="b">
        <v>0</v>
      </c>
      <c r="M89" s="10" t="b">
        <v>0</v>
      </c>
      <c r="N89" s="10" t="b">
        <v>0</v>
      </c>
      <c r="O89" s="11" t="b">
        <f t="shared" si="1"/>
        <v>0</v>
      </c>
      <c r="P89" s="16" t="b">
        <v>0</v>
      </c>
      <c r="Q89" s="7"/>
    </row>
    <row r="90">
      <c r="A90" s="5" t="b">
        <v>1</v>
      </c>
      <c r="B90" s="5" t="s">
        <v>115</v>
      </c>
      <c r="C90" s="6" t="str">
        <f>IFERROR(__xludf.DUMMYFUNCTION("""COMPUTED_VALUE"""),"10.1109/TSE.2010.30")</f>
        <v>10.1109/TSE.2010.30</v>
      </c>
      <c r="D90" s="7" t="str">
        <f>IFERROR(__xludf.DUMMYFUNCTION("""COMPUTED_VALUE"""),"Uzuncaova E.; Khurshid S.; Batory D.")</f>
        <v>Uzuncaova E.; Khurshid S.; Batory D.</v>
      </c>
      <c r="E90" s="7" t="str">
        <f>IFERROR(__xludf.DUMMYFUNCTION("""COMPUTED_VALUE"""),"Incremental test generation for software product lines")</f>
        <v>Incremental test generation for software product lines</v>
      </c>
      <c r="F90" s="7" t="str">
        <f>IFERROR(__xludf.DUMMYFUNCTION("""COMPUTED_VALUE"""),"TSE")</f>
        <v>TSE</v>
      </c>
      <c r="G90" s="7" t="str">
        <f>IFERROR(__xludf.DUMMYFUNCTION("""COMPUTED_VALUE"""),"Recent advances in mechanical techniques for systematic testing have increased our ability to automatically find subtle bugs, and hence, to deploy more dependable software. This paper builds on one such systematic technique, scope-bounded testing, to deve"&amp;"lop a novel specification-based approach for efficiently generating tests for products in a software product line. Given properties of features as first-order logic formulas in Alloy, our approach uses SAT-based analysis to automatically generate test inp"&amp;"uts for each product in a product line. To ensure soundness of generation, we introduce an automatic technique for mapping a formula that specifies a feature into a transformation that defines incremental refinement of test suites. Our experimental result"&amp;"s using different data structure product lines show that an incremental approach can provide an order of magnitude speedup over conventional techniques. We also present a further optimization using dedicated integer constraint solvers for feature properti"&amp;"es that introduce integer constraints, and show how to use a combination of solvers in tandem for solving Alloy formulas. © 2006 IEEE.")</f>
        <v>Recent advances in mechanical techniques for systematic testing have increased our ability to automatically find subtle bugs, and hence, to deploy more dependable software. This paper builds on one such systematic technique, scope-bounded testing, to develop a novel specification-based approach for efficiently generating tests for products in a software product line. Given properties of features as first-order logic formulas in Alloy,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an incremental approach can provide an order of magnitude speedup over conventional techniques. We also present a further optimization using dedicated integer constraint solvers for feature properties that introduce integer constraints, and show how to use a combination of solvers in tandem for solving Alloy formulas. © 2006 IEEE.</v>
      </c>
      <c r="H90" s="8" t="str">
        <f>IFERROR(__xludf.DUMMYFUNCTION("""COMPUTED_VALUE"""),"Software engineering; Software/program verification; Testing and debugging")</f>
        <v>Software engineering; Software/program verification; Testing and debugging</v>
      </c>
      <c r="I90" s="10" t="b">
        <v>0</v>
      </c>
      <c r="J90" s="9" t="b">
        <v>1</v>
      </c>
      <c r="K90" s="9" t="b">
        <v>1</v>
      </c>
      <c r="L90" s="10" t="b">
        <v>0</v>
      </c>
      <c r="M90" s="10" t="b">
        <v>0</v>
      </c>
      <c r="N90" s="10" t="b">
        <v>0</v>
      </c>
      <c r="O90" s="11" t="b">
        <f t="shared" si="1"/>
        <v>0</v>
      </c>
      <c r="P90" s="16" t="b">
        <v>0</v>
      </c>
      <c r="Q90" s="7"/>
    </row>
    <row r="91">
      <c r="A91" s="5" t="b">
        <v>1</v>
      </c>
      <c r="B91" s="5" t="s">
        <v>116</v>
      </c>
      <c r="C91" s="6" t="str">
        <f>IFERROR(__xludf.DUMMYFUNCTION("""COMPUTED_VALUE"""),"10.1109/TSE.2010.47")</f>
        <v>10.1109/TSE.2010.47</v>
      </c>
      <c r="D91" s="7" t="str">
        <f>IFERROR(__xludf.DUMMYFUNCTION("""COMPUTED_VALUE"""),"Cornelissen B.; Zaidman A.; Deursen A.V.")</f>
        <v>Cornelissen B.; Zaidman A.; Deursen A.V.</v>
      </c>
      <c r="E91" s="7" t="str">
        <f>IFERROR(__xludf.DUMMYFUNCTION("""COMPUTED_VALUE"""),"A controlled experiment for program comprehension through trace visualization")</f>
        <v>A controlled experiment for program comprehension through trace visualization</v>
      </c>
      <c r="F91" s="7" t="str">
        <f>IFERROR(__xludf.DUMMYFUNCTION("""COMPUTED_VALUE"""),"TSE")</f>
        <v>TSE</v>
      </c>
      <c r="G91" s="7" t="str">
        <f>IFERROR(__xludf.DUMMYFUNCTION("""COMPUTED_VALUE"""),"Software maintenance activities require a sufficient level of understanding of the software at hand that unfortunately is not always readily available. Execution trace visualization is a common approach in gaining this understanding, and among our own eff"&amp;"orts in this context is EXTRAVIS, a tool for the visualization of large traces. While many such tools have been evaluated through case studies, there have been no quantitative evaluations to the present day. This paper reports on the first controlled expe"&amp;"riment to quantitatively measure the added value of trace visualization for program comprehension. We designed eight typical tasks aimed at gaining an understanding of a representative subject system, and measured how a control group (using the Eclipse ID"&amp;"E) and an experimental group (using both Eclipse and EXTRAVIS) performed these tasks in terms of time spent and solution correctness. The results are statistically significant in both regards, showing a 22 percent decrease in time requirements and a 43 pe"&amp;"rcent increase in correctness for the group using trace visualization. © 2011 IEEE Published by the IEEE Computer Society.")</f>
        <v>Software maintenance activities require a sufficient level of understanding of the software at hand that unfortunately is not always readily available. Execution trace visualization is a common approach in gaining this understanding, and among our own efforts in this context is EXTRAVIS, a tool for the visualization of large traces. While many such tools have been evaluated through case studies, there have been no quantitative evaluations to the present day. This paper reports on the first controlled experiment to quantitatively measure the added value of trace visualization for program comprehension. We designed eight typical tasks aimed at gaining an understanding of a representative subject system, and measured how a control group (using the Eclipse IDE) and an experimental group (using both Eclipse and EXTRAVIS) performed these tasks in terms of time spent and solution correctness. The results are statistically significant in both regards, showing a 22 percent decrease in time requirements and a 43 percent increase in correctness for the group using trace visualization. © 2011 IEEE Published by the IEEE Computer Society.</v>
      </c>
      <c r="H91" s="8" t="str">
        <f>IFERROR(__xludf.DUMMYFUNCTION("""COMPUTED_VALUE"""),"Controlled experiment; Dynamic analysis; Program comprehension")</f>
        <v>Controlled experiment; Dynamic analysis; Program comprehension</v>
      </c>
      <c r="I91" s="9" t="b">
        <v>1</v>
      </c>
      <c r="J91" s="10" t="b">
        <v>0</v>
      </c>
      <c r="K91" s="9" t="b">
        <v>1</v>
      </c>
      <c r="L91" s="10" t="b">
        <v>0</v>
      </c>
      <c r="M91" s="10" t="b">
        <v>0</v>
      </c>
      <c r="N91" s="10" t="b">
        <v>0</v>
      </c>
      <c r="O91" s="11" t="b">
        <f t="shared" si="1"/>
        <v>0</v>
      </c>
      <c r="P91" s="16" t="b">
        <v>0</v>
      </c>
      <c r="Q91" s="7"/>
    </row>
    <row r="92">
      <c r="A92" s="5" t="b">
        <v>1</v>
      </c>
      <c r="B92" s="5" t="s">
        <v>117</v>
      </c>
      <c r="C92" s="6" t="str">
        <f>IFERROR(__xludf.DUMMYFUNCTION("""COMPUTED_VALUE"""),"10.1109/TSE.2017.2765640")</f>
        <v>10.1109/TSE.2017.2765640</v>
      </c>
      <c r="D92" s="7" t="str">
        <f>IFERROR(__xludf.DUMMYFUNCTION("""COMPUTED_VALUE"""),"Margheri A.; Masi M.; Pugliese R.; Tiezzi F.")</f>
        <v>Margheri A.; Masi M.; Pugliese R.; Tiezzi F.</v>
      </c>
      <c r="E92" s="7" t="str">
        <f>IFERROR(__xludf.DUMMYFUNCTION("""COMPUTED_VALUE"""),"A Rigorous Framework for Specification, Analysis and Enforcement of Access Control Policies")</f>
        <v>A Rigorous Framework for Specification, Analysis and Enforcement of Access Control Policies</v>
      </c>
      <c r="F92" s="7" t="str">
        <f>IFERROR(__xludf.DUMMYFUNCTION("""COMPUTED_VALUE"""),"TSE")</f>
        <v>TSE</v>
      </c>
      <c r="G92" s="7" t="str">
        <f>IFERROR(__xludf.DUMMYFUNCTION("""COMPUTED_VALUE"""),"Access control systems are widely used means for the protection of computing systems. They are defined in terms of access control policies regulating the access to system resources. In this paper, we introduce a formally-defined, fully-implemented framewo"&amp;"rk for specification, analysis and enforcement of attribute-based access control policies. The framework rests on FACPL, a language with a compact, yet expressive, syntax for specification of real-world access control policies and with a rigorously define"&amp;"d denotational semantics. The framework enables the automated verification of properties regarding both the authorisations enforced by single policies and the relationships among multiple policies. Effectiveness and performance of the analysis rely on a s"&amp;"emantic-preserving representation of FACPL policies in terms of SMT formulae and on the use of efficient SMT solvers. Our analysis approach explicitly addresses some crucial aspects of policy evaluation, such as missing attributes, erroneous values and ob"&amp;"ligations, which are instead overlooked in other proposals. The framework is supported by Java-based tools, among which an Eclipse-based IDE offering a tailored development and analysis environment for FACPL policies and a Java library for policy enforcem"&amp;"ent. We illustrate the framework and its formal ingredients by means of an e-Health case study, while its effectiveness is assessed by means of performance stress tests and experiments on a well-established benchmark. © 1976-2012 IEEE.")</f>
        <v>Access control systems are widely used means for the protection of computing systems. They are defined in terms of access control policies regulating the access to system resources. In this paper, we introduce a formally-defined, fully-implemented framework for specification, analysis and enforcement of attribute-based access control policies. The framework rests on FACPL, a language with a compact, yet expressive, syntax for specification of real-world access control policies and with a rigorously defined denotational semantics. The framework enables the automated verification of properties regarding both the authorisations enforced by single policies and the relationships among multiple policies. Effectiveness and performance of the analysis rely on a semantic-preserving representation of FACPL policies in terms of SMT formulae and on the use of efficient SMT solvers. Our analysis approach explicitly addresses some crucial aspects of policy evaluation, such as missing attributes, erroneous values and obligations, which are instead overlooked in other proposals. The framework is supported by Java-based tools, among which an Eclipse-based IDE offering a tailored development and analysis environment for FACPL policies and a Java library for policy enforcement. We illustrate the framework and its formal ingredients by means of an e-Health case study, while its effectiveness is assessed by means of performance stress tests and experiments on a well-established benchmark. © 1976-2012 IEEE.</v>
      </c>
      <c r="H92" s="8" t="str">
        <f>IFERROR(__xludf.DUMMYFUNCTION("""COMPUTED_VALUE"""),"Attribute-based access control; policy analysis; policy languages; SMT")</f>
        <v>Attribute-based access control; policy analysis; policy languages; SMT</v>
      </c>
      <c r="I92" s="10" t="b">
        <v>0</v>
      </c>
      <c r="J92" s="10" t="b">
        <v>0</v>
      </c>
      <c r="K92" s="10" t="b">
        <v>0</v>
      </c>
      <c r="L92" s="10" t="b">
        <v>0</v>
      </c>
      <c r="M92" s="10" t="b">
        <v>0</v>
      </c>
      <c r="N92" s="10" t="b">
        <v>0</v>
      </c>
      <c r="O92" s="11" t="b">
        <f t="shared" si="1"/>
        <v>0</v>
      </c>
      <c r="P92" s="16" t="b">
        <v>0</v>
      </c>
      <c r="Q92" s="7"/>
    </row>
    <row r="93">
      <c r="A93" s="5" t="b">
        <v>1</v>
      </c>
      <c r="B93" s="5" t="s">
        <v>118</v>
      </c>
      <c r="C93" s="6" t="str">
        <f>IFERROR(__xludf.DUMMYFUNCTION("""COMPUTED_VALUE"""),"10.1109/TSE.2019.2891709")</f>
        <v>10.1109/TSE.2019.2891709</v>
      </c>
      <c r="D93" s="7" t="str">
        <f>IFERROR(__xludf.DUMMYFUNCTION("""COMPUTED_VALUE"""),"Ghassabani E.; Whalen M.; Gacek A.; Heimdahl M.")</f>
        <v>Ghassabani E.; Whalen M.; Gacek A.; Heimdahl M.</v>
      </c>
      <c r="E93" s="7" t="str">
        <f>IFERROR(__xludf.DUMMYFUNCTION("""COMPUTED_VALUE"""),"Inductive Validity Cores")</f>
        <v>Inductive Validity Cores</v>
      </c>
      <c r="F93" s="7" t="str">
        <f>IFERROR(__xludf.DUMMYFUNCTION("""COMPUTED_VALUE"""),"TSE")</f>
        <v>TSE</v>
      </c>
      <c r="G93" s="7" t="str">
        <f>IFERROR(__xludf.DUMMYFUNCTION("""COMPUTED_VALUE"""),"Symbolic model checkers can construct proofs of properties over highly complex models. However, the results reported by the tool when a proof succeeds do not generally provide much insight to the user. It is often useful for users to have traceability inf"&amp;"ormation related to the proof: which portions of the model were necessary to construct it. This traceability information can be used to diagnose a variety of modeling problems such as overconstrained axioms and underconstrained properties, measure complet"&amp;"eness of a set of requirements over a model, and assist with design optimization given a set of requirements for an existing or synthesized implementation. In this paper, we present a comprehensive treatment of a suite of algorithms to compute inductive v"&amp;"alidity cores (IVCs), minimal sets of model elements necessary to construct inductive proofs of safety properties for sequential systems. The algorithms are based on the UNSAT core support built into current SMT solvers and novel encodings of the inductiv"&amp;"e problem to generate approximate and guaranteed minimal inductive validity cores as well as all inductive validity cores. We demonstrate that our algorithms are correct, describe their implementation in the JKind model checker for Lustre models, and pres"&amp;"ent several use cases for the algorithms. We then present a substantial experiment in which we benchmark the efficiency and efficacy of the algorithms. © 1976-2012 IEEE.")</f>
        <v>Symbolic model checkers can construct proofs of properties over highly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measure completeness of a set of requirements over a model, and assist with design optimization given a set of requirements for an existing or synthesized implementation. In this paper, we present a comprehensive treatment of a suite of algorithms to compute inductive validity cores (IVCs), minimal sets of model elements necessary to construct inductive proofs of safety properties for sequential systems. The algorithms are based on the UNSAT core support built into current SMT solvers and novel encodings of the inductive problem to generate approximate and guaranteed minimal inductive validity cores as well as all inductive validity cores. We demonstrate that our algorithms are correct, describe their implementation in the JKind model checker for Lustre models, and present several use cases for the algorithms. We then present a substantial experiment in which we benchmark the efficiency and efficacy of the algorithms. © 1976-2012 IEEE.</v>
      </c>
      <c r="H93" s="8" t="str">
        <f>IFERROR(__xludf.DUMMYFUNCTION("""COMPUTED_VALUE"""),"Inductive validity cores; proof explanation; requirements analysis; SMT-based model checking")</f>
        <v>Inductive validity cores; proof explanation; requirements analysis; SMT-based model checking</v>
      </c>
      <c r="I93" s="10" t="b">
        <v>0</v>
      </c>
      <c r="J93" s="10" t="b">
        <v>0</v>
      </c>
      <c r="K93" s="10" t="b">
        <v>0</v>
      </c>
      <c r="L93" s="10" t="b">
        <v>0</v>
      </c>
      <c r="M93" s="10" t="b">
        <v>0</v>
      </c>
      <c r="N93" s="10" t="b">
        <v>0</v>
      </c>
      <c r="O93" s="11" t="b">
        <f t="shared" si="1"/>
        <v>0</v>
      </c>
      <c r="P93" s="16" t="b">
        <v>0</v>
      </c>
      <c r="Q93" s="7"/>
    </row>
    <row r="94">
      <c r="A94" s="5" t="b">
        <v>1</v>
      </c>
      <c r="B94" s="5" t="s">
        <v>119</v>
      </c>
      <c r="C94" s="6" t="str">
        <f>IFERROR(__xludf.DUMMYFUNCTION("""COMPUTED_VALUE"""),"10.1109/TSE.2012.27")</f>
        <v>10.1109/TSE.2012.27</v>
      </c>
      <c r="D94" s="7" t="str">
        <f>IFERROR(__xludf.DUMMYFUNCTION("""COMPUTED_VALUE"""),"Abrahão S.; Gravino C.; Insfran E.; Scanniello G.; Tortora G.")</f>
        <v>Abrahão S.; Gravino C.; Insfran E.; Scanniello G.; Tortora G.</v>
      </c>
      <c r="E94" s="7" t="str">
        <f>IFERROR(__xludf.DUMMYFUNCTION("""COMPUTED_VALUE"""),"Assessing the effectiveness of sequence diagrams in the comprehension of functional requirements: Results from a family of five experiments")</f>
        <v>Assessing the effectiveness of sequence diagrams in the comprehension of functional requirements: Results from a family of five experiments</v>
      </c>
      <c r="F94" s="7" t="str">
        <f>IFERROR(__xludf.DUMMYFUNCTION("""COMPUTED_VALUE"""),"TSE")</f>
        <v>TSE</v>
      </c>
      <c r="G94" s="7" t="str">
        <f>IFERROR(__xludf.DUMMYFUNCTION("""COMPUTED_VALUE"""),"Modeling is a fundamental activity within the requirements engineering process and concerns the construction of abstract descriptions of requirements that are amenable to interpretation and validation. The choice of a modeling technique is critical whenev"&amp;"er it is necessary to discuss the interpretation and validation of requirements. This is particularly true in the case of functional requirements and stakeholders with divergent goals and different backgrounds and experience. This paper presents the resul"&amp;"ts of a family of experiments conducted with students and professionals to investigate whether the comprehension of functional requirements is influenced by the use of dynamic models that are represented by means of the UML sequence diagrams. The family c"&amp;"ontains five experiments performed in different locations and with 112 participants of different abilities and levels of experience with UML. The results show that sequence diagrams improve the comprehension of the modeled functional requirements in the c"&amp;"ase of high ability and more experienced participants. © 1976-2012 IEEE.")</f>
        <v>Modeling is a fundamental activity within the requirements engineering process and concerns the construction of abstract descriptions of requirements that are amenable to interpretation and validation. The choice of a modeling technique is critical whenever it is necessary to discuss the interpretation and validation of requirements. This is particularly true in the case of functional requirements and stakeholders with divergent goals and different backgrounds and experience. This paper presents the results of a family of experiments conducted with students and professionals to investigate whether the comprehension of functional requirements is influenced by the use of dynamic models that are represented by means of the UML sequence diagrams. The family contains five experiments performed in different locations and with 112 participants of different abilities and levels of experience with UML. The results show that sequence diagrams improve the comprehension of the modeled functional requirements in the case of high ability and more experienced participants. © 1976-2012 IEEE.</v>
      </c>
      <c r="H94" s="8" t="str">
        <f>IFERROR(__xludf.DUMMYFUNCTION("""COMPUTED_VALUE"""),"Documentation; requirements specifications; software engineering")</f>
        <v>Documentation; requirements specifications; software engineering</v>
      </c>
      <c r="I94" s="9" t="b">
        <v>1</v>
      </c>
      <c r="J94" s="9" t="b">
        <v>1</v>
      </c>
      <c r="K94" s="9" t="b">
        <v>1</v>
      </c>
      <c r="L94" s="10" t="b">
        <v>0</v>
      </c>
      <c r="M94" s="10" t="b">
        <v>0</v>
      </c>
      <c r="N94" s="10" t="b">
        <v>0</v>
      </c>
      <c r="O94" s="11" t="b">
        <f t="shared" si="1"/>
        <v>1</v>
      </c>
      <c r="P94" s="16" t="b">
        <v>0</v>
      </c>
      <c r="Q94" s="7"/>
    </row>
    <row r="95">
      <c r="A95" s="5" t="b">
        <v>1</v>
      </c>
      <c r="B95" s="5" t="s">
        <v>120</v>
      </c>
      <c r="C95" s="6" t="str">
        <f>IFERROR(__xludf.DUMMYFUNCTION("""COMPUTED_VALUE"""),"10.1109/TSE.2020.3030745")</f>
        <v>10.1109/TSE.2020.3030745</v>
      </c>
      <c r="D95" s="7" t="str">
        <f>IFERROR(__xludf.DUMMYFUNCTION("""COMPUTED_VALUE"""),"Wang W.; Dumont F.; Niu N.; Horton G.")</f>
        <v>Wang W.; Dumont F.; Niu N.; Horton G.</v>
      </c>
      <c r="E95" s="7" t="str">
        <f>IFERROR(__xludf.DUMMYFUNCTION("""COMPUTED_VALUE"""),"Detecting Software Security Vulnerabilities Via Requirements Dependency Analysis")</f>
        <v>Detecting Software Security Vulnerabilities Via Requirements Dependency Analysis</v>
      </c>
      <c r="F95" s="7" t="str">
        <f>IFERROR(__xludf.DUMMYFUNCTION("""COMPUTED_VALUE"""),"TSE")</f>
        <v>TSE</v>
      </c>
      <c r="G95" s="7" t="str">
        <f>IFERROR(__xludf.DUMMYFUNCTION("""COMPUTED_VALUE"""),"Cyber attacks targeting software applications have a tremendous impact on our daily life. For example, attackers have utilized vulnerabilities of web applications to steal and gain unauthorized use of sensitive data stored in these systems. Previous studi"&amp;"es indicate that security testing is highly precise, and therefore is widely applied to validate individual security requirements. However, dependencies between security requirements may cause additional vulnerabilities. Manual dependency detection faces "&amp;"scalability challenges, e.g., a previous study shows that the pairwise dependency analysis of 40 requirements would take around 12 hours. In this article, we present a novel approach which integrates the interdependency among high-level security requireme"&amp;"nts, such as those documented in policies, regulations, and standards. We then use automated requirements tracing methods to identify product-level security requirements and their dependencies. Our manual analysis of HIPAA and FIPS 200 leads to the identi"&amp;"fication of five types of high-level security requirements dependencies, which further inform the automated tracing methods and guide the designs of system-level security tests. Experimental results on five projects in healthcare and education domains sho"&amp;"w the significant recall improvements at 81 percent. Our case study on a deployed production system uncovers four previously unknown vulnerabilities by using the detected requirements dependencies as test paths, demonstrating our approach's value in conne"&amp;"cting requirements engineering with security testing. © 1976-2012 IEEE.")</f>
        <v>Cyber attacks targeting software applications have a tremendous impact on our daily life. For example, attackers have utilized vulnerabilities of web applications to steal and gain unauthorized use of sensitive data stored in these systems. Previous studies indicate that security testing is highly precise, and therefore is widely applied to validate individual security requirements. However, dependencies between security requirements may cause additional vulnerabilities. Manual dependency detection faces scalability challenges, e.g., a previous study shows that the pairwise dependency analysis of 40 requirements would take around 12 hours. In this article, we present a novel approach which integrates the interdependency among high-level security requirements, such as those documented in policies, regulations, and standards. We then use automated requirements tracing methods to identify product-level security requirements and their dependencies. Our manual analysis of HIPAA and FIPS 200 leads to the identification of five types of high-level security requirements dependencies, which further inform the automated tracing methods and guide the designs of system-level security tests. Experimental results on five projects in healthcare and education domains show the significant recall improvements at 81 percent. Our case study on a deployed production system uncovers four previously unknown vulnerabilities by using the detected requirements dependencies as test paths, demonstrating our approach's value in connecting requirements engineering with security testing. © 1976-2012 IEEE.</v>
      </c>
      <c r="H95" s="8" t="str">
        <f>IFERROR(__xludf.DUMMYFUNCTION("""COMPUTED_VALUE"""),"requirements dependency management; requirements traceability; Security requirements; vulnerability discovery")</f>
        <v>requirements dependency management; requirements traceability; Security requirements; vulnerability discovery</v>
      </c>
      <c r="I95" s="10" t="b">
        <v>0</v>
      </c>
      <c r="J95" s="9" t="b">
        <v>1</v>
      </c>
      <c r="K95" s="10" t="b">
        <v>0</v>
      </c>
      <c r="L95" s="10" t="b">
        <v>0</v>
      </c>
      <c r="M95" s="10" t="b">
        <v>0</v>
      </c>
      <c r="N95" s="10" t="b">
        <v>0</v>
      </c>
      <c r="O95" s="11" t="b">
        <f t="shared" si="1"/>
        <v>0</v>
      </c>
      <c r="P95" s="16" t="b">
        <v>0</v>
      </c>
      <c r="Q95" s="7"/>
    </row>
    <row r="96">
      <c r="A96" s="5" t="b">
        <v>1</v>
      </c>
      <c r="B96" s="5" t="s">
        <v>121</v>
      </c>
      <c r="C96" s="6" t="str">
        <f>IFERROR(__xludf.DUMMYFUNCTION("""COMPUTED_VALUE"""),"10.1109/32.588520")</f>
        <v>10.1109/32.588520</v>
      </c>
      <c r="D96" s="7" t="str">
        <f>IFERROR(__xludf.DUMMYFUNCTION("""COMPUTED_VALUE"""),"Dutertre B.; Stavridou V.")</f>
        <v>Dutertre B.; Stavridou V.</v>
      </c>
      <c r="E96" s="7" t="str">
        <f>IFERROR(__xludf.DUMMYFUNCTION("""COMPUTED_VALUE"""),"Formal requirements analysis of an avionics control system")</f>
        <v>Formal requirements analysis of an avionics control system</v>
      </c>
      <c r="F96" s="7" t="str">
        <f>IFERROR(__xludf.DUMMYFUNCTION("""COMPUTED_VALUE"""),"TSE")</f>
        <v>TSE</v>
      </c>
      <c r="G96" s="7" t="str">
        <f>IFERROR(__xludf.DUMMYFUNCTION("""COMPUTED_VALUE"""),"We report on a formal requirements analysis experiment involving an avionics control system. We describe a method for specifying and verifying real-time systems with PVS. The experiment involves the formalization of the functional and safety requirements "&amp;"of the avionics system as well as its multilevel verification. First level verification demonstrates the consistency of the specifications whilst the second level shows that certain system safety properties are satisfied by the specification. We criticall"&amp;"y analyze methodological issues of large scale verification and propose some practical ways of structuring verification activities for optimizing the benefits. © 1997 IEEE.")</f>
        <v>We report on a formal requirements analysis experiment involving an avionics control system. We describe a method for specifying and verifying real-time systems with PVS. The experiment involves the formalization of the functional and safety requirements of the avionics system as well as its multilevel verification. First level verification demonstrates the consistency of the specifications whilst the second level shows that certain system safety properties are satisfied by the specification. We critically analyze methodological issues of large scale verification and propose some practical ways of structuring verification activities for optimizing the benefits. © 1997 IEEE.</v>
      </c>
      <c r="H96" s="8" t="str">
        <f>IFERROR(__xludf.DUMMYFUNCTION("""COMPUTED_VALUE"""),"Avionics systems; Formal specification; Formal verification; Requirements analysis; Safety critical systems")</f>
        <v>Avionics systems; Formal specification; Formal verification; Requirements analysis; Safety critical systems</v>
      </c>
      <c r="I96" s="9" t="b">
        <v>0</v>
      </c>
      <c r="J96" s="9" t="b">
        <v>1</v>
      </c>
      <c r="K96" s="9" t="b">
        <v>1</v>
      </c>
      <c r="L96" s="10" t="b">
        <v>0</v>
      </c>
      <c r="M96" s="10" t="b">
        <v>0</v>
      </c>
      <c r="N96" s="10" t="b">
        <v>0</v>
      </c>
      <c r="O96" s="11" t="b">
        <f t="shared" si="1"/>
        <v>0</v>
      </c>
      <c r="P96" s="12" t="b">
        <v>0</v>
      </c>
      <c r="Q96" s="13"/>
    </row>
    <row r="97">
      <c r="A97" s="5" t="b">
        <v>1</v>
      </c>
      <c r="B97" s="5" t="s">
        <v>122</v>
      </c>
      <c r="C97" s="6" t="str">
        <f>IFERROR(__xludf.DUMMYFUNCTION("""COMPUTED_VALUE"""),"10.1109/TSE.2011.104")</f>
        <v>10.1109/TSE.2011.104</v>
      </c>
      <c r="D97" s="7" t="str">
        <f>IFERROR(__xludf.DUMMYFUNCTION("""COMPUTED_VALUE"""),"Le Goues C.; Nguyen T.; Forrest S.; Weimer W.")</f>
        <v>Le Goues C.; Nguyen T.; Forrest S.; Weimer W.</v>
      </c>
      <c r="E97" s="7" t="str">
        <f>IFERROR(__xludf.DUMMYFUNCTION("""COMPUTED_VALUE"""),"GenProg: A generic method for automatic software repair")</f>
        <v>GenProg: A generic method for automatic software repair</v>
      </c>
      <c r="F97" s="7" t="str">
        <f>IFERROR(__xludf.DUMMYFUNCTION("""COMPUTED_VALUE"""),"TSE")</f>
        <v>TSE</v>
      </c>
      <c r="G97" s="7" t="str">
        <f>IFERROR(__xludf.DUMMYFUNCTION("""COMPUTED_VALUE"""),"This paper describes GenProg, an automated method for repairing defects in off-the-shelf, legacy programs without formal specifications, program annotations, or special coding practices. GenProg uses an extended form of genetic programming to evolve a pro"&amp;"gram variant that retains required functionality but is not susceptible to a given defect, using existing test suites to encode both the defect and required functionality. Structural differencing algorithms and delta debugging reduce the difference betwee"&amp;"n this variant and the original program to a minimal repair. We describe the algorithm and report experimental results of its success on 16 programs totaling 1.25 M lines of C code and 120K lines of module code, spanning eight classes of defects, in 357 s"&amp;"econds, on average. We analyze the generated repairs qualitatively and quantitatively to demonstrate that the process efficiently produces evolved programs that repair the defect, are not fragile input memorizations, and do not lead to serious degradation"&amp;" in functionality. © 2006 IEEE.")</f>
        <v>This paper describes GenProg, an automated method for repairing defects in off-the-shelf, legacy programs without formal specifications, program annotations, or special coding practices. GenProg uses an extended form of genetic programming to evolve a program variant that retains required functionality but is not susceptible to a given defect, using existing test suites to encode both the defect and required functionality. Structural differencing algorithms and delta debugging reduce the difference between this variant and the original program to a minimal repair. We describe the algorithm and report experimental results of its success on 16 programs totaling 1.25 M lines of C code and 120K lines of module code, spanning eight classes of defects, in 357 seconds, on average. We analyze the generated repairs qualitatively and quantitatively to demonstrate that the process efficiently produces evolved programs that repair the defect, are not fragile input memorizations, and do not lead to serious degradation in functionality. © 2006 IEEE.</v>
      </c>
      <c r="H97" s="8" t="str">
        <f>IFERROR(__xludf.DUMMYFUNCTION("""COMPUTED_VALUE"""),"Automatic programming; corrections; testing and debugging")</f>
        <v>Automatic programming; corrections; testing and debugging</v>
      </c>
      <c r="I97" s="10" t="b">
        <v>0</v>
      </c>
      <c r="J97" s="10" t="b">
        <v>0</v>
      </c>
      <c r="K97" s="10" t="b">
        <v>0</v>
      </c>
      <c r="L97" s="10" t="b">
        <v>0</v>
      </c>
      <c r="M97" s="10" t="b">
        <v>0</v>
      </c>
      <c r="N97" s="10" t="b">
        <v>0</v>
      </c>
      <c r="O97" s="11" t="b">
        <f t="shared" si="1"/>
        <v>0</v>
      </c>
      <c r="P97" s="16" t="b">
        <v>0</v>
      </c>
      <c r="Q97" s="7"/>
    </row>
    <row r="98">
      <c r="A98" s="5" t="b">
        <v>1</v>
      </c>
      <c r="B98" s="5" t="s">
        <v>123</v>
      </c>
      <c r="C98" s="6" t="str">
        <f>IFERROR(__xludf.DUMMYFUNCTION("""COMPUTED_VALUE"""),"10.1109/TSE.2003.1214328")</f>
        <v>10.1109/TSE.2003.1214328</v>
      </c>
      <c r="D98" s="7" t="str">
        <f>IFERROR(__xludf.DUMMYFUNCTION("""COMPUTED_VALUE"""),"Vitharana P.; Zahedi F.M.; Jain H.")</f>
        <v>Vitharana P.; Zahedi F.M.; Jain H.</v>
      </c>
      <c r="E98" s="7" t="str">
        <f>IFERROR(__xludf.DUMMYFUNCTION("""COMPUTED_VALUE"""),"Knowledge-based repository scheme for storing and retrieving business components: A theoretical design and an empirical analysis")</f>
        <v>Knowledge-based repository scheme for storing and retrieving business components: A theoretical design and an empirical analysis</v>
      </c>
      <c r="F98" s="7" t="str">
        <f>IFERROR(__xludf.DUMMYFUNCTION("""COMPUTED_VALUE"""),"TSE")</f>
        <v>TSE</v>
      </c>
      <c r="G98" s="7" t="str">
        <f>IFERROR(__xludf.DUMMYFUNCTION("""COMPUTED_VALUE"""),"Component-based development (CDB) promises to reduce complexity and cost of software development and maintenance through reuse. For CBD to be successful, a vibrant market for commercial business components is essential. One of the key requirements of an a"&amp;"ctive market for business components is an effective scheme for classifying and describing them at various levels of detail, as well as a corresponding repository for storing and retrieving these components. Such a scheme needs to support various constitu"&amp;"ents such as business users, managers, and application assemblers. The scheme and repository should help users and managers to select components that match their requirements and aid application assemblers in identifying components most compatible with th"&amp;"eir deployment environment (such as the platform) and system inputs (such as data types). Drawing from the concepts of group technology and software reuse paradigm, this paper proposes a scheme for classifying and describing business components and the de"&amp;"sign of a knowledge-based repository for their storage and retrieval. The proposed scheme is implemented in a prototype repository. The effectiveness of the prototype and the underlying classification and coding scheme is assessed empirically through cont"&amp;"rolled experiments. Results support the assertion that the scheme is effective in enhancing the users' and analysts' ability to find the needed business components.")</f>
        <v>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v>
      </c>
      <c r="H98" s="8" t="str">
        <f>IFERROR(__xludf.DUMMYFUNCTION("""COMPUTED_VALUE"""),"Business component; Component repository; Empirical study; Software library; Software reuse")</f>
        <v>Business component; Component repository; Empirical study; Software library; Software reuse</v>
      </c>
      <c r="I98" s="10" t="b">
        <v>0</v>
      </c>
      <c r="J98" s="10" t="b">
        <v>0</v>
      </c>
      <c r="K98" s="10" t="b">
        <v>0</v>
      </c>
      <c r="L98" s="10" t="b">
        <v>0</v>
      </c>
      <c r="M98" s="10" t="b">
        <v>0</v>
      </c>
      <c r="N98" s="10" t="b">
        <v>0</v>
      </c>
      <c r="O98" s="11" t="b">
        <f t="shared" si="1"/>
        <v>0</v>
      </c>
      <c r="P98" s="16" t="b">
        <v>0</v>
      </c>
      <c r="Q98" s="7"/>
    </row>
    <row r="99">
      <c r="A99" s="5" t="b">
        <v>1</v>
      </c>
      <c r="B99" s="5" t="s">
        <v>124</v>
      </c>
      <c r="C99" s="6" t="str">
        <f>IFERROR(__xludf.DUMMYFUNCTION("""COMPUTED_VALUE"""),"10.1109/TSE.2022.3210076")</f>
        <v>10.1109/TSE.2022.3210076</v>
      </c>
      <c r="D99" s="7" t="str">
        <f>IFERROR(__xludf.DUMMYFUNCTION("""COMPUTED_VALUE"""),"Aranda A.M.; Dieste O.; Panach J.I.; Juristo N.")</f>
        <v>Aranda A.M.; Dieste O.; Panach J.I.; Juristo N.</v>
      </c>
      <c r="E99" s="7" t="str">
        <f>IFERROR(__xludf.DUMMYFUNCTION("""COMPUTED_VALUE"""),"Effect of Requirements Analyst Experience on Elicitation Effectiveness: A Family of Quasi-Experiments")</f>
        <v>Effect of Requirements Analyst Experience on Elicitation Effectiveness: A Family of Quasi-Experiments</v>
      </c>
      <c r="F99" s="7" t="str">
        <f>IFERROR(__xludf.DUMMYFUNCTION("""COMPUTED_VALUE"""),"TSE")</f>
        <v>TSE</v>
      </c>
      <c r="G99" s="7" t="str">
        <f>IFERROR(__xludf.DUMMYFUNCTION("""COMPUTED_VALUE"""),"Context. In software engineering there is a widespread assumption that experience improves requirements analyst effectiveness, although empirical studies demonstrate the opposite. Aim. Determine whether experience (interviews, eliciting, development, prof"&amp;"essional) influences requirements elicitation using interviews. Method. We ran 12 quasi-experiments recruiting 124 subjects in which we measured analyst effectiveness as the number of items (i.e., concepts, rules, processes) correctly elicited. The experi"&amp;"mental task was to elicit requirements using the open interview technique followed by the consolidation of the elicited information in domains with which the analysts were and were not familiar. Results. In unfamiliar domains, interview experience, requir"&amp;"ements experience, development experience, and professional experience does not have any relationship with analyst effectiveness. In familiar domains, effectiveness varies depending on the type of experience. Interview experience has a positive effect, wh"&amp;"ereas professional experience has a moderate negative effect. Requirements experience appears to have a moderately positive effect; however, the statistical power of the analysis is insufficient to be able to confirm this point. Development experience has"&amp;" no effect. Conclusion. Experience impacts analyst effectiveness differently depending on the problem domain type (familiar, unfamiliar). Generally, experience does not account for all the observed variability in effectiveness, so there are other influent"&amp;"ial factors.  © 1976-2012 IEEE.")</f>
        <v>Context. In software engineering there is a widespread assumption that experience improves requirements analyst effectiveness, although empirical studies demonstrate the opposite. Aim. Determine whether experience (interviews, eliciting, development, professional) influences requirements elicitation using interviews. Method. We ran 12 quasi-experiments recruiting 124 subjects in which we measured analyst effectiveness as the number of items (i.e., concepts, rules, processes) correctly elicited. The experimental task was to elicit requirements using the open interview technique followed by the consolidation of the elicited information in domains with which the analysts were and were not familiar. Results. In unfamiliar domains, interview experience, requirements experience, development experience, and professional experience does not have any relationship with analyst effectiveness. In familiar domains, effectiveness varies depending on the type of experience. Interview experience has a positive effect, whereas professional experience has a moderate negative effect. Requirements experience appears to have a moderately positive effect; however, the statistical power of the analysis is insufficient to be able to confirm this point. Development experience has no effect. Conclusion. Experience impacts analyst effectiveness differently depending on the problem domain type (familiar, unfamiliar). Generally, experience does not account for all the observed variability in effectiveness, so there are other influential factors.  © 1976-2012 IEEE.</v>
      </c>
      <c r="H99" s="8" t="str">
        <f>IFERROR(__xludf.DUMMYFUNCTION("""COMPUTED_VALUE"""),"effectiveness; Elicitation; experience; problem domain; quasi-experiment; requirements analyst")</f>
        <v>effectiveness; Elicitation; experience; problem domain; quasi-experiment; requirements analyst</v>
      </c>
      <c r="I99" s="9" t="b">
        <v>1</v>
      </c>
      <c r="J99" s="10" t="b">
        <v>0</v>
      </c>
      <c r="K99" s="10" t="b">
        <v>0</v>
      </c>
      <c r="L99" s="10" t="b">
        <v>0</v>
      </c>
      <c r="M99" s="10" t="b">
        <v>0</v>
      </c>
      <c r="N99" s="10" t="b">
        <v>0</v>
      </c>
      <c r="O99" s="11" t="b">
        <f t="shared" si="1"/>
        <v>0</v>
      </c>
      <c r="P99" s="16" t="b">
        <v>0</v>
      </c>
      <c r="Q99" s="13" t="s">
        <v>125</v>
      </c>
    </row>
    <row r="100">
      <c r="A100" s="5" t="b">
        <v>1</v>
      </c>
      <c r="B100" s="5" t="s">
        <v>126</v>
      </c>
      <c r="C100" s="6" t="str">
        <f>IFERROR(__xludf.DUMMYFUNCTION("""COMPUTED_VALUE"""),"10.1109/TSE.2009.91")</f>
        <v>10.1109/TSE.2009.91</v>
      </c>
      <c r="D100" s="7" t="str">
        <f>IFERROR(__xludf.DUMMYFUNCTION("""COMPUTED_VALUE"""),"Antunes J.; Neves N.; Correia M.; Verissimo P.; Neves R.")</f>
        <v>Antunes J.; Neves N.; Correia M.; Verissimo P.; Neves R.</v>
      </c>
      <c r="E100" s="7" t="str">
        <f>IFERROR(__xludf.DUMMYFUNCTION("""COMPUTED_VALUE"""),"Vulnerability discovery with attack injection")</f>
        <v>Vulnerability discovery with attack injection</v>
      </c>
      <c r="F100" s="7" t="str">
        <f>IFERROR(__xludf.DUMMYFUNCTION("""COMPUTED_VALUE"""),"TSE")</f>
        <v>TSE</v>
      </c>
      <c r="G100" s="7" t="str">
        <f>IFERROR(__xludf.DUMMYFUNCTION("""COMPUTED_VALUE"""),"The increasing reliance put on networked computer systems demands higher levels of dependability. This is even more relevant as new threats and forms of attack are constantly being revealed, compromising the security of systems. This paper addresses this "&amp;"problem by presenting an attack injection methodology for the automatic discovery of vulnerabilities in software components. The proposed methodology, implemented in AJECT, follows an approach similar to hackers and security analysts to discover vulnerabi"&amp;"lities in network-connected servers. AJECT uses a specification of the server's communication protocol and predefined test case generation algorithms to automatically create a large number of attacks. Then, while it injects these attacks through the netwo"&amp;"rk, it monitors the execution of the server in the target system and the responses returned to the clients. The observation of an unexpected behavior suggests the presence of a vulnerability that was triggered by some particular attack (or group of attack"&amp;"s). This attack can then be used to reproduce the anomaly and to assist the removal of the error. To assess the usefulness of this approach, several attack injection campaigns were performed with 16 publicly available POP and IMAP servers. The results sho"&amp;"w that AJECT could effectively be used to locate vulnerabilities, even on well-known servers tested throughout the years. © 2006 IEEE.")</f>
        <v>The increasing reliance put on networked computer systems demands higher levels of dependability. This is even more relevant as new threats and forms of attack are constantly being revealed, compromising the security of systems. This paper addresses this problem by presenting an attack injection methodology for the automatic discovery of vulnerabilities in software components. The proposed methodology, implemented in AJECT, follows an approach similar to hackers and security analysts to discover vulnerabilities in network-connected servers. AJECT uses a specification of the server's communication protocol and predefined test case generation algorithms to automatically create a large number of attacks. Then, while it injects these attacks through the network, it monitors the execution of the server in the target system and the responses returned to the clients. The observation of an unexpected behavior suggests the presence of a vulnerability that was triggered by some particular attack (or group of attacks). This attack can then be used to reproduce the anomaly and to assist the removal of the error. To assess the usefulness of this approach, several attack injection campaigns were performed with 16 publicly available POP and IMAP servers. The results show that AJECT could effectively be used to locate vulnerabilities, even on well-known servers tested throughout the years. © 2006 IEEE.</v>
      </c>
      <c r="H100" s="8" t="str">
        <f>IFERROR(__xludf.DUMMYFUNCTION("""COMPUTED_VALUE"""),"Attack injection; Experimental evaluation; Fault injection; Software engineering; Test design; Testing and debugging; Testing tools")</f>
        <v>Attack injection; Experimental evaluation; Fault injection; Software engineering; Test design; Testing and debugging; Testing tools</v>
      </c>
      <c r="I100" s="10" t="b">
        <v>0</v>
      </c>
      <c r="J100" s="10" t="b">
        <v>0</v>
      </c>
      <c r="K100" s="10" t="b">
        <v>0</v>
      </c>
      <c r="L100" s="10" t="b">
        <v>0</v>
      </c>
      <c r="M100" s="10" t="b">
        <v>0</v>
      </c>
      <c r="N100" s="10" t="b">
        <v>0</v>
      </c>
      <c r="O100" s="11" t="b">
        <f t="shared" si="1"/>
        <v>0</v>
      </c>
      <c r="P100" s="16" t="b">
        <v>0</v>
      </c>
      <c r="Q100" s="7"/>
    </row>
    <row r="101">
      <c r="A101" s="5" t="b">
        <v>1</v>
      </c>
      <c r="B101" s="5" t="s">
        <v>127</v>
      </c>
      <c r="C101" s="6" t="str">
        <f>IFERROR(__xludf.DUMMYFUNCTION("""COMPUTED_VALUE"""),"10.1109/32.713330")</f>
        <v>10.1109/32.713330</v>
      </c>
      <c r="D101" s="7" t="str">
        <f>IFERROR(__xludf.DUMMYFUNCTION("""COMPUTED_VALUE"""),"Song X.; Osterweil L.J.")</f>
        <v>Song X.; Osterweil L.J.</v>
      </c>
      <c r="E101" s="7" t="str">
        <f>IFERROR(__xludf.DUMMYFUNCTION("""COMPUTED_VALUE"""),"Engineering software design processes to guide process execution")</f>
        <v>Engineering software design processes to guide process execution</v>
      </c>
      <c r="F101" s="7" t="str">
        <f>IFERROR(__xludf.DUMMYFUNCTION("""COMPUTED_VALUE"""),"TSE")</f>
        <v>TSE</v>
      </c>
      <c r="G101" s="7" t="str">
        <f>IFERROR(__xludf.DUMMYFUNCTION("""COMPUTED_VALUE"""),"Using systematic development processes is an important characteristic of any mature engineering discipline. In current software practice, Software Design Methodologies (SDMs) are intended to be used to help design software more systematically. This paper "&amp;"shows, however, that one well-known example of such an SDM, Booch Object-Oriented Design (BOOD), as described in the literature is too imprecise and incomplete to be considered as a fully systematic process for specific projects. To provide more effective"&amp;" and appropriate guidance and control in software design processes, we applied the process programming concept to the design process. Given two different sets of plausible design process requirements, we elaborated two more detailed and precise design pro"&amp;"cesses that are responsive to these requirements. We have also implemented, experimented with, and evaluated a prototype (called Debus-Booch) that supports the execution of these detailed processes. © 1998 IEEE.")</f>
        <v>Using systematic development processes is an important characteristic of any mature engineering discipline. In current software practice, Software Design Methodologies (SDMs) are intended to be used to help design software more systematically. This paper shows, however, that one well-known example of such an SDM, Booch Object-Oriented Design (BOOD), as described in the literature is too imprecise and incomplete to be considered as a fully systematic process for specific projects. To provide more effective and appropriate guidance and control in software design processes, we applied the process programming concept to the design process. Given two different sets of plausible design process requirements, we elaborated two more detailed and precise design processes that are responsive to these requirements. We have also implemented, experimented with, and evaluated a prototype (called Debus-Booch) that supports the execution of these detailed processes. © 1998 IEEE.</v>
      </c>
      <c r="H101" s="8" t="str">
        <f>IFERROR(__xludf.DUMMYFUNCTION("""COMPUTED_VALUE"""),"Design methodology; Design methods; Software design process")</f>
        <v>Design methodology; Design methods; Software design process</v>
      </c>
      <c r="I101" s="10" t="b">
        <v>0</v>
      </c>
      <c r="J101" s="10" t="b">
        <v>0</v>
      </c>
      <c r="K101" s="10" t="b">
        <v>0</v>
      </c>
      <c r="L101" s="10" t="b">
        <v>0</v>
      </c>
      <c r="M101" s="10" t="b">
        <v>0</v>
      </c>
      <c r="N101" s="10" t="b">
        <v>0</v>
      </c>
      <c r="O101" s="11" t="b">
        <f t="shared" si="1"/>
        <v>0</v>
      </c>
      <c r="P101" s="16" t="b">
        <v>0</v>
      </c>
      <c r="Q101" s="7"/>
    </row>
    <row r="102">
      <c r="A102" s="5" t="b">
        <v>1</v>
      </c>
      <c r="B102" s="5" t="s">
        <v>128</v>
      </c>
      <c r="C102" s="6" t="str">
        <f>IFERROR(__xludf.DUMMYFUNCTION("""COMPUTED_VALUE"""),"10.1109/32.879812")</f>
        <v>10.1109/32.879812</v>
      </c>
      <c r="D102" s="7" t="str">
        <f>IFERROR(__xludf.DUMMYFUNCTION("""COMPUTED_VALUE"""),"Peleg M.; Dori D.")</f>
        <v>Peleg M.; Dori D.</v>
      </c>
      <c r="E102" s="7" t="str">
        <f>IFERROR(__xludf.DUMMYFUNCTION("""COMPUTED_VALUE"""),"The model multiplicity problem: Experimenting with real-time specification methods")</f>
        <v>The model multiplicity problem: Experimenting with real-time specification methods</v>
      </c>
      <c r="F102" s="7" t="str">
        <f>IFERROR(__xludf.DUMMYFUNCTION("""COMPUTED_VALUE"""),"TSE")</f>
        <v>TSE</v>
      </c>
      <c r="G102" s="7" t="str">
        <f>IFERROR(__xludf.DUMMYFUNCTION("""COMPUTED_VALUE"""),"The Object-Process Methodology (OPM) specifies both graphically and textually the system's static-structural and behavioral-procedural aspects through a single unifying model. This model singularity is contrasted with the multimodel approach applied by ex"&amp;"isting object-oriented system analysis methods. These methods usually employ at least three distinct models for specifying various system aspects-mainly structure, function, and behavior. Object Modeling Technique (OMT), the main ancestor of the Unified M"&amp;"odeling Language (UML), extended with Timed Statecharts, represents a family of such multimodel object-oriented methods. Two major open questions related to model multiplicity vs. model singularity have been 1) whether or not a single model, rather than a"&amp;" combination of several models, enables the synthesis of a better system specification and 2) which of the two alternative approaches yields a specification that is easier to comprehend. In this study, we address these questions through a double-blind con"&amp;"trolled experiment. To obtain conclusive results, real-time systems, which exhibit a more complex dynamic behavior than nonrealtime systems were selected as the focus of the experiment. We establish empirically that a single model methodology-OPM-is more "&amp;"effective than a multimodel one-OMT-in terms of synthesis. We pinpoint specific issues in which significant differences between the two methodologies were found. The specification comprehension results show that there were significant differences between "&amp;"the two methods in specific issues. © 2000 IEEE.")</f>
        <v>The Object-Process Methodology (OPM) specifies both graphically and textually the system's static-structural and behavioral-procedural aspects through a single unifying model. This model singularity is contrasted with the multimodel approach applied by existing object-oriented system analysis methods. These methods usually employ at least three distinct models for specifying various system aspects-mainly structure, function, and behavior. Object Modeling Technique (OMT), the main ancestor of the Unified Modeling Language (UML), extended with Timed Statecharts, represents a family of such multimodel object-oriented methods. Two major open questions related to model multiplicity vs. model singularity have been 1) whether or not a single model, rather than a combination of several models, enables the synthesis of a better system specification and 2) which of the two alternative approaches yields a specification that is easier to comprehend. In this study, we address these questions through a double-blind controlled experiment. To obtain conclusive results, real-time systems, which exhibit a more complex dynamic behavior than nonrealtime systems were selected as the focus of the experiment. We establish empirically that a single model methodology-OPM-is more effective than a multimodel one-OMT-in terms of synthesis. We pinpoint specific issues in which significant differences between the two methodologies were found. The specification comprehension results show that there were significant differences between the two methods in specific issues. © 2000 IEEE.</v>
      </c>
      <c r="H102" s="8" t="str">
        <f>IFERROR(__xludf.DUMMYFUNCTION("""COMPUTED_VALUE"""),"Analysis and design methodologies; And empirical evaluation; Experimentation; Object-oriented analysis; Object-process methodology; Quality of analysis; Real-time systems specification; Software engineering")</f>
        <v>Analysis and design methodologies; And empirical evaluation; Experimentation; Object-oriented analysis; Object-process methodology; Quality of analysis; Real-time systems specification; Software engineering</v>
      </c>
      <c r="I102" s="9" t="b">
        <v>1</v>
      </c>
      <c r="J102" s="10" t="b">
        <v>0</v>
      </c>
      <c r="K102" s="9" t="b">
        <v>1</v>
      </c>
      <c r="L102" s="10" t="b">
        <v>0</v>
      </c>
      <c r="M102" s="10" t="b">
        <v>0</v>
      </c>
      <c r="N102" s="10" t="b">
        <v>0</v>
      </c>
      <c r="O102" s="11" t="b">
        <f t="shared" si="1"/>
        <v>0</v>
      </c>
      <c r="P102" s="16" t="b">
        <v>0</v>
      </c>
      <c r="Q102" s="13" t="s">
        <v>129</v>
      </c>
    </row>
    <row r="103">
      <c r="A103" s="5" t="b">
        <v>1</v>
      </c>
      <c r="B103" s="5" t="s">
        <v>130</v>
      </c>
      <c r="C103" s="6" t="str">
        <f>IFERROR(__xludf.DUMMYFUNCTION("""COMPUTED_VALUE"""),"10.1109/TSE.2011.36")</f>
        <v>10.1109/TSE.2011.36</v>
      </c>
      <c r="D103" s="7" t="str">
        <f>IFERROR(__xludf.DUMMYFUNCTION("""COMPUTED_VALUE"""),"Lim S.L.; Finkelstein A.")</f>
        <v>Lim S.L.; Finkelstein A.</v>
      </c>
      <c r="E103" s="7" t="str">
        <f>IFERROR(__xludf.DUMMYFUNCTION("""COMPUTED_VALUE"""),"StakeRare: Using social networks and collaborative filtering for large-scale requirements elicitation")</f>
        <v>StakeRare: Using social networks and collaborative filtering for large-scale requirements elicitation</v>
      </c>
      <c r="F103" s="7" t="str">
        <f>IFERROR(__xludf.DUMMYFUNCTION("""COMPUTED_VALUE"""),"TSE")</f>
        <v>TSE</v>
      </c>
      <c r="G103" s="7" t="str">
        <f>IFERROR(__xludf.DUMMYFUNCTION("""COMPUTED_VALUE"""),"Requirements elicitation is the software engineering activity in which stakeholder needs are understood. It involves identifying and prioritizing requirements-a process difficult to scale to large software projects with many stakeholders. This paper propo"&amp;"ses StakeRare, a novel method that uses social networks and collaborative filtering to identify and prioritize requirements in large software projects. StakeRare identifies stakeholders and asks them to recommend other stakeholders and stakeholder roles, "&amp;"builds a social network with stakeholders as nodes and their recommendations as links, and prioritizes stakeholders using a variety of social network measures to determine their project influence. It then asks the stakeholders to rate an initial list of r"&amp;"equirements, recommends other relevant requirements to them using collaborative filtering, and prioritizes their requirements using their ratings weighted by their project influence. StakeRare was evaluated by applying it to a software project for a 30,00"&amp;"0-user system, and a substantial empirical study of requirements elicitation was conducted. Using the data collected from surveying and interviewing 87 stakeholders, the study demonstrated that StakeRare predicts stakeholder needs accurately and arrives a"&amp;"t a more complete and accurately prioritized list of requirements compared to the existing method used in the project, taking only a fraction of the time. © 2012 IEEE.")</f>
        <v>Requirements elicitation is the software engineering activity in which stakeholder needs are understood. It involves identifying and prioritizing requirements-a process difficult to scale to large software projects with many stakeholders. This paper proposes StakeRare, a novel method that uses social networks and collaborative filtering to identify and prioritize requirements in large software projects. StakeRare identifies stakeholders and asks them to recommend other stakeholders and stakeholder roles, builds a social network with stakeholders as nodes and their recommendations as links, and prioritizes stakeholders using a variety of social network measures to determine their project influence. It then asks the stakeholders to rate an initial list of requirements, recommends other relevant requirements to them using collaborative filtering, and prioritizes their requirements using their ratings weighted by their project influence. StakeRare was evaluated by applying it to a software project for a 30,000-user system, and a substantial empirical study of requirements elicitation was conducted. Using the data collected from surveying and interviewing 87 stakeholders, the study demonstrated that StakeRare predicts stakeholder needs accurately and arrives at a more complete and accurately prioritized list of requirements compared to the existing method used in the project, taking only a fraction of the time. © 2012 IEEE.</v>
      </c>
      <c r="H103" s="8" t="str">
        <f>IFERROR(__xludf.DUMMYFUNCTION("""COMPUTED_VALUE"""),"elicitation methods; experimentation; human factors; recommender systems; requirements prioritization; Requirements/specifications; social network analysis; stakeholder analysis")</f>
        <v>elicitation methods; experimentation; human factors; recommender systems; requirements prioritization; Requirements/specifications; social network analysis; stakeholder analysis</v>
      </c>
      <c r="I103" s="10" t="b">
        <v>0</v>
      </c>
      <c r="J103" s="10" t="b">
        <v>0</v>
      </c>
      <c r="K103" s="10" t="b">
        <v>0</v>
      </c>
      <c r="L103" s="10" t="b">
        <v>0</v>
      </c>
      <c r="M103" s="10" t="b">
        <v>0</v>
      </c>
      <c r="N103" s="10" t="b">
        <v>0</v>
      </c>
      <c r="O103" s="11" t="b">
        <f t="shared" si="1"/>
        <v>0</v>
      </c>
      <c r="P103" s="16" t="b">
        <v>0</v>
      </c>
      <c r="Q103" s="7"/>
    </row>
    <row r="104">
      <c r="A104" s="5" t="b">
        <v>1</v>
      </c>
      <c r="B104" s="5" t="s">
        <v>131</v>
      </c>
      <c r="C104" s="6" t="str">
        <f>IFERROR(__xludf.DUMMYFUNCTION("""COMPUTED_VALUE"""),"10.1109/TSE.2014.2331982")</f>
        <v>10.1109/TSE.2014.2331982</v>
      </c>
      <c r="D104" s="7" t="str">
        <f>IFERROR(__xludf.DUMMYFUNCTION("""COMPUTED_VALUE"""),"Lin Y.-D.; Rojas J.F.; Chu E.T.-H.; Lai Y.-C.")</f>
        <v>Lin Y.-D.; Rojas J.F.; Chu E.T.-H.; Lai Y.-C.</v>
      </c>
      <c r="E104" s="7" t="str">
        <f>IFERROR(__xludf.DUMMYFUNCTION("""COMPUTED_VALUE"""),"On the accuracy, efficiency, and reusability of automated test oracles for android devices")</f>
        <v>On the accuracy, efficiency, and reusability of automated test oracles for android devices</v>
      </c>
      <c r="F104" s="7" t="str">
        <f>IFERROR(__xludf.DUMMYFUNCTION("""COMPUTED_VALUE"""),"TSE")</f>
        <v>TSE</v>
      </c>
      <c r="G104" s="7" t="str">
        <f>IFERROR(__xludf.DUMMYFUNCTION("""COMPUTED_VALUE"""),"Automated GUI testing consists of simulating user events and validating the changes in the GUI in order to determine if an Android application meets specifications. Traditional record-replay testing tools mainly focus on facilitating the test case writing"&amp;" process but not the replay and verification process. The accuracy of testing tools degrades significantly when the device under test (DUT) is under heavy load. In order to improve the accuracy, our previous work, SPAG, uses event batching and smart wait "&amp;"function to eliminate the uncertainty of the replay process and adopts GUI layout information to verify the testing results. SPAG maintains an accuracy of up to 99.5 percent and outperforms existing methods. In this work, we propose smart phone automated "&amp;"GUI testing tool with camera (SPAG-C), an extension of SPAG, to test an Android hardware device. Our goal is to further reduce the time required to record test cases and increase reusability of the test oracle without compromising test accuracy. In the re"&amp;"cord stage, SPAG captures screenshots from device's frame buffer and writes verification commands into the test case. Unlike SPAG, SPAG-C captures the screenshots from an external camera instead of frame buffer. In the replay stage, SPAG-C automatically p"&amp;"erforms image comparison while SPAG simply performs a string comparison to verify the test results. In order to make SPAG-C reusable for different devices and to allow bettersynchronization at the time of capturing images, we develop a new architecture th"&amp;"at uses an external camera and Web services to decouple the test oracle. Our experiments show that recording a test case using SPAG-C's automatic verification is as fast as SPAG's but more accurate. Moreover, SPAG-C is 50 to 75 percent faster than SPAG in"&amp;" achieving the same test accuracy. With reusability, SPAG-C reduces the testing time from days to hours for heterogeneous devices. © 1976-2012 IEEE.")</f>
        <v>Automated GUI testing consists of simulating user events and validating the changes in the GUI in order to determine if an Android application meets specifications. Traditional record-replay testing tools mainly focus on facilitating the test case writing process but not the replay and verification process. The accuracy of testing tools degrades significantly when the device under test (DUT) is under heavy load. In order to improve the accuracy, our previous work, SPAG, uses event batching and smart wait function to eliminate the uncertainty of the replay process and adopts GUI layout information to verify the testing results. SPAG maintains an accuracy of up to 99.5 percent and outperforms existing methods. In this work, we propose smart phone automated GUI testing tool with camera (SPAG-C), an extension of SPAG, to test an Android hardware device. Our goal is to further reduce the time required to record test cases and increase reusability of the test oracle without compromising test accuracy. In the record stage, SPAG captures screenshots from device's frame buffer and writes verification commands into the test case. Unlike SPAG, SPAG-C captures the screenshots from an external camera instead of frame buffer. In the replay stage, SPAG-C automatically performs image comparison while SPAG simply performs a string comparison to verify the test results. In order to make SPAG-C reusable for different devices and to allow bettersynchronization at the time of capturing images, we develop a new architecture that uses an external camera and Web services to decouple the test oracle. Our experiments show that recording a test case using SPAG-C's automatic verification is as fast as SPAG's but more accurate. Moreover, SPAG-C is 50 to 75 percent faster than SPAG in achieving the same test accuracy. With reusability, SPAG-C reduces the testing time from days to hours for heterogeneous devices. © 1976-2012 IEEE.</v>
      </c>
      <c r="H104" s="8" t="str">
        <f>IFERROR(__xludf.DUMMYFUNCTION("""COMPUTED_VALUE"""),"Reusable software; test execution; testing tools; user interfaces")</f>
        <v>Reusable software; test execution; testing tools; user interfaces</v>
      </c>
      <c r="I104" s="10" t="b">
        <v>0</v>
      </c>
      <c r="J104" s="10" t="b">
        <v>0</v>
      </c>
      <c r="K104" s="10" t="b">
        <v>0</v>
      </c>
      <c r="L104" s="10" t="b">
        <v>0</v>
      </c>
      <c r="M104" s="10" t="b">
        <v>0</v>
      </c>
      <c r="N104" s="10" t="b">
        <v>0</v>
      </c>
      <c r="O104" s="11" t="b">
        <f t="shared" si="1"/>
        <v>0</v>
      </c>
      <c r="P104" s="16" t="b">
        <v>0</v>
      </c>
      <c r="Q104" s="7"/>
    </row>
    <row r="105">
      <c r="A105" s="5" t="b">
        <v>1</v>
      </c>
      <c r="B105" s="5" t="s">
        <v>132</v>
      </c>
      <c r="C105" s="6" t="str">
        <f>IFERROR(__xludf.DUMMYFUNCTION("""COMPUTED_VALUE"""),"10.1109/TSE.2023.3330400")</f>
        <v>10.1109/TSE.2023.3330400</v>
      </c>
      <c r="D105" s="7" t="str">
        <f>IFERROR(__xludf.DUMMYFUNCTION("""COMPUTED_VALUE"""),"Salman I.; Turhan B.; Ramac R.; Mandic V.")</f>
        <v>Salman I.; Turhan B.; Ramac R.; Mandic V.</v>
      </c>
      <c r="E105" s="7" t="str">
        <f>IFERROR(__xludf.DUMMYFUNCTION("""COMPUTED_VALUE"""),"Confirmation Bias and Time Pressure: A Family of Experiments in Software Testing")</f>
        <v>Confirmation Bias and Time Pressure: A Family of Experiments in Software Testing</v>
      </c>
      <c r="F105" s="7" t="str">
        <f>IFERROR(__xludf.DUMMYFUNCTION("""COMPUTED_VALUE"""),"TSE")</f>
        <v>TSE</v>
      </c>
      <c r="G105" s="7" t="str">
        <f>IFERROR(__xludf.DUMMYFUNCTION("""COMPUTED_VALUE"""),"&lt;bold&gt;Background&lt;/bold&gt;: Software testers manifest confirmation bias (the cognitive tendency) when they design relatively more specification consistent test cases than specification inconsistent test cases. Time pressure may influence confirmation bias of"&amp;" testers per the research in the psychology discipline. &lt;bold&gt;Objective&lt;/bold&gt;: We examine the manifestation of confirmation bias of software testers while designing functional test cases, and the effect of time pressure on confirmation bias in the same c"&amp;"ontext. &lt;bold&gt;Method&lt;/bold&gt;: We executed one internal and two external experimental replications concerning the original experimentation in Oulu. We analyse individual replications and meta-analyse our family of experiments (the original and replications)"&amp;" for joint results on the phenomena. Results: Our findings indicate a significant manifestation of confirmation bias by software testers during the designing of functional test cases. Time pressure significantly promoted confirmation bias among testers pe"&amp;"r the joint results of the family. The different experimental sites affected the results; however, we did not detect any effects of site-specific variables. &lt;bold&gt;Conclusion&lt;/bold&gt;: Software testers should develop an outside-of-the-box thinking attitude t"&amp;"o counter the manifestation of confirmation bias. Time pressure can be manoeuvred by centring manual suites on the designing and consequently the execution of inconsistent test cases, while automated testing focuses on consistent ones. Authors")</f>
        <v>&lt;bold&gt;Background&lt;/bold&gt;: Software testers manifest confirmation bias (the cognitive tendency) when they design relatively more specification consistent test cases than specification inconsistent test cases. Time pressure may influence confirmation bias of testers per the research in the psychology discipline. &lt;bold&gt;Objective&lt;/bold&gt;: We examine the manifestation of confirmation bias of software testers while designing functional test cases, and the effect of time pressure on confirmation bias in the same context. &lt;bold&gt;Method&lt;/bold&gt;: We executed one internal and two external experimental replications concerning the original experimentation in Oulu. We analyse individual replications and meta-analyse our family of experiments (the original and replications) for joint results on the phenomena. Results: Our findings indicate a significant manifestation of confirmation bias by software testers during the designing of functional test cases. Time pressure significantly promoted confirmation bias among testers per the joint results of the family. The different experimental sites affected the results; however, we did not detect any effects of site-specific variables. &lt;bold&gt;Conclusion&lt;/bold&gt;: Software testers should develop an outside-of-the-box thinking attitude to counter the manifestation of confirmation bias. Time pressure can be manoeuvred by centring manual suites on the designing and consequently the execution of inconsistent test cases, while automated testing focuses on consistent ones. Authors</v>
      </c>
      <c r="H105" s="8" t="str">
        <f>IFERROR(__xludf.DUMMYFUNCTION("""COMPUTED_VALUE"""),"Aggregation; Cognitive Bias; Companies; Confirmation Bias; Experiment; Protocols; Replication; Sociology; Software; Software engineering; Software Testing; Software testing; Statistics; Time Pressure")</f>
        <v>Aggregation; Cognitive Bias; Companies; Confirmation Bias; Experiment; Protocols; Replication; Sociology; Software; Software engineering; Software Testing; Software testing; Statistics; Time Pressure</v>
      </c>
      <c r="I105" s="9" t="b">
        <v>1</v>
      </c>
      <c r="J105" s="9" t="b">
        <v>1</v>
      </c>
      <c r="K105" s="9" t="b">
        <v>1</v>
      </c>
      <c r="L105" s="10" t="b">
        <v>0</v>
      </c>
      <c r="M105" s="10" t="b">
        <v>0</v>
      </c>
      <c r="N105" s="10" t="b">
        <v>0</v>
      </c>
      <c r="O105" s="11" t="b">
        <f t="shared" si="1"/>
        <v>1</v>
      </c>
      <c r="P105" s="12" t="b">
        <v>0</v>
      </c>
      <c r="Q105" s="13"/>
    </row>
    <row r="106">
      <c r="A106" s="5" t="b">
        <v>1</v>
      </c>
      <c r="B106" s="5" t="s">
        <v>133</v>
      </c>
      <c r="C106" s="6" t="str">
        <f>IFERROR(__xludf.DUMMYFUNCTION("""COMPUTED_VALUE"""),"10.1109/TSE.2012.29")</f>
        <v>10.1109/TSE.2012.29</v>
      </c>
      <c r="D106" s="7" t="str">
        <f>IFERROR(__xludf.DUMMYFUNCTION("""COMPUTED_VALUE"""),"Rosa L.; Rodrigues L.; Lopes A.; Hiltunen M.; Schlichting R.")</f>
        <v>Rosa L.; Rodrigues L.; Lopes A.; Hiltunen M.; Schlichting R.</v>
      </c>
      <c r="E106" s="7" t="str">
        <f>IFERROR(__xludf.DUMMYFUNCTION("""COMPUTED_VALUE"""),"Self-management of adaptable component-based applications")</f>
        <v>Self-management of adaptable component-based applications</v>
      </c>
      <c r="F106" s="7" t="str">
        <f>IFERROR(__xludf.DUMMYFUNCTION("""COMPUTED_VALUE"""),"TSE")</f>
        <v>TSE</v>
      </c>
      <c r="G106" s="7" t="str">
        <f>IFERROR(__xludf.DUMMYFUNCTION("""COMPUTED_VALUE"""),"The problem of self-optimization and adaptation in the context of customizable systems is becoming increasingly important with the emergence of complex software systems and unpredictable execution environments. Here, a general framework for automatically "&amp;"deciding on when and how to adapt a system whenever it deviates from the desired behavior is presented. In this framework, the system's target behavior is described as a high-level policy that establishes goals for a set of performance indicators. The dec"&amp;"ision process is based on information provided independently for each component that describes the available adaptations, their impact on performance indicators, and any limitations or requirements. The technique consists of both offline and online phases"&amp;". Offline, rules are generated specifying component adaptations that may help to achieve the established goals when a given change in the execution context occurs. Online, the corresponding rules are evaluated when a change occurs to choose which adaptati"&amp;"ons to perform. Experimental results using a prototype framework in the context of a web-based application demonstrate the effectiveness of this approach. © 1976-2012 IEEE.")</f>
        <v>The problem of self-optimization and adaptation in the context of customizable systems is becoming increasingly important with the emergence of complex software systems and unpredictable execution environments. Here, a general framework for automatically deciding on when and how to adapt a system whenever it deviates from the desired behavior is presented. In this framework, the system's target behavior is described as a high-level policy that establishes goals for a set of performance indicators. The decision process is based on information provided independently for each component that describes the available adaptations, their impact on performance indicators, and any limitations or requirements. The technique consists of both offline and online phases. Offline, rules are generated specifying component adaptations that may help to achieve the established goals when a given change in the execution context occurs. Online, the corresponding rules are evaluated when a change occurs to choose which adaptations to perform. Experimental results using a prototype framework in the context of a web-based application demonstrate the effectiveness of this approach. © 1976-2012 IEEE.</v>
      </c>
      <c r="H106" s="8" t="str">
        <f>IFERROR(__xludf.DUMMYFUNCTION("""COMPUTED_VALUE"""),"Adaptive systems; autonomic computing; goal policies; self-management")</f>
        <v>Adaptive systems; autonomic computing; goal policies; self-management</v>
      </c>
      <c r="I106" s="10" t="b">
        <v>0</v>
      </c>
      <c r="J106" s="10" t="b">
        <v>0</v>
      </c>
      <c r="K106" s="10" t="b">
        <v>0</v>
      </c>
      <c r="L106" s="10" t="b">
        <v>0</v>
      </c>
      <c r="M106" s="10" t="b">
        <v>0</v>
      </c>
      <c r="N106" s="10" t="b">
        <v>0</v>
      </c>
      <c r="O106" s="11" t="b">
        <f t="shared" si="1"/>
        <v>0</v>
      </c>
      <c r="P106" s="16" t="b">
        <v>0</v>
      </c>
      <c r="Q106" s="7"/>
    </row>
    <row r="107">
      <c r="A107" s="5" t="b">
        <v>1</v>
      </c>
      <c r="B107" s="5" t="s">
        <v>134</v>
      </c>
      <c r="C107" s="6" t="str">
        <f>IFERROR(__xludf.DUMMYFUNCTION("""COMPUTED_VALUE"""),"10.1109/TSE.2021.3117515")</f>
        <v>10.1109/TSE.2021.3117515</v>
      </c>
      <c r="D107" s="7" t="str">
        <f>IFERROR(__xludf.DUMMYFUNCTION("""COMPUTED_VALUE"""),"Neri A.; Barbosa R.S.; Oliveira J.N.")</f>
        <v>Neri A.; Barbosa R.S.; Oliveira J.N.</v>
      </c>
      <c r="E107" s="7" t="str">
        <f>IFERROR(__xludf.DUMMYFUNCTION("""COMPUTED_VALUE"""),"Compiling Quantamorphisms for the IBM Q Experience")</f>
        <v>Compiling Quantamorphisms for the IBM Q Experience</v>
      </c>
      <c r="F107" s="7" t="str">
        <f>IFERROR(__xludf.DUMMYFUNCTION("""COMPUTED_VALUE"""),"TSE")</f>
        <v>TSE</v>
      </c>
      <c r="G107" s="7" t="str">
        <f>IFERROR(__xludf.DUMMYFUNCTION("""COMPUTED_VALUE"""),"Based on the connection between the categorical derivation of classical programs from specifications and a category-theoretic approach to quantum information, this paper contributes to extending the laws of classical program algebra to quantum programming"&amp;". This aims at building correct-by-construction quantum circuits to be deployed on quantum devices such as those available through the IBM Q Experience. Reversibility is ensured by minimal complements. Such complementation is extended inductively to encom"&amp;"pass catamorphisms on lists (vulgo folds), giving rise to the corresponding recursion scheme in reversible computation. The same idea is then applied to the setting of quantum programming, where computation is expressed by unitary transformations. This yi"&amp;"elds the notion of 'quantamorphism', a structural form of quantum recursion implementing cycles and folds on lists with quantum control flow. By Kleisli correspondence, quantamorphisms can be written as monadic functional programs with quantum parameters."&amp;" This enables the use of Haskell, a monadic functional programming language, to perform the experimental work. Such calculated quantum programs prepared in Haskell are pushed through Quipper and the Qiskit interface to IBM Q quantum devices. The generated"&amp;" quantum circuits - often quite large - exhibit the predicted behaviour. However, running them on real quantum devices naturally incurs a significant amount of errors. As quantum technology is rapidly evolving, an increase in reliability is likely in the "&amp;"future, allowing for our programs to run more accurately.  © 1976-2012 IEEE.")</f>
        <v>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v>
      </c>
      <c r="H107" s="8" t="str">
        <f>IFERROR(__xludf.DUMMYFUNCTION("""COMPUTED_VALUE"""),"algebra of programming; IBM Q experience; Quantum computing; reversibility")</f>
        <v>algebra of programming; IBM Q experience; Quantum computing; reversibility</v>
      </c>
      <c r="I107" s="10" t="b">
        <v>0</v>
      </c>
      <c r="J107" s="10" t="b">
        <v>0</v>
      </c>
      <c r="K107" s="10" t="b">
        <v>0</v>
      </c>
      <c r="L107" s="10" t="b">
        <v>0</v>
      </c>
      <c r="M107" s="10" t="b">
        <v>0</v>
      </c>
      <c r="N107" s="10" t="b">
        <v>0</v>
      </c>
      <c r="O107" s="11" t="b">
        <f t="shared" si="1"/>
        <v>0</v>
      </c>
      <c r="P107" s="16" t="b">
        <v>0</v>
      </c>
      <c r="Q107" s="7"/>
    </row>
    <row r="108">
      <c r="A108" s="5" t="b">
        <v>1</v>
      </c>
      <c r="B108" s="5" t="s">
        <v>135</v>
      </c>
      <c r="C108" s="6" t="str">
        <f>IFERROR(__xludf.DUMMYFUNCTION("""COMPUTED_VALUE"""),"10.1109/TSE.2003.1214327")</f>
        <v>10.1109/TSE.2003.1214327</v>
      </c>
      <c r="D108" s="7" t="str">
        <f>IFERROR(__xludf.DUMMYFUNCTION("""COMPUTED_VALUE"""),"Andrews J.H.; Zhang Y.")</f>
        <v>Andrews J.H.; Zhang Y.</v>
      </c>
      <c r="E108" s="7" t="str">
        <f>IFERROR(__xludf.DUMMYFUNCTION("""COMPUTED_VALUE"""),"General test result checking with log file analysis")</f>
        <v>General test result checking with log file analysis</v>
      </c>
      <c r="F108" s="7" t="str">
        <f>IFERROR(__xludf.DUMMYFUNCTION("""COMPUTED_VALUE"""),"TSE")</f>
        <v>TSE</v>
      </c>
      <c r="G108" s="7" t="str">
        <f>IFERROR(__xludf.DUMMYFUNCTION("""COMPUTED_VALUE"""),"We describe and apply a lightweight formal method for checking test results. The method assumes that the software under test writes a text log file; this log file is then analyzed by a program to see if it reveals failures. We suggest a state-machine-base"&amp;"d formalism for specifying the log file analyzer programs and describe a language and implementation based on that formalism. We report on empirical studies of the application of log file analysis to random testing of units. We describe the results of exp"&amp;"eriments done to compare the performance and effectiveness of random unit testing with coverage checking and log file analysis to other unit testing procedures. The experiments suggest that writing a formal log file analyzer and using random testing is co"&amp;"mpetitive with other formal and informal methods for unit testing.")</f>
        <v>We describe and apply a lightweight formal method for checking test results. The method assumes that the software under test writes a text log file; this log file is then analyzed by a program to see if it reveals failures. We suggest a state-machine-based formalism for specifying the log file analyzer programs and describe a language and implementation based on that formalism. We report on empirical studies of the application of log file analysis to random testing of units. We describe the results of experiments done to compare the performance and effectiveness of random unit testing with coverage checking and log file analysis to other unit testing procedures. The experiments suggest that writing a formal log file analyzer and using random testing is competitive with other formal and informal methods for unit testing.</v>
      </c>
      <c r="H108" s="8" t="str">
        <f>IFERROR(__xludf.DUMMYFUNCTION("""COMPUTED_VALUE"""),"Lightweight formal methods; Log file analysis; Safety verification; Specification; Test oracles; Testing; Unit testing")</f>
        <v>Lightweight formal methods; Log file analysis; Safety verification; Specification; Test oracles; Testing; Unit testing</v>
      </c>
      <c r="I108" s="9" t="b">
        <v>1</v>
      </c>
      <c r="J108" s="10" t="b">
        <v>0</v>
      </c>
      <c r="K108" s="10" t="b">
        <v>0</v>
      </c>
      <c r="L108" s="10" t="b">
        <v>0</v>
      </c>
      <c r="M108" s="10" t="b">
        <v>0</v>
      </c>
      <c r="N108" s="10" t="b">
        <v>0</v>
      </c>
      <c r="O108" s="11" t="b">
        <f t="shared" si="1"/>
        <v>0</v>
      </c>
      <c r="P108" s="16" t="b">
        <v>0</v>
      </c>
      <c r="Q108" s="13" t="s">
        <v>136</v>
      </c>
    </row>
    <row r="109">
      <c r="A109" s="5" t="b">
        <v>1</v>
      </c>
      <c r="B109" s="5" t="s">
        <v>137</v>
      </c>
      <c r="C109" s="6" t="str">
        <f>IFERROR(__xludf.DUMMYFUNCTION("""COMPUTED_VALUE"""),"10.1109/TSE.2010.31")</f>
        <v>10.1109/TSE.2010.31</v>
      </c>
      <c r="D109" s="7" t="str">
        <f>IFERROR(__xludf.DUMMYFUNCTION("""COMPUTED_VALUE"""),"Artzi S.; Kiezun A.; Dolby J.; Tip F.; Dig D.; Paradkar A.; Ernst M.D.")</f>
        <v>Artzi S.; Kiezun A.; Dolby J.; Tip F.; Dig D.; Paradkar A.; Ernst M.D.</v>
      </c>
      <c r="E109" s="7" t="str">
        <f>IFERROR(__xludf.DUMMYFUNCTION("""COMPUTED_VALUE"""),"Finding bugs in web applications using dynamic test generation and explicit-state model checking")</f>
        <v>Finding bugs in web applications using dynamic test generation and explicit-state model checking</v>
      </c>
      <c r="F109" s="7" t="str">
        <f>IFERROR(__xludf.DUMMYFUNCTION("""COMPUTED_VALUE"""),"TSE")</f>
        <v>TSE</v>
      </c>
      <c r="G109" s="7" t="str">
        <f>IFERROR(__xludf.DUMMYFUNCTION("""COMPUTED_VALUE"""),"Web script crashes and malformed dynamically generated webpages are common errors, and they seriously impact the usability of Web applications. Current tools for webpage validation cannot handle the dynamically generated pages that are ubiquitous on today"&amp;"'s Internet. We present a dynamic test generation technique for the domain of dynamic Web applications. The technique utilizes both combined concrete and symbolic execution and explicit-state model checking. The technique generates tests automatically, ru"&amp;"ns the tests capturing logical constraints on inputs, and minimizes the conditions on the inputs to failing tests so that the resulting bug reports are small and useful in finding and fixing the underlying faults. Our tool Apollo implements the technique "&amp;"for the PHP programming language. Apollo generates test inputs for a Web application, monitors the application for crashes, and validates that the output conforms to the HTML specification. This paper presents Apollo's algorithms and implementation, and a"&amp;"n experimental evaluation that revealed 673 faults in six PHP Web applications. © 2010 IEEE.")</f>
        <v>Web script crashes and malformed dynamically generated webpages are common errors, and they seriously impact the usability of Web applications. Current tools for webpage validation cannot handle the dynamically generated pages that are ubiquitous on today's Internet. We present a dynamic test generation technique for the domain of dynamic Web applications. The technique utilizes both combined concrete and symbolic execution and explicit-state model checking. The technique generates tests automatically, runs the tests capturing logical constraints on inputs, and minimizes the conditions on the inputs to failing tests so that the resulting bug reports are small and useful in finding and fixing the underlying faults. Our tool Apollo implements the technique for the PHP programming language. Apollo generates test inputs for a Web application, monitors the application for crashes, and validates that the output conforms to the HTML specification. This paper presents Apollo's algorithms and implementation, and an experimental evaluation that revealed 673 faults in six PHP Web applications. © 2010 IEEE.</v>
      </c>
      <c r="H109" s="8" t="str">
        <f>IFERROR(__xludf.DUMMYFUNCTION("""COMPUTED_VALUE"""),"dynamic analysis; PHP; reliability; Software testing; verification; Web applications")</f>
        <v>dynamic analysis; PHP; reliability; Software testing; verification; Web applications</v>
      </c>
      <c r="I109" s="10" t="b">
        <v>0</v>
      </c>
      <c r="J109" s="10" t="b">
        <v>0</v>
      </c>
      <c r="K109" s="10" t="b">
        <v>0</v>
      </c>
      <c r="L109" s="10" t="b">
        <v>0</v>
      </c>
      <c r="M109" s="10" t="b">
        <v>0</v>
      </c>
      <c r="N109" s="10" t="b">
        <v>0</v>
      </c>
      <c r="O109" s="11" t="b">
        <f t="shared" si="1"/>
        <v>0</v>
      </c>
      <c r="P109" s="16" t="b">
        <v>0</v>
      </c>
      <c r="Q109" s="7"/>
    </row>
    <row r="110">
      <c r="A110" s="5" t="b">
        <v>1</v>
      </c>
      <c r="B110" s="5" t="s">
        <v>138</v>
      </c>
      <c r="C110" s="6" t="str">
        <f>IFERROR(__xludf.DUMMYFUNCTION("""COMPUTED_VALUE"""),"10.1109/TSE.2022.3194640")</f>
        <v>10.1109/TSE.2022.3194640</v>
      </c>
      <c r="D110" s="7" t="str">
        <f>IFERROR(__xludf.DUMMYFUNCTION("""COMPUTED_VALUE"""),"Zhang Z.; Lyu D.; Arcaini P.; Ma L.; Hasuo I.; Zhao J.")</f>
        <v>Zhang Z.; Lyu D.; Arcaini P.; Ma L.; Hasuo I.; Zhao J.</v>
      </c>
      <c r="E110" s="7" t="str">
        <f>IFERROR(__xludf.DUMMYFUNCTION("""COMPUTED_VALUE"""),"FalsifAI: Falsification of AI-Enabled Hybrid Control Systems Guided by Time-Aware Coverage Criteria")</f>
        <v>FalsifAI: Falsification of AI-Enabled Hybrid Control Systems Guided by Time-Aware Coverage Criteria</v>
      </c>
      <c r="F110" s="7" t="str">
        <f>IFERROR(__xludf.DUMMYFUNCTION("""COMPUTED_VALUE"""),"TSE")</f>
        <v>TSE</v>
      </c>
      <c r="G110" s="7" t="str">
        <f>IFERROR(__xludf.DUMMYFUNCTION("""COMPUTED_VALUE"""),"Modern Cyber-Physical Systems (CPSs) that need to perform complex control tasks (e.g., autonomous driving) are increasingly using AI-enabled controllers, mainly based on deep neural networks (DNNs). The quality assurance of such types of systems is of vit"&amp;"al importance. However, their verification can be extremely challenging, due to their complexity and uninterpretable decision logic. Falsification is an established approach for CPS quality assurance, which, instead of attempting to prove the system corre"&amp;"ctness, aims at finding a time-variant input signal violating a formal specification describing the desired behavior; it often employs a search-based testing approach that tries to minimize the robustness of the specification, given by its quantitative se"&amp;"mantics. However, guidance provided by robustness is mostly black-box and only related to the system output, but does not allow to understand whether the temporal internal behavior determined by multiple consecutive executions of the neural network contro"&amp;"ller has been explored sufficiently. To bridge this gap, in this paper, we make an early attempt at exploring the temporal behavior determined by the repeated executions of the neural network controllers in hybrid control systems and first propose eight t"&amp;"ime-aware coverage criteria specifically designed for neural network controllers in the context of CPS, which consider different features by design: the simple temporal activation of a neuron, the continuous activation of a neuron for a given duration, an"&amp;"d the differential neuron activation behavior over time. Second, we introduce a falsification framework, named FalsifAI FalsifAI, that exploits the coverage information for better falsification guidance. Namely, inputs of the controller that increase the "&amp;"coverage (so improving the exploration of the DNN behaviors), are prioritized in the exploitation phase of robustness minimization. Our large-scale evaluation over a total of 3 typical CPS tasks, 6 system specifications, 18 DNN models and more than 12,000"&amp;" experiment runs, demonstrates 1) the advantage of our proposed technique in outperforming two state-of-the-art falsification approaches, and 2) the usefulness of our proposed time-aware coverage criteria for effective falsification guidance.  © 1976-2012"&amp;" IEEE.")</f>
        <v>Modern Cyber-Physical Systems (CPSs) that need to perform complex control tasks (e.g., autonomous driving) are increasingly using AI-enabled controllers, mainly based on deep neural networks (DNNs). The quality assurance of such types of systems is of vital importance. However, their verification can be extremely challenging, due to their complexity and uninterpretable decision logic. Falsification is an established approach for CPS quality assurance, which, instead of attempting to prove the system correctness, aims at finding a time-variant input signal violating a formal specification describing the desired behavior; it often employs a search-based testing approach that tries to minimize the robustness of the specification, given by its quantitative semantics. However, guidance provided by robustness is mostly black-box and only related to the system output, but does not allow to understand whether the temporal internal behavior determined by multiple consecutive executions of the neural network controller has been explored sufficiently. To bridge this gap, in this paper, we make an early attempt at exploring the temporal behavior determined by the repeated executions of the neural network controllers in hybrid control systems and first propose eight time-aware coverage criteria specifically designed for neural network controllers in the context of CPS, which consider different features by design: the simple temporal activation of a neuron, the continuous activation of a neuron for a given duration, and the differential neuron activation behavior over time. Second, we introduce a falsification framework, named FalsifAI FalsifAI, that exploits the coverage information for better falsification guidance. Namely, inputs of the controller that increase the coverage (so improving the exploration of the DNN behaviors), are prioritized in the exploitation phase of robustness minimization. Our large-scale evaluation over a total of 3 typical CPS tasks, 6 system specifications, 18 DNN models and more than 12,000 experiment runs, demonstrates 1) the advantage of our proposed technique in outperforming two state-of-the-art falsification approaches, and 2) the usefulness of our proposed time-aware coverage criteria for effective falsification guidance.  © 1976-2012 IEEE.</v>
      </c>
      <c r="H110" s="8" t="str">
        <f>IFERROR(__xludf.DUMMYFUNCTION("""COMPUTED_VALUE"""),"coverage criteria; cyber-physical systems; falsification; neural network controllers; Search-based testing")</f>
        <v>coverage criteria; cyber-physical systems; falsification; neural network controllers; Search-based testing</v>
      </c>
      <c r="I110" s="10" t="b">
        <v>0</v>
      </c>
      <c r="J110" s="10" t="b">
        <v>0</v>
      </c>
      <c r="K110" s="10" t="b">
        <v>0</v>
      </c>
      <c r="L110" s="10" t="b">
        <v>0</v>
      </c>
      <c r="M110" s="10" t="b">
        <v>0</v>
      </c>
      <c r="N110" s="10" t="b">
        <v>0</v>
      </c>
      <c r="O110" s="11" t="b">
        <f t="shared" si="1"/>
        <v>0</v>
      </c>
      <c r="P110" s="16" t="b">
        <v>0</v>
      </c>
      <c r="Q110" s="7"/>
    </row>
    <row r="111">
      <c r="A111" s="5" t="b">
        <v>1</v>
      </c>
      <c r="B111" s="5" t="s">
        <v>139</v>
      </c>
      <c r="C111" s="6" t="str">
        <f>IFERROR(__xludf.DUMMYFUNCTION("""COMPUTED_VALUE"""),"10.1109/TSE.2019.2920377")</f>
        <v>10.1109/TSE.2019.2920377</v>
      </c>
      <c r="D111" s="7" t="str">
        <f>IFERROR(__xludf.DUMMYFUNCTION("""COMPUTED_VALUE"""),"Karac I.; Turhan B.; Juristo N.")</f>
        <v>Karac I.; Turhan B.; Juristo N.</v>
      </c>
      <c r="E111" s="7" t="str">
        <f>IFERROR(__xludf.DUMMYFUNCTION("""COMPUTED_VALUE"""),"A Controlled Experiment with Novice Developers on the Impact of Task Description Granularity on Software Quality in Test-Driven Development")</f>
        <v>A Controlled Experiment with Novice Developers on the Impact of Task Description Granularity on Software Quality in Test-Driven Development</v>
      </c>
      <c r="F111" s="7" t="str">
        <f>IFERROR(__xludf.DUMMYFUNCTION("""COMPUTED_VALUE"""),"TSE")</f>
        <v>TSE</v>
      </c>
      <c r="G111" s="7" t="str">
        <f>IFERROR(__xludf.DUMMYFUNCTION("""COMPUTED_VALUE"""),"Background: Test-Driven Development (TDD) is an iterative software development process characterized by test-code-refactor cycle. TDD recommends that developers work on small and manageable tasks at each iteration. However, the ability to break tasks into"&amp;" small work items effectively is a learned skill that improves with experience. In experimental studies of TDD, the granularity of task descriptions is an overlooked factor. In particular, providing a more granular task description in terms of a set of su"&amp;"b-tasks versus providing a coarser-grained, generic description. Objective: We aim to investigate the impact of task description granularity on the outcome of TDD, as implemented by novice developers, with respect to software quality, as measured by funct"&amp;"ional correctness and functional completeness. Method: We conducted a one-factor crossover experiment with 48 graduate students in an academic environment. Each participant applied TDD and implemented two tasks, where one of the tasks was presented using "&amp;"a more granular task description. Resulting artifacts were evaluated with acceptance tests to assess functional correctness and functional completeness. Linear mixed-effects models (LMM) were used for analysis. Results: Software quality improved significa"&amp;"ntly when participants applied TDD using more granular task descriptions. The effect of task description granularity is statistically significant and had a medium to large effect size. Moreover, the task was found to be a significant predictor of software"&amp;" quality which is an interesting result (because two tasks used in the experiment were considered to be of similar complexity). Conclusion: For novice TDD practitioners, the outcome of TDD is highly coupled with the ability to break down the task into sma"&amp;"ller parts. For researchers, task selection and task description granularity requires more attention in the design of TDD experiments. Task description granularity should be taken into account in secondary studies. Further comparative studies are needed t"&amp;"o investigate whether task descriptions affect other development processes similarly.  © 1976-2012 IEEE.")</f>
        <v>Background: Test-Driven Development (TDD) is an iterative software development process characterized by test-code-refactor cycle. TDD recommends that developers work on small and manageable tasks at each iteration. However, the ability to break tasks into small work items effectively is a learned skill that improves with experience. In experimental studies of TDD, the granularity of task descriptions is an overlooked factor. In particular, providing a more granular task description in terms of a set of sub-tasks versus providing a coarser-grained, generic description. Objective: We aim to investigate the impact of task description granularity on the outcome of TDD, as implemented by novice developers, with respect to software quality, as measured by functional correctness and functional completeness. Method: We conducted a one-factor crossover experiment with 48 graduate students in an academic environment. Each participant applied TDD and implemented two tasks, where one of the tasks was presented using a more granular task description. Resulting artifacts were evaluated with acceptance tests to assess functional correctness and functional completeness. Linear mixed-effects models (LMM) were used for analysis. Results: Software quality improved significantly when participants applied TDD using more granular task descriptions. The effect of task description granularity is statistically significant and had a medium to large effect size. Moreover, the task was found to be a significant predictor of software quality which is an interesting result (because two tasks used in the experiment were considered to be of similar complexity). Conclusion: For novice TDD practitioners, the outcome of TDD is highly coupled with the ability to break down the task into smaller parts. For researchers, task selection and task description granularity requires more attention in the design of TDD experiments. Task description granularity should be taken into account in secondary studies. Further comparative studies are needed to investigate whether task descriptions affect other development processes similarly.  © 1976-2012 IEEE.</v>
      </c>
      <c r="H111" s="8" t="str">
        <f>IFERROR(__xludf.DUMMYFUNCTION("""COMPUTED_VALUE"""),"controlled experiment; crossover experiment; empirical software engineering; programming task description; requirement granularity; software quality; Test-driven development")</f>
        <v>controlled experiment; crossover experiment; empirical software engineering; programming task description; requirement granularity; software quality; Test-driven development</v>
      </c>
      <c r="I111" s="9" t="b">
        <v>1</v>
      </c>
      <c r="J111" s="9" t="b">
        <v>1</v>
      </c>
      <c r="K111" s="9" t="b">
        <v>1</v>
      </c>
      <c r="L111" s="10" t="b">
        <v>0</v>
      </c>
      <c r="M111" s="10" t="b">
        <v>0</v>
      </c>
      <c r="N111" s="10" t="b">
        <v>0</v>
      </c>
      <c r="O111" s="11" t="b">
        <f t="shared" si="1"/>
        <v>1</v>
      </c>
      <c r="P111" s="12" t="b">
        <v>0</v>
      </c>
      <c r="Q111" s="13"/>
    </row>
    <row r="112">
      <c r="A112" s="5" t="b">
        <v>1</v>
      </c>
      <c r="B112" s="5" t="s">
        <v>140</v>
      </c>
      <c r="C112" s="6" t="str">
        <f>IFERROR(__xludf.DUMMYFUNCTION("""COMPUTED_VALUE"""),"10.1109/TSE.2011.78")</f>
        <v>10.1109/TSE.2011.78</v>
      </c>
      <c r="D112" s="7" t="str">
        <f>IFERROR(__xludf.DUMMYFUNCTION("""COMPUTED_VALUE"""),"Feng X.; Parnas D.L.; Tse T.H.; O'Callaghan T.")</f>
        <v>Feng X.; Parnas D.L.; Tse T.H.; O'Callaghan T.</v>
      </c>
      <c r="E112" s="7" t="str">
        <f>IFERROR(__xludf.DUMMYFUNCTION("""COMPUTED_VALUE"""),"A comparison of tabular expression-based testing strategies")</f>
        <v>A comparison of tabular expression-based testing strategies</v>
      </c>
      <c r="F112" s="7" t="str">
        <f>IFERROR(__xludf.DUMMYFUNCTION("""COMPUTED_VALUE"""),"TSE")</f>
        <v>TSE</v>
      </c>
      <c r="G112" s="7" t="str">
        <f>IFERROR(__xludf.DUMMYFUNCTION("""COMPUTED_VALUE"""),"Tabular expressions have been proposed as a notation to document mathematically precise but readable software specifications. One of the many roles of such documentation is to guide testers. This paper 1) explores the application of four testing strategie"&amp;"s (the partition strategy, decision table-based testing, the basic meaningful impact strategy, and fault-based testing) to tabular expression-based specifications, and 2) compares the strategies on a mathematical basis through formal and precise definitio"&amp;"ns of the subsumption relationship. We also compare these strategies through experimental studies. These results will help researchers improve current methods and will enable testers to select appropriate testing strategies for tabular expression-based sp"&amp;"ecifications. © 2011 IEEE.")</f>
        <v>Tabular expressions have been proposed as a notation to document mathematically precise but readable software specifications. One of the many roles of such documentation is to guide testers. This paper 1) explores the application of four testing strategies (the partition strategy, decision table-based testing, the basic meaningful impact strategy, and fault-based testing) to tabular expression-based specifications, and 2) compares the strategies on a mathematical basis through formal and precise definitions of the subsumption relationship. We also compare these strategies through experimental studies. These results will help researchers improve current methods and will enable testers to select appropriate testing strategies for tabular expression-based specifications. © 2011 IEEE.</v>
      </c>
      <c r="H112" s="8" t="str">
        <f>IFERROR(__xludf.DUMMYFUNCTION("""COMPUTED_VALUE"""),"conditionally subsume.; subsume; Tabular expression; test case constraint; unconditionally subsume")</f>
        <v>conditionally subsume.; subsume; Tabular expression; test case constraint; unconditionally subsume</v>
      </c>
      <c r="I112" s="10" t="b">
        <v>0</v>
      </c>
      <c r="J112" s="10" t="b">
        <v>0</v>
      </c>
      <c r="K112" s="10" t="b">
        <v>0</v>
      </c>
      <c r="L112" s="10" t="b">
        <v>0</v>
      </c>
      <c r="M112" s="10" t="b">
        <v>0</v>
      </c>
      <c r="N112" s="10" t="b">
        <v>0</v>
      </c>
      <c r="O112" s="11" t="b">
        <f t="shared" si="1"/>
        <v>0</v>
      </c>
      <c r="P112" s="12" t="b">
        <v>0</v>
      </c>
      <c r="Q112" s="7"/>
    </row>
    <row r="113">
      <c r="A113" s="5" t="b">
        <v>1</v>
      </c>
      <c r="B113" s="5" t="s">
        <v>141</v>
      </c>
      <c r="C113" s="6" t="str">
        <f>IFERROR(__xludf.DUMMYFUNCTION("""COMPUTED_VALUE"""),"10.1109/TSE.2016.2587646")</f>
        <v>10.1109/TSE.2016.2587646</v>
      </c>
      <c r="D113" s="7" t="str">
        <f>IFERROR(__xludf.DUMMYFUNCTION("""COMPUTED_VALUE"""),"Bagheri H.; Tang C.; Sullivan K.")</f>
        <v>Bagheri H.; Tang C.; Sullivan K.</v>
      </c>
      <c r="E113" s="7" t="str">
        <f>IFERROR(__xludf.DUMMYFUNCTION("""COMPUTED_VALUE"""),"Automated Synthesis and Dynamic Analysis of Tradeoff Spaces for Object-Relational Mapping")</f>
        <v>Automated Synthesis and Dynamic Analysis of Tradeoff Spaces for Object-Relational Mapping</v>
      </c>
      <c r="F113" s="7" t="str">
        <f>IFERROR(__xludf.DUMMYFUNCTION("""COMPUTED_VALUE"""),"TSE")</f>
        <v>TSE</v>
      </c>
      <c r="G113" s="7" t="str">
        <f>IFERROR(__xludf.DUMMYFUNCTION("""COMPUTED_VALUE"""),"Producing software systems that achieve acceptable tradeoffs among multiple non-functional properties remains a significant engineering problem. We propose an approach to solving this problem that combines synthesis of spaces of design alternatives from l"&amp;"ogical specifications and dynamic analysis of each point in the resulting spaces. We hypothesize that this approach has potential to help engineers understand important tradeoffs among dynamically measurable properties of system components at meaningful s"&amp;"cales within reach of existing synthesis tools. To test this hypothesis, we developed tools to enable, and we conducted, a set of experiments in the domain of relational databases for object-oriented data models. For each of several data models, we used o"&amp;"ur approach to empirically test the accuracy of a published suite of metrics to predict tradeoffs based on the static schema structure alone. The results show that exhaustive synthesis and analysis provides a superior view of the tradeoff spaces for such "&amp;"designs. This work creates a path forward toward systems that achieve significantly better tradeoffs among important system properties. © 2016 IEEE.")</f>
        <v>Producing software systems that achieve acceptable tradeoffs among multiple non-functional properties remains a significant engineering problem. We propose an approach to solving this problem that combines synthesis of spaces of design alternatives from logical specifications and dynamic analysis of each point in the resulting spaces. We hypothesize that this approach has potential to help engineers understand important tradeoffs among dynamically measurable properties of system components at meaningful scales within reach of existing synthesis tools. To test this hypothesis, we developed tools to enable, and we conducted, a set of experiments in the domain of relational databases for object-oriented data models. For each of several data models, we used our approach to empirically test the accuracy of a published suite of metrics to predict tradeoffs based on the static schema structure alone. The results show that exhaustive synthesis and analysis provides a superior view of the tradeoff spaces for such designs. This work creates a path forward toward systems that achieve significantly better tradeoffs among important system properties. © 2016 IEEE.</v>
      </c>
      <c r="H113" s="8" t="str">
        <f>IFERROR(__xludf.DUMMYFUNCTION("""COMPUTED_VALUE"""),"dynamic analysis; ORM; relational logic; Specification-driven synthesis; static analysis; tradespace analysis")</f>
        <v>dynamic analysis; ORM; relational logic; Specification-driven synthesis; static analysis; tradespace analysis</v>
      </c>
      <c r="I113" s="10" t="b">
        <v>0</v>
      </c>
      <c r="J113" s="10" t="b">
        <v>0</v>
      </c>
      <c r="K113" s="10" t="b">
        <v>0</v>
      </c>
      <c r="L113" s="10" t="b">
        <v>0</v>
      </c>
      <c r="M113" s="10" t="b">
        <v>0</v>
      </c>
      <c r="N113" s="10" t="b">
        <v>0</v>
      </c>
      <c r="O113" s="11" t="b">
        <f t="shared" si="1"/>
        <v>0</v>
      </c>
      <c r="P113" s="16" t="b">
        <v>0</v>
      </c>
      <c r="Q113" s="7"/>
    </row>
    <row r="114">
      <c r="A114" s="5" t="b">
        <v>1</v>
      </c>
      <c r="B114" s="5" t="s">
        <v>142</v>
      </c>
      <c r="C114" s="6" t="str">
        <f>IFERROR(__xludf.DUMMYFUNCTION("""COMPUTED_VALUE"""),"10.1109/TSE.2006.71")</f>
        <v>10.1109/TSE.2006.71</v>
      </c>
      <c r="D114" s="7" t="str">
        <f>IFERROR(__xludf.DUMMYFUNCTION("""COMPUTED_VALUE"""),"Wang F.; Huang G.-D.; Yu F.")</f>
        <v>Wang F.; Huang G.-D.; Yu F.</v>
      </c>
      <c r="E114" s="7" t="str">
        <f>IFERROR(__xludf.DUMMYFUNCTION("""COMPUTED_VALUE"""),"TCTL inevitability analysis of dense-time systems: From theory to engineering")</f>
        <v>TCTL inevitability analysis of dense-time systems: From theory to engineering</v>
      </c>
      <c r="F114" s="7" t="str">
        <f>IFERROR(__xludf.DUMMYFUNCTION("""COMPUTED_VALUE"""),"TSE")</f>
        <v>TSE</v>
      </c>
      <c r="G114" s="7" t="str">
        <f>IFERROR(__xludf.DUMMYFUNCTION("""COMPUTED_VALUE"""),"Inevitability properties in branching temporal logics are of the syntax ∀◇φ where φ is an arbitrary (timed) CTL (Computation Tree Logic) formula. Such inevitability properties in dense-time logics can be analyzed with the greatest fixpoint calculation. We"&amp;" present algorithms to model-check inevitability properties. We discuss a technique for early decision on greatest fixpoint calculation which has shown promising performance against several benchmarks. We have experimented with various issues which may af"&amp;"fect the performance of TCTL inevitability analysis. Specifically, our algorithms come with a parameter for the measurement of time-progress. We report the performance of our implementation with regard to various parameter values and with or without the n"&amp;"on-Zeno computation requirement in the evaluation of greatest fixpoints. We have also experimented with safe abstraction techniques for model-checking TCTL inevitability properties. The experiment results help us in deducing rules for setting the paramete"&amp;"r for verification performance. Finally, we summarize suggestions for configurations of efficient TCTL inevitability evaluation procedure. © 2006 IEEE.")</f>
        <v>Inevitability properties in branching temporal logics are of the syntax ∀◇φ where φ is an arbitrary (timed) CTL (Computation Tree Logic) formula. Such inevitability properties in dense-time logics can be analyzed with the greatest fixpoint calculation. We present algorithms to model-check inevitability properties. We discuss a technique for early decision on greatest fixpoint calculation which has shown promising performance against several benchmarks. We have experimented with various issues which may affect the performance of TCTL inevitability analysis. Specifically, our algorithms come with a parameter for the measurement of time-progress. We report the performance of our implementation with regard to various parameter values and with or without the non-Zeno computation requirement in the evaluation of greatest fixpoints. We have also experimented with safe abstraction techniques for model-checking TCTL inevitability properties. The experiment results help us in deducing rules for setting the parameter for verification performance. Finally, we summarize suggestions for configurations of efficient TCTL inevitability evaluation procedure. © 2006 IEEE.</v>
      </c>
      <c r="H114" s="8" t="str">
        <f>IFERROR(__xludf.DUMMYFUNCTION("""COMPUTED_VALUE"""),"Abstraction; Greatest fixpoint; Inevitability; Model-checking; non-Zeno; Real-time systems; TCTL")</f>
        <v>Abstraction; Greatest fixpoint; Inevitability; Model-checking; non-Zeno; Real-time systems; TCTL</v>
      </c>
      <c r="I114" s="10" t="b">
        <v>0</v>
      </c>
      <c r="J114" s="10" t="b">
        <v>0</v>
      </c>
      <c r="K114" s="10" t="b">
        <v>0</v>
      </c>
      <c r="L114" s="10" t="b">
        <v>0</v>
      </c>
      <c r="M114" s="10" t="b">
        <v>0</v>
      </c>
      <c r="N114" s="10" t="b">
        <v>0</v>
      </c>
      <c r="O114" s="11" t="b">
        <f t="shared" si="1"/>
        <v>0</v>
      </c>
      <c r="P114" s="16" t="b">
        <v>0</v>
      </c>
      <c r="Q114" s="7"/>
    </row>
    <row r="115">
      <c r="A115" s="5" t="b">
        <v>1</v>
      </c>
      <c r="B115" s="5" t="s">
        <v>143</v>
      </c>
      <c r="C115" s="6" t="str">
        <f>IFERROR(__xludf.DUMMYFUNCTION("""COMPUTED_VALUE"""),"10.1109/TSE.2006.22")</f>
        <v>10.1109/TSE.2006.22</v>
      </c>
      <c r="D115" s="7" t="str">
        <f>IFERROR(__xludf.DUMMYFUNCTION("""COMPUTED_VALUE"""),"Nebut C.; Fleurey F.; Le Traon Y.; Jézéquel J.-M.")</f>
        <v>Nebut C.; Fleurey F.; Le Traon Y.; Jézéquel J.-M.</v>
      </c>
      <c r="E115" s="7" t="str">
        <f>IFERROR(__xludf.DUMMYFUNCTION("""COMPUTED_VALUE"""),"Automatic test generation: A use case driven approach")</f>
        <v>Automatic test generation: A use case driven approach</v>
      </c>
      <c r="F115" s="7" t="str">
        <f>IFERROR(__xludf.DUMMYFUNCTION("""COMPUTED_VALUE"""),"TSE")</f>
        <v>TSE</v>
      </c>
      <c r="G115" s="7" t="str">
        <f>IFERROR(__xludf.DUMMYFUNCTION("""COMPUTED_VALUE"""),"Use cases are believed to be a good basis for system testing. Yet, to automate the test generation process, there is a large gap to bridge between high-level use cases and concrete test cases. We propose a new approach for automating the generation of sys"&amp;"tem test scenarios in the context of object-oriented embedded software, taking into account traceability problems between high-level views and concrete test case execution. Starting from a formalization of the requirements based on use cases extended with"&amp;" contracts, we automatically build a transition system from which we synthesize test cases. Our objective is to cover the system in terms of statement coverage with those generated tests: An empirical evaluation of our approach is given based on this obje"&amp;"ctive and several case studies. We briefly discuss the experimental deployment of our approach in the field at Thalès Airborne Systems. © 2006 IEEE.")</f>
        <v>Use cases are believed to be a good basis for system testing. Yet, to automate the test generation process, there is a large gap to bridge between high-level use cases and concrete test cases. We propose a new approach for automating the generation of system test scenarios in the context of object-oriented embedded software, taking into account traceability problems between high-level views and concrete test case execution. Starting from a formalization of the requirements based on use cases extended with contracts, we automatically build a transition system from which we synthesize test cases. Our objective is to cover the system in terms of statement coverage with those generated tests: An empirical evaluation of our approach is given based on this objective and several case studies. We briefly discuss the experimental deployment of our approach in the field at Thalès Airborne Systems. © 2006 IEEE.</v>
      </c>
      <c r="H115" s="8" t="str">
        <f>IFERROR(__xludf.DUMMYFUNCTION("""COMPUTED_VALUE"""),"Contracts; Scenarios; Test generation; UML; Use case")</f>
        <v>Contracts; Scenarios; Test generation; UML; Use case</v>
      </c>
      <c r="I115" s="10" t="b">
        <v>0</v>
      </c>
      <c r="J115" s="9" t="b">
        <v>1</v>
      </c>
      <c r="K115" s="9" t="b">
        <v>1</v>
      </c>
      <c r="L115" s="10" t="b">
        <v>0</v>
      </c>
      <c r="M115" s="10" t="b">
        <v>0</v>
      </c>
      <c r="N115" s="10" t="b">
        <v>0</v>
      </c>
      <c r="O115" s="11" t="b">
        <f t="shared" si="1"/>
        <v>0</v>
      </c>
      <c r="P115" s="16" t="b">
        <v>0</v>
      </c>
      <c r="Q115" s="13" t="s">
        <v>144</v>
      </c>
    </row>
    <row r="116">
      <c r="A116" s="5" t="b">
        <v>1</v>
      </c>
      <c r="B116" s="5" t="s">
        <v>145</v>
      </c>
      <c r="C116" s="6" t="str">
        <f>IFERROR(__xludf.DUMMYFUNCTION("""COMPUTED_VALUE"""),"10.1109/TSE.2020.2969178")</f>
        <v>10.1109/TSE.2020.2969178</v>
      </c>
      <c r="D116" s="7" t="str">
        <f>IFERROR(__xludf.DUMMYFUNCTION("""COMPUTED_VALUE"""),"Yamagata Y.; Liu S.; Akazaki T.; Duan Y.; Hao J.")</f>
        <v>Yamagata Y.; Liu S.; Akazaki T.; Duan Y.; Hao J.</v>
      </c>
      <c r="E116" s="7" t="str">
        <f>IFERROR(__xludf.DUMMYFUNCTION("""COMPUTED_VALUE"""),"Falsification of Cyber-Physical Systems Using Deep Reinforcement Learning")</f>
        <v>Falsification of Cyber-Physical Systems Using Deep Reinforcement Learning</v>
      </c>
      <c r="F116" s="7" t="str">
        <f>IFERROR(__xludf.DUMMYFUNCTION("""COMPUTED_VALUE"""),"TSE")</f>
        <v>TSE</v>
      </c>
      <c r="G116" s="7" t="str">
        <f>IFERROR(__xludf.DUMMYFUNCTION("""COMPUTED_VALUE"""),"A Cyber-Physical System (CPS) is a system which consists of software components and physical components. Traditional system verification techniques such as model checking or theorem proving are difficult to apply to CPS because the physical components hav"&amp;"e infinite number of states. To solve this problem, robustness guided falsification of CPS is introduced. Robustness measures how robustly the given specification is satisfied. Robustness guided falsification tries to minimize the robustness by changing i"&amp;"nputs and parameters of the system. The input with a minimal robustness (counterexample) is a good candidate to violate the specification. Existing methods use several optimization techniques to minimize robustness. However, those methods do not use tempo"&amp;"ral structures in a system input and often require a large number of simulation runs to minimize the robustness. In this paper, we explore state-of-the-art Deep Reinforcement Learning (DRL) techniques, i.e., Asynchronous Advantage Actor-Critic (A3C) and D"&amp;"ouble Deep Q Network (DDQN), to reduce the number of simulation runs required to find such counterexamples. We theoretically show how robustness guided falsification of a safety property is formatted as a reinforcement learning problem. Then, we experimen"&amp;"tally compare the effectiveness of our methods with three baseline methods, i.e., random sampling, cross entropy and simulated annealing, on three well known CPS systems. We thoroughly analyse the experiment results and identify two factors of CPS which m"&amp;"ake DRL based methods better than existing methods. The most important factor is the availability of the system internal dynamics to the reinforcement learning algorithm. The other factor is the existence of learnable structure in the counterexample. © 19"&amp;"76-2012 IEEE.")</f>
        <v>A Cyber-Physical System (CPS) is a system which consists of software components and physical components. Traditional system verification techniques such as model checking or theorem proving are difficult to apply to CPS because the physical components have infinite number of states. To solve this problem, robustness guided falsification of CPS is introduced. Robustness measures how robustly the given specification is satisfied. Robustness guided falsification tries to minimize the robustness by changing inputs and parameters of the system. The input with a minimal robustness (counterexample) is a good candidate to violate the specification. Existing methods use several optimization techniques to minimize robustness. However, those methods do not use temporal structures in a system input and often require a large number of simulation runs to minimize the robustness. In this paper, we explore state-of-the-art Deep Reinforcement Learning (DRL) techniques, i.e., Asynchronous Advantage Actor-Critic (A3C) and Double Deep Q Network (DDQN), to reduce the number of simulation runs required to find such counterexamples. We theoretically show how robustness guided falsification of a safety property is formatted as a reinforcement learning problem. Then, we experimentally compare the effectiveness of our methods with three baseline methods, i.e., random sampling, cross entropy and simulated annealing, on three well known CPS systems. We thoroughly analyse the experiment results and identify two factors of CPS which make DRL based methods better than existing methods. The most important factor is the availability of the system internal dynamics to the reinforcement learning algorithm. The other factor is the existence of learnable structure in the counterexample. © 1976-2012 IEEE.</v>
      </c>
      <c r="H116" s="8" t="str">
        <f>IFERROR(__xludf.DUMMYFUNCTION("""COMPUTED_VALUE"""),"CPS; reinforcement learning; Robustness guided falsification")</f>
        <v>CPS; reinforcement learning; Robustness guided falsification</v>
      </c>
      <c r="I116" s="10" t="b">
        <v>0</v>
      </c>
      <c r="J116" s="10" t="b">
        <v>0</v>
      </c>
      <c r="K116" s="10" t="b">
        <v>0</v>
      </c>
      <c r="L116" s="10" t="b">
        <v>0</v>
      </c>
      <c r="M116" s="10" t="b">
        <v>0</v>
      </c>
      <c r="N116" s="10" t="b">
        <v>0</v>
      </c>
      <c r="O116" s="11" t="b">
        <f t="shared" si="1"/>
        <v>0</v>
      </c>
      <c r="P116" s="16" t="b">
        <v>0</v>
      </c>
      <c r="Q116" s="7"/>
    </row>
    <row r="117">
      <c r="A117" s="5" t="b">
        <v>1</v>
      </c>
      <c r="B117" s="5" t="s">
        <v>146</v>
      </c>
      <c r="C117" s="6" t="str">
        <f>IFERROR(__xludf.DUMMYFUNCTION("""COMPUTED_VALUE"""),"10.1109/TSE.2003.1205183")</f>
        <v>10.1109/TSE.2003.1205183</v>
      </c>
      <c r="D117" s="7" t="str">
        <f>IFERROR(__xludf.DUMMYFUNCTION("""COMPUTED_VALUE"""),"Berry D.M.; Tichy W.F.")</f>
        <v>Berry D.M.; Tichy W.F.</v>
      </c>
      <c r="E117" s="7" t="str">
        <f>IFERROR(__xludf.DUMMYFUNCTION("""COMPUTED_VALUE"""),"Comments on ""Formal methods application: An empirical tale of software development""")</f>
        <v>Comments on "Formal methods application: An empirical tale of software development"</v>
      </c>
      <c r="F117" s="7" t="str">
        <f>IFERROR(__xludf.DUMMYFUNCTION("""COMPUTED_VALUE"""),"TSE")</f>
        <v>TSE</v>
      </c>
      <c r="G117" s="7" t="str">
        <f>IFERROR(__xludf.DUMMYFUNCTION("""COMPUTED_VALUE"""),"We comment on the experimental design and the result of the paper mentioned in the title. Our purpose is to show interested readers examples of what can go wrong with experiments in software research and how to avoid the attending problems.")</f>
        <v>We comment on the experimental design and the result of the paper mentioned in the title. Our purpose is to show interested readers examples of what can go wrong with experiments in software research and how to avoid the attending problems.</v>
      </c>
      <c r="H117" s="8"/>
      <c r="I117" s="10" t="b">
        <v>0</v>
      </c>
      <c r="J117" s="10" t="b">
        <v>0</v>
      </c>
      <c r="K117" s="10" t="b">
        <v>0</v>
      </c>
      <c r="L117" s="10" t="b">
        <v>0</v>
      </c>
      <c r="M117" s="10" t="b">
        <v>0</v>
      </c>
      <c r="N117" s="10" t="b">
        <v>0</v>
      </c>
      <c r="O117" s="11" t="b">
        <f t="shared" si="1"/>
        <v>0</v>
      </c>
      <c r="P117" s="16" t="b">
        <v>0</v>
      </c>
      <c r="Q117" s="7"/>
    </row>
    <row r="118">
      <c r="A118" s="5" t="b">
        <v>1</v>
      </c>
      <c r="B118" s="5" t="s">
        <v>147</v>
      </c>
      <c r="C118" s="6" t="str">
        <f>IFERROR(__xludf.DUMMYFUNCTION("""COMPUTED_VALUE"""),"10.1109/32.738338")</f>
        <v>10.1109/32.738338</v>
      </c>
      <c r="D118" s="7" t="str">
        <f>IFERROR(__xludf.DUMMYFUNCTION("""COMPUTED_VALUE"""),"Haumer P.")</f>
        <v>Haumer P.</v>
      </c>
      <c r="E118" s="7" t="str">
        <f>IFERROR(__xludf.DUMMYFUNCTION("""COMPUTED_VALUE"""),"Requirements elicitation and validation with real world scenes")</f>
        <v>Requirements elicitation and validation with real world scenes</v>
      </c>
      <c r="F118" s="7" t="str">
        <f>IFERROR(__xludf.DUMMYFUNCTION("""COMPUTED_VALUE"""),"TSE")</f>
        <v>TSE</v>
      </c>
      <c r="G118" s="7" t="str">
        <f>IFERROR(__xludf.DUMMYFUNCTION("""COMPUTED_VALUE"""),"A requirements specification defines the requirements for the future system at a conceptual level (i.e., class or type level). In contrast, a scenario represents a concrete example of current or future system usage. In early RE phases, scenarios are used "&amp;"to support the definition of high level requirements (goals) to be achieved by the new system. In many cases, those goals can to a large degree be elicited by observing, documenting and analyzing scenarios about current system usage, i.e., the new system "&amp;"must often fulfill many of the functional and nonfunctional goals of the existing system. To support the elicitation and validation of the goals achieved by the existing system and to illustrate problems of the old system, we propose to capture current sy"&amp;"stem usage using rich media (e.g., video, speech, pictures, etc.) and to interrelate those observations with the goal definitions. Thus, we particularly aim at making the abstraction process which leads to the definition of the conceptual models more tran"&amp;"sparent and traceable. More precisely, we relate the parts of the observations which have caused the definition of a goal or against which a goal was validated with the corresponding goal. These interrelations provide the basis for: 1) explaining and illu"&amp;"strating a goal model to, e.g., untrained stakeholders and/or new team members, and thereby improving a common understanding of the goal model; 2) detecting, analyzing, and resolving a different interpretation of the observations; 3) comparing different o"&amp;"bservations using computed goal annotations; and 4) refining or detailing a goal model during later process phases. Using the PRIME implementation framework, we have implemented the PRIME-CREWS environment, which supports the interrelation of conceptual m"&amp;"odels and captured system usage observations. We report on our experiences with PRIME-CREWS gained in a first experimental case study. ©1998 IEEE.")</f>
        <v>A requirements specification defines the requirements for the future system at a conceptual level (i.e., class or type level). In contrast, a scenario represents a concrete example of current or future system usage. In early RE phases, scenarios are used to support the definition of high level requirements (goals) to be achieved by the new system. In many cases, those goals can to a large degree be elicited by observing, documenting and analyzing scenarios about current system usage, i.e., the new system must often fulfill many of the functional and nonfunctional goals of the existing system. To support the elicitation and validation of the goals achieved by the existing system and to illustrate problems of the old system, we propose to capture current system usage using rich media (e.g., video, speech, pictures, etc.) and to interrelate those observations with the goal definitions. Thus, we particularly aim at making the abstraction process which leads to the definition of the conceptual models more transparent and traceable. More precisely, we relate the parts of the observations which have caused the definition of a goal or against which a goal was validated with the corresponding goal. These interrelations provide the basis for: 1) explaining and illustrating a goal model to, e.g., untrained stakeholders and/or new team members, and thereby improving a common understanding of the goal model; 2) detecting, analyzing, and resolving a different interpretation of the observations; 3) comparing different observations using computed goal annotations; and 4) refining or detailing a goal model during later process phases. Using the PRIME implementation framework, we have implemented the PRIME-CREWS environment, which supports the interrelation of conceptual models and captured system usage observations. We report on our experiences with PRIME-CREWS gained in a first experimental case study. ©1998 IEEE.</v>
      </c>
      <c r="H118" s="8" t="str">
        <f>IFERROR(__xludf.DUMMYFUNCTION("""COMPUTED_VALUE"""),"Goal modeling; Process-integrated environments; Requirements elicitation; Requirements management; Requirements traceability; Requirements validation; Rich media; Scenario; Scenario-based requirements engineering; Software development")</f>
        <v>Goal modeling; Process-integrated environments; Requirements elicitation; Requirements management; Requirements traceability; Requirements validation; Rich media; Scenario; Scenario-based requirements engineering; Software development</v>
      </c>
      <c r="I118" s="10" t="b">
        <v>0</v>
      </c>
      <c r="J118" s="10" t="b">
        <v>0</v>
      </c>
      <c r="K118" s="10" t="b">
        <v>0</v>
      </c>
      <c r="L118" s="10" t="b">
        <v>0</v>
      </c>
      <c r="M118" s="10" t="b">
        <v>0</v>
      </c>
      <c r="N118" s="10" t="b">
        <v>0</v>
      </c>
      <c r="O118" s="11" t="b">
        <f t="shared" si="1"/>
        <v>0</v>
      </c>
      <c r="P118" s="16" t="b">
        <v>0</v>
      </c>
      <c r="Q118" s="7"/>
    </row>
    <row r="119">
      <c r="A119" s="5" t="b">
        <v>1</v>
      </c>
      <c r="B119" s="5" t="s">
        <v>148</v>
      </c>
      <c r="C119" s="6" t="str">
        <f>IFERROR(__xludf.DUMMYFUNCTION("""COMPUTED_VALUE"""),"10.1109/TSE.2003.1237172")</f>
        <v>10.1109/TSE.2003.1237172</v>
      </c>
      <c r="D119" s="7" t="str">
        <f>IFERROR(__xludf.DUMMYFUNCTION("""COMPUTED_VALUE"""),"Xie Y.; Engler D.")</f>
        <v>Xie Y.; Engler D.</v>
      </c>
      <c r="E119" s="7" t="str">
        <f>IFERROR(__xludf.DUMMYFUNCTION("""COMPUTED_VALUE"""),"Using Redundancies to Find Errors")</f>
        <v>Using Redundancies to Find Errors</v>
      </c>
      <c r="F119" s="7" t="str">
        <f>IFERROR(__xludf.DUMMYFUNCTION("""COMPUTED_VALUE"""),"TSE")</f>
        <v>TSE</v>
      </c>
      <c r="G119" s="7" t="str">
        <f>IFERROR(__xludf.DUMMYFUNCTION("""COMPUTED_VALUE"""),"Programmers generally attempt to perform useful work. If they performed an action, it was because they believed it served some purpose. Redundant operations violate this belief. However, in the past, redundant operations have been typically regarded as mi"&amp;"nor cosmetic problems rather than serious errors. This paper demonstrates that, in fact, many redundancies are as serious as traditional hard errors (such as race conditions or null pointer dereferences). We experimentally test this idea by writing and ap"&amp;"plying five redundancy checkers to a number of large open source projects, finding many errors. We then show that, even when redundancies are harmless, they strongly correlate with the presence of traditional hard errors. Finally, we show how flagging red"&amp;"undant operations gives a way to detect mistaxes and omissions in specifications. For example, a locking specification that binds shared variables to their protecting locks can use redundancies to detect missing bindings by flagging critical sections that"&amp;" include no shared state.")</f>
        <v>Programmers generally attempt to perform useful work. If they performed an action, it was because they believed it served some purpose. Redundant operations violate this belief. However, in the past, redundant operations have been typically regarded as minor cosmetic problems rather than serious errors. This paper demonstrates that, in fact, many redundancies are as serious as traditional hard errors (such as race conditions or null pointer dereferences). We experimentally test this idea by writing and applying five redundancy checkers to a number of large open source projects, finding many errors. We then show that, even when redundancies are harmless, they strongly correlate with the presence of traditional hard errors. Finally, we show how flagging redundant operations gives a way to detect mistaxes and omissions in specifications. For example, a locking specification that binds shared variables to their protecting locks can use redundancies to detect missing bindings by flagging critical sections that include no shared state.</v>
      </c>
      <c r="H119" s="8" t="str">
        <f>IFERROR(__xludf.DUMMYFUNCTION("""COMPUTED_VALUE"""),"Error detection; Extensible compilation; Program redundancy; Software quality")</f>
        <v>Error detection; Extensible compilation; Program redundancy; Software quality</v>
      </c>
      <c r="I119" s="10" t="b">
        <v>0</v>
      </c>
      <c r="J119" s="10" t="b">
        <v>0</v>
      </c>
      <c r="K119" s="10" t="b">
        <v>0</v>
      </c>
      <c r="L119" s="10" t="b">
        <v>0</v>
      </c>
      <c r="M119" s="10" t="b">
        <v>0</v>
      </c>
      <c r="N119" s="10" t="b">
        <v>0</v>
      </c>
      <c r="O119" s="11" t="b">
        <f t="shared" si="1"/>
        <v>0</v>
      </c>
      <c r="P119" s="16" t="b">
        <v>0</v>
      </c>
      <c r="Q119" s="7"/>
    </row>
    <row r="120">
      <c r="A120" s="5" t="b">
        <v>1</v>
      </c>
      <c r="B120" s="5" t="s">
        <v>149</v>
      </c>
      <c r="C120" s="6" t="str">
        <f>IFERROR(__xludf.DUMMYFUNCTION("""COMPUTED_VALUE"""),"10.1109/TSE.2023.3282981")</f>
        <v>10.1109/TSE.2023.3282981</v>
      </c>
      <c r="D120" s="7" t="str">
        <f>IFERROR(__xludf.DUMMYFUNCTION("""COMPUTED_VALUE"""),"Song J.; Xie X.; Ma L.")</f>
        <v>Song J.; Xie X.; Ma L.</v>
      </c>
      <c r="E120" s="7" t="str">
        <f>IFERROR(__xludf.DUMMYFUNCTION("""COMPUTED_VALUE"""),"SIEGE: A Semantics-Guided Safety Enhancement Framework for AI-Enabled Cyber-Physical Systems")</f>
        <v>SIEGE: A Semantics-Guided Safety Enhancement Framework for AI-Enabled Cyber-Physical Systems</v>
      </c>
      <c r="F120" s="7" t="str">
        <f>IFERROR(__xludf.DUMMYFUNCTION("""COMPUTED_VALUE"""),"TSE")</f>
        <v>TSE</v>
      </c>
      <c r="G120" s="7" t="str">
        <f>IFERROR(__xludf.DUMMYFUNCTION("""COMPUTED_VALUE"""),"Cyber-Physical Systems (CPSs) have been widely adopted in various industry domains to support many important tasks that impact our daily lives, such as automotive vehicles, robotics manufacturing, and energy systems. As Artificial Intelligence (AI) has de"&amp;"monstrated its promising abilities in diverse tasks like decision-making, prediction, and optimization, a growing number of CPSs adopt AI components in the loop to further extend their efficiency and performance. However, these modern AI-enabled CPSs have"&amp;" to tackle pivotal problems that the AI-enabled control systems might need to compensate the balance across multiple operation requirements and avoid possible defections in advance to safeguard human lives and properties. Modular redundancy and ensemble m"&amp;"ethod are two widely adopted solutions in the traditional CPSs and AI communities to enhance the functionality and flexibility of a system. Nevertheless, there is a lack of deep understanding of the effectiveness of such ensemble design on AI-CPSs across "&amp;"diverse industrial applications. Considering the complexity of AI-CPSs, existing ensemble methods fall short of handling such huge state space and sophisticated system dynamics. Furthermore, an ideal control solution should consider the multiple system sp"&amp;"ecifications in real-time and avoid erroneous behaviors beforehand. Such that, a new specification-oriented ensemble control system is of urgent need for AI-CPSs. In this paper, we propose SIEGE, a semantics-guided ensemble control framework to initiate a"&amp;"n early exploratory study of ensemble methods on AI-CPSs and aim to construct an efficient, robust, and reliable control solution for multi-tasks AI-CPSs. We first utilize a semantic-based abstraction to decompose the large state space, capture the ongoin"&amp;"g system status and predict future conditions in terms of the satisfaction of specifications. We propose a series of new semantics-aware ensemble strategies and an end-to-end Deep Reinforcement Learning (DRL) hierarchical ensemble method to improve the fl"&amp;"exibility and reliability of the control systems. Our large-scale, comprehensive evaluations over five subject CPSs show that 1) the semantics abstraction can efficiently narrow the large state space and predict the semantics of incoming states, 2) our se"&amp;"mantics-guided methods outperform state-of-the-art individual controllers and traditional ensemble methods, and 3) the DRL hierarchical ensemble approach shows promising capabilities to deliver a more robust, efficient, and safety-assured control system. "&amp;"To enable further research along this direction to build better AI-enabled CPS, we made all of the code and experimental results data publicly. (https://sites.google.com/view/ai-cps-siege/home).  © 1976-2012 IEEE.")</f>
        <v>Cyber-Physical Systems (CPSs) have been widely adopted in various industry domains to support many important tasks that impact our daily lives, such as automotive vehicles, robotics manufacturing, and energy systems. As Artificial Intelligence (AI) has demonstrated its promising abilities in diverse tasks like decision-making, prediction, and optimization, a growing number of CPSs adopt AI components in the loop to further extend their efficiency and performance. However, these modern AI-enabled CPSs have to tackle pivotal problems that the AI-enabled control systems might need to compensate the balance across multiple operation requirements and avoid possible defections in advance to safeguard human lives and properties. Modular redundancy and ensemble method are two widely adopted solutions in the traditional CPSs and AI communities to enhance the functionality and flexibility of a system. Nevertheless, there is a lack of deep understanding of the effectiveness of such ensemble design on AI-CPSs across diverse industrial applications. Considering the complexity of AI-CPSs, existing ensemble methods fall short of handling such huge state space and sophisticated system dynamics. Furthermore, an ideal control solution should consider the multiple system specifications in real-time and avoid erroneous behaviors beforehand. Such that, a new specification-oriented ensemble control system is of urgent need for AI-CPSs. In this paper, we propose SIEGE, a semantics-guided ensemble control framework to initiate an early exploratory study of ensemble methods on AI-CPSs and aim to construct an efficient, robust, and reliable control solution for multi-tasks AI-CPSs. We first utilize a semantic-based abstraction to decompose the large state space, capture the ongoing system status and predict future conditions in terms of the satisfaction of specifications. We propose a series of new semantics-aware ensemble strategies and an end-to-end Deep Reinforcement Learning (DRL) hierarchical ensemble method to improve the flexibility and reliability of the control systems. Our large-scale, comprehensive evaluations over five subject CPSs show that 1) the semantics abstraction can efficiently narrow the large state space and predict the semantics of incoming states, 2) our semantics-guided methods outperform state-of-the-art individual controllers and traditional ensemble methods, and 3) the DRL hierarchical ensemble approach shows promising capabilities to deliver a more robust, efficient, and safety-assured control system. To enable further research along this direction to build better AI-enabled CPS, we made all of the code and experimental results data publicly. (https://sites.google.com/view/ai-cps-siege/home).  © 1976-2012 IEEE.</v>
      </c>
      <c r="H120" s="8" t="str">
        <f>IFERROR(__xludf.DUMMYFUNCTION("""COMPUTED_VALUE"""),"AI controllers; Cyber-physical systems; ensemble methods; reinforcement learning; state abstraction")</f>
        <v>AI controllers; Cyber-physical systems; ensemble methods; reinforcement learning; state abstraction</v>
      </c>
      <c r="I120" s="10" t="b">
        <v>0</v>
      </c>
      <c r="J120" s="10" t="b">
        <v>0</v>
      </c>
      <c r="K120" s="10" t="b">
        <v>0</v>
      </c>
      <c r="L120" s="10" t="b">
        <v>0</v>
      </c>
      <c r="M120" s="10" t="b">
        <v>0</v>
      </c>
      <c r="N120" s="10" t="b">
        <v>0</v>
      </c>
      <c r="O120" s="11" t="b">
        <f t="shared" si="1"/>
        <v>0</v>
      </c>
      <c r="P120" s="16" t="b">
        <v>0</v>
      </c>
      <c r="Q120" s="7"/>
    </row>
    <row r="121">
      <c r="A121" s="5" t="b">
        <v>1</v>
      </c>
      <c r="B121" s="5" t="s">
        <v>150</v>
      </c>
      <c r="C121" s="6" t="str">
        <f>IFERROR(__xludf.DUMMYFUNCTION("""COMPUTED_VALUE"""),"10.1109/TSE.2019.2909033")</f>
        <v>10.1109/TSE.2019.2909033</v>
      </c>
      <c r="D121" s="7" t="str">
        <f>IFERROR(__xludf.DUMMYFUNCTION("""COMPUTED_VALUE"""),"Mohanani R.; Turhan B.; Ralph P.")</f>
        <v>Mohanani R.; Turhan B.; Ralph P.</v>
      </c>
      <c r="E121" s="7" t="str">
        <f>IFERROR(__xludf.DUMMYFUNCTION("""COMPUTED_VALUE"""),"Requirements Framing Affects Design Creativity")</f>
        <v>Requirements Framing Affects Design Creativity</v>
      </c>
      <c r="F121" s="7" t="str">
        <f>IFERROR(__xludf.DUMMYFUNCTION("""COMPUTED_VALUE"""),"TSE")</f>
        <v>TSE</v>
      </c>
      <c r="G121" s="7" t="str">
        <f>IFERROR(__xludf.DUMMYFUNCTION("""COMPUTED_VALUE"""),"Design creativity, the originality and practicality of a solution concept, is critical for the success of many software projects. However, little research has investigated the relationship between the way desiderata are presented and design creativity. Th"&amp;"is study therefore investigates the impact of presenting desiderata as ideas, requirements or prioritized requirements on design creativity. Two between-subjects randomized controlled experiments were conducted with 42 and 34 participants. Participants we"&amp;"re asked to create design concepts from a list of desiderata. Participants who received desiderata framed as requirements or prioritized requirements created designs that are, on average, less original but more practical than the designs created by partic"&amp;"ipants who received desiderata framed as ideas. This suggests that more formal, structured presentations of desiderata are less appropriate where more innovative solutions are desired. The results also show that design performance is highly susceptible to"&amp;" minor changes in the vernacular used to communicate desiderata.  © 1976-2012 IEEE.")</f>
        <v>Design creativity, the originality and practicality of a solution concept, is critical for the success of many software projects. However, little research has investigated the relationship between the way desiderata are presented and design creativity. This study therefore investigates the impact of presenting desiderata as ideas, requirements or prioritized requirements on design creativity. Two between-subjects randomized controlled experiments were conducted with 42 and 34 participants. Participants were asked to create design concepts from a list of desiderata. Participants who received desiderata framed as requirements or prioritized requirements created designs that are, on average, less original but more practical than the designs created by participants who received desiderata framed as ideas. This suggests that more formal, structured presentations of desiderata are less appropriate where more innovative solutions are desired. The results also show that design performance is highly susceptible to minor changes in the vernacular used to communicate desiderata.  © 1976-2012 IEEE.</v>
      </c>
      <c r="H121" s="8" t="str">
        <f>IFERROR(__xludf.DUMMYFUNCTION("""COMPUTED_VALUE"""),"Cognitive bias; creativity; design; experiment; originality; practicality; prioritization; requirements")</f>
        <v>Cognitive bias; creativity; design; experiment; originality; practicality; prioritization; requirements</v>
      </c>
      <c r="I121" s="9" t="b">
        <v>1</v>
      </c>
      <c r="J121" s="9" t="b">
        <v>1</v>
      </c>
      <c r="K121" s="9" t="b">
        <v>1</v>
      </c>
      <c r="L121" s="10" t="b">
        <v>0</v>
      </c>
      <c r="M121" s="10" t="b">
        <v>0</v>
      </c>
      <c r="N121" s="9" t="b">
        <v>0</v>
      </c>
      <c r="O121" s="11" t="b">
        <f t="shared" si="1"/>
        <v>1</v>
      </c>
      <c r="P121" s="12" t="b">
        <v>0</v>
      </c>
      <c r="Q121" s="13"/>
    </row>
    <row r="122">
      <c r="A122" s="5" t="b">
        <v>1</v>
      </c>
      <c r="B122" s="5" t="s">
        <v>151</v>
      </c>
      <c r="C122" s="6" t="str">
        <f>IFERROR(__xludf.DUMMYFUNCTION("""COMPUTED_VALUE"""),"10.1109/TSE.2023.3285280")</f>
        <v>10.1109/TSE.2023.3285280</v>
      </c>
      <c r="D122" s="7" t="str">
        <f>IFERROR(__xludf.DUMMYFUNCTION("""COMPUTED_VALUE"""),"Liu M.; Zhao C.; Peng X.; Yu S.; Wang H.; Sha C.")</f>
        <v>Liu M.; Zhao C.; Peng X.; Yu S.; Wang H.; Sha C.</v>
      </c>
      <c r="E122" s="7" t="str">
        <f>IFERROR(__xludf.DUMMYFUNCTION("""COMPUTED_VALUE"""),"Task-Oriented ML/DL Library Recommendation Based on a Knowledge Graph")</f>
        <v>Task-Oriented ML/DL Library Recommendation Based on a Knowledge Graph</v>
      </c>
      <c r="F122" s="7" t="str">
        <f>IFERROR(__xludf.DUMMYFUNCTION("""COMPUTED_VALUE"""),"TSE")</f>
        <v>TSE</v>
      </c>
      <c r="G122" s="7" t="str">
        <f>IFERROR(__xludf.DUMMYFUNCTION("""COMPUTED_VALUE"""),"AI applications often use ML/DL (Machine Learning/Deep Learning) models to implement specific AI tasks. As application developers usually are not AI experts, they often choose to integrate existing implementations of ML/DL models as libraries for their AI"&amp;" tasks. As an active research area, AI attracts many researchers and produces a lot of papers every year. Many of the papers propose ML/DL models for specific tasks and provide their implementations. However, it is not easy for developers to find ML/DL li"&amp;"braries that are suitable for their tasks. The challenges lie in not only the fast development of AI application domains and techniques, but also the lack of detailed information of the libraries such as environmental dependencies and supporting resources"&amp;". In this paper, we conduct an empirical study on ML/DL library seeking questions on Stack Overflow to understand the developers' requirements for ML/DL libraries. Based on the findings of the study, we propose a task-oriented ML/DL library recommendation"&amp;" approach, called MLTaskKG. It constructs a knowledge graph that captures AI tasks, ML/DL models, model implementations, repositories, and their relationships by extracting knowledge from different sources such as ML/DL resource websites, papers, ML/DL fr"&amp;"ameworks, and repositories. Based on the knowledge graph, MLTaskKG recommends ML/DL libraries for developers by matching their requirements on tasks, model characteristics, and implementation information. Our evaluation shows that 92.8% of the tuples samp"&amp;"led from the resulting knowledge graph are correct, demonstrating the high quality of the knowledge graph. A further experiment shows that MLTaskKG can help developers find suitable ML/DL libraries using 47.6% shorter time and with 68.4% higher satisfacti"&amp;"on.  © 1976-2012 IEEE.")</f>
        <v>AI applications often use ML/DL (Machine Learning/Deep Learning) models to implement specific AI tasks. As application developers usually are not AI experts, they often choose to integrate existing implementations of ML/DL models as libraries for their AI tasks. As an active research area, AI attracts many researchers and produces a lot of papers every year. Many of the papers propose ML/DL models for specific tasks and provide their implementations. However, it is not easy for developers to find ML/DL libraries that are suitable for their tasks. The challenges lie in not only the fast development of AI application domains and techniques, but also the lack of detailed information of the libraries such as environmental dependencies and supporting resources. In this paper, we conduct an empirical study on ML/DL library seeking questions on Stack Overflow to understand the developers' requirements for ML/DL libraries. Based on the findings of the study, we propose a task-oriented ML/DL library recommendation approach, called MLTaskKG. It constructs a knowledge graph that captures AI tasks, ML/DL models, model implementations, repositories, and their relationships by extracting knowledge from different sources such as ML/DL resource websites, papers, ML/DL frameworks, and repositories. Based on the knowledge graph, MLTaskKG recommends ML/DL libraries for developers by matching their requirements on tasks, model characteristics, and implementation information. Our evaluation shows that 92.8% of the tuples sampled from the resulting knowledge graph are correct, demonstrating the high quality of the knowledge graph. A further experiment shows that MLTaskKG can help developers find suitable ML/DL libraries using 47.6% shorter time and with 68.4% higher satisfaction.  © 1976-2012 IEEE.</v>
      </c>
      <c r="H122" s="8" t="str">
        <f>IFERROR(__xludf.DUMMYFUNCTION("""COMPUTED_VALUE"""),"Deep learning; knowledge graph; library recommendation; machine learning")</f>
        <v>Deep learning; knowledge graph; library recommendation; machine learning</v>
      </c>
      <c r="I122" s="10" t="b">
        <v>0</v>
      </c>
      <c r="J122" s="10" t="b">
        <v>0</v>
      </c>
      <c r="K122" s="10" t="b">
        <v>0</v>
      </c>
      <c r="L122" s="10" t="b">
        <v>0</v>
      </c>
      <c r="M122" s="10" t="b">
        <v>0</v>
      </c>
      <c r="N122" s="10" t="b">
        <v>0</v>
      </c>
      <c r="O122" s="11" t="b">
        <f t="shared" si="1"/>
        <v>0</v>
      </c>
      <c r="P122" s="16" t="b">
        <v>0</v>
      </c>
      <c r="Q122" s="7"/>
    </row>
    <row r="123">
      <c r="A123" s="5" t="b">
        <v>1</v>
      </c>
      <c r="B123" s="5" t="s">
        <v>152</v>
      </c>
      <c r="C123" s="6" t="str">
        <f>IFERROR(__xludf.DUMMYFUNCTION("""COMPUTED_VALUE"""),"10.1109/TSE.2019.2934848")</f>
        <v>10.1109/TSE.2019.2934848</v>
      </c>
      <c r="D123" s="7" t="str">
        <f>IFERROR(__xludf.DUMMYFUNCTION("""COMPUTED_VALUE"""),"Sun C.-A.; Fu A.; Poon P.-L.; Xie X.; Liu H.; Chen T.Y.")</f>
        <v>Sun C.-A.; Fu A.; Poon P.-L.; Xie X.; Liu H.; Chen T.Y.</v>
      </c>
      <c r="E123" s="7" t="str">
        <f>IFERROR(__xludf.DUMMYFUNCTION("""COMPUTED_VALUE"""),"METRIC+: A metamorphic relation identification technique based on input plus output domains")</f>
        <v>METRIC+: A metamorphic relation identification technique based on input plus output domains</v>
      </c>
      <c r="F123" s="7" t="str">
        <f>IFERROR(__xludf.DUMMYFUNCTION("""COMPUTED_VALUE"""),"TSE")</f>
        <v>TSE</v>
      </c>
      <c r="G123" s="7" t="str">
        <f>IFERROR(__xludf.DUMMYFUNCTION("""COMPUTED_VALUE"""),"Metamorphic testing is well known for its ability to alleviate the oracle problem in software testing. The main idea of metamorphic testing is to test a software system by checking whether each identified metamorphic relation (MR) holds among several exec"&amp;"utions. In this regard, identifying MRs is an essential task in metamorphic testing. In view of the importance of this identification task, METRIC (METamorphic Relation Identification based on Category-choice framework) was developed to help software test"&amp;"ers identify MRs from a given set of complete test frames. However, during MR identification, METRIC primarily focuses on the input domain without sufficient attention given to the output domain, thereby hindering the effectiveness of METRIC. Inspired by "&amp;"this problem, we have extended METRIC into METRIC+ by incorporating the information derived from the output domain for MR identification. A tool implementing METRIC+ has also been developed. Two rounds of experiments, involving four real-life specificatio"&amp;"ns, have been conducted to evaluate the effectiveness and efficiency of METRIC+. The results have confirmed that METRIC+ is highly effective and efficient in MR identification. Additional experiments have been performed to compare the fault detection capa"&amp;"bility of the MRs generated by METRIC+ and those by μMT (another MR identification technique). The comparison results have confirmed that the MRs generated by METRIC+ are highly effective in fault detection. © 1976-2012 IEEE.")</f>
        <v>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v>
      </c>
      <c r="H123" s="8" t="str">
        <f>IFERROR(__xludf.DUMMYFUNCTION("""COMPUTED_VALUE"""),"category-choice framework; fault detection effectiveness; metamorphic relation; Metamorphic testing")</f>
        <v>category-choice framework; fault detection effectiveness; metamorphic relation; Metamorphic testing</v>
      </c>
      <c r="I123" s="10" t="b">
        <v>0</v>
      </c>
      <c r="J123" s="10" t="b">
        <v>0</v>
      </c>
      <c r="K123" s="10" t="b">
        <v>0</v>
      </c>
      <c r="L123" s="10" t="b">
        <v>0</v>
      </c>
      <c r="M123" s="10" t="b">
        <v>0</v>
      </c>
      <c r="N123" s="10" t="b">
        <v>0</v>
      </c>
      <c r="O123" s="11" t="b">
        <f t="shared" si="1"/>
        <v>0</v>
      </c>
      <c r="P123" s="16" t="b">
        <v>0</v>
      </c>
      <c r="Q123" s="7"/>
    </row>
    <row r="124">
      <c r="A124" s="5" t="b">
        <v>1</v>
      </c>
      <c r="B124" s="5" t="s">
        <v>153</v>
      </c>
      <c r="C124" s="6" t="str">
        <f>IFERROR(__xludf.DUMMYFUNCTION("""COMPUTED_VALUE"""),"10.1109/TSE.2011.92")</f>
        <v>10.1109/TSE.2011.92</v>
      </c>
      <c r="D124" s="7" t="str">
        <f>IFERROR(__xludf.DUMMYFUNCTION("""COMPUTED_VALUE"""),"Xuan J.; Jiang H.; Ren Z.; Luo Z.")</f>
        <v>Xuan J.; Jiang H.; Ren Z.; Luo Z.</v>
      </c>
      <c r="E124" s="7" t="str">
        <f>IFERROR(__xludf.DUMMYFUNCTION("""COMPUTED_VALUE"""),"Solving the large scale next release problem with a backbone-based multilevel algorithm")</f>
        <v>Solving the large scale next release problem with a backbone-based multilevel algorithm</v>
      </c>
      <c r="F124" s="7" t="str">
        <f>IFERROR(__xludf.DUMMYFUNCTION("""COMPUTED_VALUE"""),"TSE")</f>
        <v>TSE</v>
      </c>
      <c r="G124" s="7" t="str">
        <f>IFERROR(__xludf.DUMMYFUNCTION("""COMPUTED_VALUE"""),"The Next Release Problem (NRP) aims to optimize customer profits and requirements selection for the software releases. The research on the NRP is restricted by the growing scale of requirements. In this paper, we propose a Backbone-based Multilevel Algori"&amp;"thm (BMA) to address the large scale NRP. In contrast to direct solving approaches, the BMA employs multilevel reductions to downgrade the problem scale and multilevel refinements to construct the final optimal set of customers. In both reductions and ref"&amp;"inements, the backbone is built to fix the common part of the optimal customers. Since it is intractable to extract the backbone in practice, the approximate backbone is employed for the instance reduction while the soft backbone is proposed to augment th"&amp;"e backbone application. In the experiments, to cope with the lack of open large requirements databases, we propose a method to extract instances from open bug repositories. Experimental results on 15 classic instances and 24 realistic instances demonstrat"&amp;"e that the BMA can achieve better solutions on the large scale NRP instances than direct solving approaches. Our work provides a reduction approach for solving large scale problems in search-based requirements engineering. © 2012 IEEE.")</f>
        <v>The Next Release Problem (NRP) aims to optimize customer profits and requirements selection for the software releases. The research on the NRP is restricted by the growing scale of requirements. In this paper, we propose a Backbone-based Multilevel Algorithm (BMA) to address the large scale NRP. In contrast to direct solving approaches, the BMA employs multilevel reductions to downgrade the problem scale and multilevel refinements to construct the final optimal set of customers. In both reductions and refinements, the backbone is built to fix the common part of the optimal customers. Since it is intractable to extract the backbone in practice, the approximate backbone is employed for the instance reduction while the soft backbone is proposed to augment the backbone application. In the experiments, to cope with the lack of open large requirements databases, we propose a method to extract instances from open bug repositories. Experimental results on 15 classic instances and 24 realistic instances demonstrate that the BMA can achieve better solutions on the large scale NRP instances than direct solving approaches. Our work provides a reduction approach for solving large scale problems in search-based requirements engineering. © 2012 IEEE.</v>
      </c>
      <c r="H124" s="8" t="str">
        <f>IFERROR(__xludf.DUMMYFUNCTION("""COMPUTED_VALUE"""),"backbone; multilevel algorithm; requirements instance generation; search-based requirements engineering; soft backbone; The next release problem")</f>
        <v>backbone; multilevel algorithm; requirements instance generation; search-based requirements engineering; soft backbone; The next release problem</v>
      </c>
      <c r="I124" s="10" t="b">
        <v>0</v>
      </c>
      <c r="J124" s="9" t="b">
        <v>1</v>
      </c>
      <c r="K124" s="9" t="b">
        <v>1</v>
      </c>
      <c r="L124" s="10" t="b">
        <v>0</v>
      </c>
      <c r="M124" s="10" t="b">
        <v>0</v>
      </c>
      <c r="N124" s="10" t="b">
        <v>0</v>
      </c>
      <c r="O124" s="11" t="b">
        <f t="shared" si="1"/>
        <v>0</v>
      </c>
      <c r="P124" s="12" t="b">
        <v>0</v>
      </c>
      <c r="Q124" s="13"/>
    </row>
    <row r="125">
      <c r="A125" s="5" t="b">
        <v>1</v>
      </c>
      <c r="B125" s="5" t="s">
        <v>154</v>
      </c>
      <c r="C125" s="6" t="str">
        <f>IFERROR(__xludf.DUMMYFUNCTION("""COMPUTED_VALUE"""),"10.1109/TSE.2022.3163682")</f>
        <v>10.1109/TSE.2022.3163682</v>
      </c>
      <c r="D125" s="7" t="str">
        <f>IFERROR(__xludf.DUMMYFUNCTION("""COMPUTED_VALUE"""),"Rossolini G.; Biondi A.; Buttazzo G.")</f>
        <v>Rossolini G.; Biondi A.; Buttazzo G.</v>
      </c>
      <c r="E125" s="7" t="str">
        <f>IFERROR(__xludf.DUMMYFUNCTION("""COMPUTED_VALUE"""),"Increasing the Confidence of Deep Neural Networks by Coverage Analysis")</f>
        <v>Increasing the Confidence of Deep Neural Networks by Coverage Analysis</v>
      </c>
      <c r="F125" s="7" t="str">
        <f>IFERROR(__xludf.DUMMYFUNCTION("""COMPUTED_VALUE"""),"TSE")</f>
        <v>TSE</v>
      </c>
      <c r="G125" s="7" t="str">
        <f>IFERROR(__xludf.DUMMYFUNCTION("""COMPUTED_VALUE"""),"The great performance of machine learning algorithms and deep neural networks in several perception and control tasks is pushing the industry to adopt such technologies in safety-critical applications, as autonomous robots and self-driving vehicles. At pr"&amp;"esent, however, several issues need to be solved to make deep learning methods more trustworthy, predictable, safe, and secure against adversarial attacks. Although several methods have been proposed to improve the trustworthiness of deep neural networks,"&amp;" most of them are tailored for specific classes of adversarial examples, hence failing to detect other corner cases or unsafe inputs that heavily deviate from the training samples. This paper presents a lightweight monitoring architecture based on coverag"&amp;"e paradigms to enhance the model robustness against different unsafe inputs. In particular, four coverage analysis methods are proposed and tested in the architecture for evaluating multiple detection logic. Experimental results show that the proposed app"&amp;"roach is effective in detecting both powerful adversarial examples and out-of-distribution inputs, introducing limited extra-execution time and memory requirements. © 1976-2012 IEEE.")</f>
        <v>The great performance of machine learning algorithms and deep neural networks in several perception and control tasks is pushing the industry to adopt such technologies in safety-critical applications, as autonomous robots and self-driving vehicles. At present, however, several issues need to be solved to make deep learning methods more trustworthy, predictable, safe, and secure against adversarial attacks. Although several methods have been proposed to improve the trustworthiness of deep neural networks, most of them are tailored for specific classes of adversarial examples, hence failing to detect other corner cases or unsafe inputs that heavily deviate from the training samples. This paper presents a lightweight monitoring architecture based on coverage paradigms to enhance the model robustness against different unsafe inputs. In particular, four coverage analysis methods are proposed and tested in the architecture for evaluating multiple detection logic. Experimental results show that the proposed approach is effective in detecting both powerful adversarial examples and out-of-distribution inputs, introducing limited extra-execution time and memory requirements. © 1976-2012 IEEE.</v>
      </c>
      <c r="H125" s="8" t="str">
        <f>IFERROR(__xludf.DUMMYFUNCTION("""COMPUTED_VALUE"""),"adversarial examples detection; DNNs robustness; Neural networks coverage")</f>
        <v>adversarial examples detection; DNNs robustness; Neural networks coverage</v>
      </c>
      <c r="I125" s="10" t="b">
        <v>0</v>
      </c>
      <c r="J125" s="10" t="b">
        <v>0</v>
      </c>
      <c r="K125" s="10" t="b">
        <v>0</v>
      </c>
      <c r="L125" s="10" t="b">
        <v>0</v>
      </c>
      <c r="M125" s="10" t="b">
        <v>0</v>
      </c>
      <c r="N125" s="10" t="b">
        <v>0</v>
      </c>
      <c r="O125" s="11" t="b">
        <f t="shared" si="1"/>
        <v>0</v>
      </c>
      <c r="P125" s="16" t="b">
        <v>0</v>
      </c>
      <c r="Q125" s="7"/>
    </row>
    <row r="126">
      <c r="A126" s="5" t="b">
        <v>1</v>
      </c>
      <c r="B126" s="5" t="s">
        <v>155</v>
      </c>
      <c r="C126" s="6" t="str">
        <f>IFERROR(__xludf.DUMMYFUNCTION("""COMPUTED_VALUE"""),"10.1109/TSE.2017.2738640")</f>
        <v>10.1109/TSE.2017.2738640</v>
      </c>
      <c r="D126" s="7" t="str">
        <f>IFERROR(__xludf.DUMMYFUNCTION("""COMPUTED_VALUE"""),"Calinescu R.; Weyns D.; Gerasimou S.; Iftikhar M.U.; Habli I.; Kelly T.")</f>
        <v>Calinescu R.; Weyns D.; Gerasimou S.; Iftikhar M.U.; Habli I.; Kelly T.</v>
      </c>
      <c r="E126" s="7" t="str">
        <f>IFERROR(__xludf.DUMMYFUNCTION("""COMPUTED_VALUE"""),"Engineering trustworthy self-adaptive software with dynamic assurance cases")</f>
        <v>Engineering trustworthy self-adaptive software with dynamic assurance cases</v>
      </c>
      <c r="F126" s="7" t="str">
        <f>IFERROR(__xludf.DUMMYFUNCTION("""COMPUTED_VALUE"""),"TSE")</f>
        <v>TSE</v>
      </c>
      <c r="G126" s="7" t="str">
        <f>IFERROR(__xludf.DUMMYFUNCTION("""COMPUTED_VALUE"""),"Building on concepts drawn from control theory, self-adaptive software handles environmental and internal uncertainties by dynamically adjusting its architecture and parameters in response to events such as workload changes and component failures. Self-ad"&amp;"aptive software is increasingly expected to meet strict functional and non-functional requirements in applications from areas as diverse as manufacturing, healthcare and finance. To address this need, we introduce a methodology for the systematic ENgineer"&amp;"ing of TRUstworthy Self-adaptive sofTware (ENTRUST). ENTRUST uses a combination of (1) design-time and runtime modelling and verification, and (2) industry-adopted assurance processes to develop trustworthy self-adaptive software and assurance cases argui"&amp;"ng the suitability of the software for its intended application. To evaluate the effectiveness of our methodology, we present a tool-supported instance of ENTRUST and its use to develop proof-of-concept self-adaptive software for embedded and service-base"&amp;"d systems from the oceanic monitoring and e-finance domains, respectively. The experimental results show that ENTRUST can be used to engineer self-adaptive software systems in different application domains and to generate dynamic assurance cases for these"&amp;" systems. © 1976-2012 IEEE.")</f>
        <v>Building on concepts drawn from control theory, self-adaptive software handles environmental and internal uncertainties by dynamically adjusting its architecture and parameters in response to events such as workload changes and component failures. Self-adaptive software is increasingly expected to meet strict functional and non-functional requirements in applications from areas as diverse as manufacturing, healthcare and finance. To address this need, we introduce a methodology for the systematic ENgineering of TRUstworthy Self-adaptive sofTware (ENTRUST). ENTRUST uses a combination of (1) design-time and runtime modelling and verification, and (2) industry-adopted assurance processes to develop trustworthy self-adaptive software and assurance cases arguing the suitability of the software for its intended application. To evaluate the effectiveness of our methodology, we present a tool-supported instance of ENTRUST and its use to develop proof-of-concept self-adaptive software for embedded and service-based systems from the oceanic monitoring and e-finance domains, respectively. The experimental results show that ENTRUST can be used to engineer self-adaptive software systems in different application domains and to generate dynamic assurance cases for these systems. © 1976-2012 IEEE.</v>
      </c>
      <c r="H126" s="8" t="str">
        <f>IFERROR(__xludf.DUMMYFUNCTION("""COMPUTED_VALUE"""),"Assurance cases; Assurance evidence; Self-adaptive software systems; Software engineering methodology")</f>
        <v>Assurance cases; Assurance evidence; Self-adaptive software systems; Software engineering methodology</v>
      </c>
      <c r="I126" s="10" t="b">
        <v>0</v>
      </c>
      <c r="J126" s="10" t="b">
        <v>0</v>
      </c>
      <c r="K126" s="10" t="b">
        <v>0</v>
      </c>
      <c r="L126" s="10" t="b">
        <v>0</v>
      </c>
      <c r="M126" s="10" t="b">
        <v>0</v>
      </c>
      <c r="N126" s="10" t="b">
        <v>0</v>
      </c>
      <c r="O126" s="11" t="b">
        <f t="shared" si="1"/>
        <v>0</v>
      </c>
      <c r="P126" s="16" t="b">
        <v>0</v>
      </c>
      <c r="Q126" s="7"/>
    </row>
    <row r="127">
      <c r="A127" s="5" t="b">
        <v>1</v>
      </c>
      <c r="B127" s="5" t="s">
        <v>156</v>
      </c>
      <c r="C127" s="6" t="str">
        <f>IFERROR(__xludf.DUMMYFUNCTION("""COMPUTED_VALUE"""),"10.1109/32.748915")</f>
        <v>10.1109/32.748915</v>
      </c>
      <c r="D127" s="7" t="str">
        <f>IFERROR(__xludf.DUMMYFUNCTION("""COMPUTED_VALUE"""),"Karamanolis C.T.; Magee J.N.")</f>
        <v>Karamanolis C.T.; Magee J.N.</v>
      </c>
      <c r="E127" s="7" t="str">
        <f>IFERROR(__xludf.DUMMYFUNCTION("""COMPUTED_VALUE"""),"Client-access protocols for replicated services")</f>
        <v>Client-access protocols for replicated services</v>
      </c>
      <c r="F127" s="7" t="str">
        <f>IFERROR(__xludf.DUMMYFUNCTION("""COMPUTED_VALUE"""),"TSE")</f>
        <v>TSE</v>
      </c>
      <c r="G127" s="7" t="str">
        <f>IFERROR(__xludf.DUMMYFUNCTION("""COMPUTED_VALUE"""),"This paper addresses the problem of replicated service provision in distributed systems. Existing systems that follow the State Machine approach concentrate on the synchronization of the server replicas and do not consider the problem of client interactio"&amp;"n with the server group. The paper analyzes client interaction and identifies a number of access protocols to meet a range of client requirements and system models. The paper demonstrates that protocols for the open group model-clients external to the gro"&amp;"up of servers-satisfy the requirements of the State Machine approach, even when replication is transparent to the clients. Experimental performance results indicate that the open model is clearly desirable when the service is used by a large, dynamically "&amp;"changing set of clients. The situation which pertains to Internet service provision. ©1999 IEEE.")</f>
        <v>This paper addresses the problem of replicated service provision in distributed systems. Existing systems that follow the State Machine approach concentrate on the synchronization of the server replicas and do not consider the problem of client interaction with the server group. The paper analyzes client interaction and identifies a number of access protocols to meet a range of client requirements and system models. The paper demonstrates that protocols for the open group model-clients external to the group of servers-satisfy the requirements of the State Machine approach, even when replication is transparent to the clients. Experimental performance results indicate that the open model is clearly desirable when the service is used by a large, dynamically changing set of clients. The situation which pertains to Internet service provision. ©1999 IEEE.</v>
      </c>
      <c r="H127" s="8" t="str">
        <f>IFERROR(__xludf.DUMMYFUNCTION("""COMPUTED_VALUE"""),"Availability; Client access; Client-server; Replication")</f>
        <v>Availability; Client access; Client-server; Replication</v>
      </c>
      <c r="I127" s="10" t="b">
        <v>0</v>
      </c>
      <c r="J127" s="10" t="b">
        <v>0</v>
      </c>
      <c r="K127" s="10" t="b">
        <v>0</v>
      </c>
      <c r="L127" s="10" t="b">
        <v>0</v>
      </c>
      <c r="M127" s="10" t="b">
        <v>0</v>
      </c>
      <c r="N127" s="10" t="b">
        <v>0</v>
      </c>
      <c r="O127" s="11" t="b">
        <f t="shared" si="1"/>
        <v>0</v>
      </c>
      <c r="P127" s="16" t="b">
        <v>0</v>
      </c>
      <c r="Q127" s="7"/>
    </row>
    <row r="128">
      <c r="A128" s="5" t="b">
        <v>1</v>
      </c>
      <c r="B128" s="5" t="s">
        <v>157</v>
      </c>
      <c r="C128" s="6" t="str">
        <f>IFERROR(__xludf.DUMMYFUNCTION("""COMPUTED_VALUE"""),"10.1109/TSE.2023.3255177")</f>
        <v>10.1109/TSE.2023.3255177</v>
      </c>
      <c r="D128" s="7" t="str">
        <f>IFERROR(__xludf.DUMMYFUNCTION("""COMPUTED_VALUE"""),"Le-Cong T.; Luong D.-M.; Le X.B.D.; Lo D.; Tran N.-H.; Quang-Huy B.; Huynh Q.-T.")</f>
        <v>Le-Cong T.; Luong D.-M.; Le X.B.D.; Lo D.; Tran N.-H.; Quang-Huy B.; Huynh Q.-T.</v>
      </c>
      <c r="E128" s="7" t="str">
        <f>IFERROR(__xludf.DUMMYFUNCTION("""COMPUTED_VALUE"""),"Invalidator: Automated Patch Correctness Assessment Via Semantic and Syntactic Reasoning")</f>
        <v>Invalidator: Automated Patch Correctness Assessment Via Semantic and Syntactic Reasoning</v>
      </c>
      <c r="F128" s="7" t="str">
        <f>IFERROR(__xludf.DUMMYFUNCTION("""COMPUTED_VALUE"""),"TSE")</f>
        <v>TSE</v>
      </c>
      <c r="G128" s="7" t="str">
        <f>IFERROR(__xludf.DUMMYFUNCTION("""COMPUTED_VALUE"""),"Automated program repair (APR) faces the challenge of test overfitting, where generated patches pass validation tests but fail to generalize. Existing methods for patch assessment involve generating new tests or manual inspection, which can be time-consum"&amp;"ing or biased. In this paper, we propose a novel technique, Invalidator, to automatically assess the correctness of APR-generated patches via semantic and syntactic reasoning. Invalidator leverages program invariants to reason about program semantics whil"&amp;"e also capturing program syntax through language semantics learned from a large code corpus using a pre-trained language model. Given a buggy program and the developer-patched program, Invalidator infers likely invariants on both programs. Then, Invalidat"&amp;"or determines that an APR-generated patch overfits if: (1) it violates correct specifications or (2) maintains erroneous behaviors from the original buggy program. In case our approach fails to determine an overfitting patch based on invariants, Invalidat"&amp;"or utilizes a trained model from labeled patches to assess patch correctness based on program syntax. The benefit of Invalidator is threefold. First, Invalidator leverages both semantic and syntactic reasoning to enhance its discriminative capability. Sec"&amp;"ond, Invalidator does not require new test cases to be generated, but instead only relies on the current test suite and uses invariant inference to generalize program behaviors. Third, Invalidator is fully automated. Experimental results demonstrate that "&amp;"Invalidator outperforms existing methods in terms of Accuracy and F-measure, correctly identifying 79% of overfitting patches and detecting 23% more overfitting patches than the best baseline.  © 1976-2012 IEEE.")</f>
        <v>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v>
      </c>
      <c r="H128" s="8" t="str">
        <f>IFERROR(__xludf.DUMMYFUNCTION("""COMPUTED_VALUE"""),"Automated patch correctness assessment; automated program repair; code representations; overfitting problem; program invariants")</f>
        <v>Automated patch correctness assessment; automated program repair; code representations; overfitting problem; program invariants</v>
      </c>
      <c r="I128" s="10" t="b">
        <v>0</v>
      </c>
      <c r="J128" s="10" t="b">
        <v>0</v>
      </c>
      <c r="K128" s="10" t="b">
        <v>0</v>
      </c>
      <c r="L128" s="10" t="b">
        <v>0</v>
      </c>
      <c r="M128" s="10" t="b">
        <v>0</v>
      </c>
      <c r="N128" s="10" t="b">
        <v>0</v>
      </c>
      <c r="O128" s="11" t="b">
        <f t="shared" si="1"/>
        <v>0</v>
      </c>
      <c r="P128" s="16" t="b">
        <v>0</v>
      </c>
      <c r="Q128" s="7"/>
    </row>
    <row r="129">
      <c r="A129" s="5" t="b">
        <v>1</v>
      </c>
      <c r="B129" s="5" t="s">
        <v>158</v>
      </c>
      <c r="C129" s="6" t="str">
        <f>IFERROR(__xludf.DUMMYFUNCTION("""COMPUTED_VALUE"""),"10.1109/TSE.2023.3298432")</f>
        <v>10.1109/TSE.2023.3298432</v>
      </c>
      <c r="D129" s="7" t="str">
        <f>IFERROR(__xludf.DUMMYFUNCTION("""COMPUTED_VALUE"""),"Mancini T.; Melatti I.; Tronci E.")</f>
        <v>Mancini T.; Melatti I.; Tronci E.</v>
      </c>
      <c r="E129" s="7" t="str">
        <f>IFERROR(__xludf.DUMMYFUNCTION("""COMPUTED_VALUE"""),"Optimizing Highly-Parallel Simulation-Based Verification of Cyber-Physical Systems")</f>
        <v>Optimizing Highly-Parallel Simulation-Based Verification of Cyber-Physical Systems</v>
      </c>
      <c r="F129" s="7" t="str">
        <f>IFERROR(__xludf.DUMMYFUNCTION("""COMPUTED_VALUE"""),"TSE")</f>
        <v>TSE</v>
      </c>
      <c r="G129" s="7" t="str">
        <f>IFERROR(__xludf.DUMMYFUNCTION("""COMPUTED_VALUE"""),"Cyber-Physical Systems (CPSs), comprising both software and physical components, arise in many industry-relevant domains and are often mission- or safety-critical. System-Level Verification (SLV) of CPSs aims at certifying that given (e.g., safety or live"&amp;"ness) specifications are met, or at estimating the value of some Key Performance Indicators, when the system runs in its operational environment, that is in presence of inputs and/or of additional, uncontrolled disturbances. To enable SLV of complex syste"&amp;"ms from the early design phases, the currently most adopted approach envisions the simulation of a system model under the (time bounded) operational scenarios deemed of interest. Unfortunately, simulation-based SLV can be computationally prohibitive (year"&amp;"s of sequential simulation), since system model simulation is computationally intensive and the set of scenarios of interest can be extremely large. In this article, we present a technique that, given a collection of scenarios of interest (extracted from "&amp;"databases or from symbolic structures), computes parallel shortest simulation campaigns, which drive a possibly large number of system model simulators running in parallel in a HPC infrastructure through all (and only) those scenarios in the user-defined "&amp;"(possibly random) order, by wisely avoiding multiple simulations of repeated trajectories, thus minimising completion time. Our experiments on SLV of Modelica/FMU and Simulink models with up to almost 200 million scenarios show that our optimisation yield"&amp;"s speedups as high as 8×. This, together with the enabled massive parallelisation, makes practically viable (a few weeks in a HPC infrastructure) verification tasks (both statistical and exhaustive) which would otherwise take inconceivably long time.  © 1"&amp;"976-2012 IEEE.")</f>
        <v>Cyber-Physical Systems (CPSs), comprising both software and physical components, arise in many industry-relevant domains and are often mission- or safety-critical. System-Level Verification (SLV) of CPSs aims at certifying that given (e.g., safety or liveness) specifications are met, or at estimating the value of some Key Performance Indicators, when the system runs in its operational environment, that is in presence of inputs and/or of additional, uncontrolled disturbances. To enable SLV of complex systems from the early design phases, the currently most adopted approach envisions the simulation of a system model under the (time bounded) operational scenarios deemed of interest. Unfortunately, simulation-based SLV can be computationally prohibitive (years of sequential simulation), since system model simulation is computationally intensive and the set of scenarios of interest can be extremely large. In this article, we present a technique that, given a collection of scenarios of interest (extracted from databases or from symbolic structures), computes parallel shortest simulation campaigns, which drive a possibly large number of system model simulators running in parallel in a HPC infrastructure through all (and only) those scenarios in the user-defined (possibly random) order, by wisely avoiding multiple simulations of repeated trajectories, thus minimising completion time. Our experiments on SLV of Modelica/FMU and Simulink models with up to almost 200 million scenarios show that our optimisation yields speedups as high as 8×. This, together with the enabled massive parallelisation, makes practically viable (a few weeks in a HPC infrastructure) verification tasks (both statistical and exhaustive) which would otherwise take inconceivably long time.  © 1976-2012 IEEE.</v>
      </c>
      <c r="H129" s="8" t="str">
        <f>IFERROR(__xludf.DUMMYFUNCTION("""COMPUTED_VALUE"""),"cyber-physical systems; simulation; System-level verification; systems engineering")</f>
        <v>cyber-physical systems; simulation; System-level verification; systems engineering</v>
      </c>
      <c r="I129" s="10" t="b">
        <v>0</v>
      </c>
      <c r="J129" s="10" t="b">
        <v>0</v>
      </c>
      <c r="K129" s="10" t="b">
        <v>0</v>
      </c>
      <c r="L129" s="10" t="b">
        <v>0</v>
      </c>
      <c r="M129" s="10" t="b">
        <v>0</v>
      </c>
      <c r="N129" s="10" t="b">
        <v>0</v>
      </c>
      <c r="O129" s="11" t="b">
        <f t="shared" si="1"/>
        <v>0</v>
      </c>
      <c r="P129" s="16" t="b">
        <v>0</v>
      </c>
      <c r="Q129" s="7"/>
    </row>
    <row r="130">
      <c r="A130" s="5" t="b">
        <v>1</v>
      </c>
      <c r="B130" s="5" t="s">
        <v>159</v>
      </c>
      <c r="C130" s="6" t="str">
        <f>IFERROR(__xludf.DUMMYFUNCTION("""COMPUTED_VALUE"""),"10.1109/TSE.2007.28")</f>
        <v>10.1109/TSE.2007.28</v>
      </c>
      <c r="D130" s="7" t="str">
        <f>IFERROR(__xludf.DUMMYFUNCTION("""COMPUTED_VALUE"""),"Lodi G.; Panzieri F.; Rossi D.; Turrini E.")</f>
        <v>Lodi G.; Panzieri F.; Rossi D.; Turrini E.</v>
      </c>
      <c r="E130" s="7" t="str">
        <f>IFERROR(__xludf.DUMMYFUNCTION("""COMPUTED_VALUE"""),"SLA-driven clustering of QoS-aware application servers")</f>
        <v>SLA-driven clustering of QoS-aware application servers</v>
      </c>
      <c r="F130" s="7" t="str">
        <f>IFERROR(__xludf.DUMMYFUNCTION("""COMPUTED_VALUE"""),"TSE")</f>
        <v>TSE</v>
      </c>
      <c r="G130" s="7" t="str">
        <f>IFERROR(__xludf.DUMMYFUNCTION("""COMPUTED_VALUE"""),"In this paper, we discuss the design, implementation, and experimental evaluation of a middleware architecture for enabling Service Level Agreement (SLA)-driven clustering of QoS-aware application servers. Our middleware architecture supports application "&amp;"server technologies with dynamic resource management: Application servers can dynamically change the amount of clustered resources assigned to hosted applications on-demand so as to meet application-level Quality of Service (QoS) requirements. These requi"&amp;"rements can include timeliness, availability, and high throughput and are specified in SLAs. A prototype of our architecture has been implemented using the open-source J2EE application server JBoss. The evaluation of this prototype shows that our approach"&amp;" makes possible JBoss' resource usage optimization and allows JBoss to effectively meet the QoS requirements of the applications it hosts, i.e., to honor the SLAs of those applications. © 2007 IEEE.")</f>
        <v>In this paper, we discuss the design, implementation, and experimental evaluation of a middleware architecture for enabling Service Level Agreement (SLA)-driven clustering of QoS-aware application servers. Our middleware architecture supports application server technologies with dynamic resource management: Application servers can dynamically change the amount of clustered resources assigned to hosted applications on-demand so as to meet application-level Quality of Service (QoS) requirements. These requirements can include timeliness, availability, and high throughput and are specified in SLAs. A prototype of our architecture has been implemented using the open-source J2EE application server JBoss. The evaluation of this prototype shows that our approach makes possible JBoss' resource usage optimization and allows JBoss to effectively meet the QoS requirements of the applications it hosts, i.e., to honor the SLAs of those applications. © 2007 IEEE.</v>
      </c>
      <c r="H130" s="8" t="str">
        <f>IFERROR(__xludf.DUMMYFUNCTION("""COMPUTED_VALUE"""),"Dynamic cluster configuration; Load balancing; Monitoring; QoS-aware application server; QoS-aware cluster; Quality of Service; Service Level Agreement")</f>
        <v>Dynamic cluster configuration; Load balancing; Monitoring; QoS-aware application server; QoS-aware cluster; Quality of Service; Service Level Agreement</v>
      </c>
      <c r="I130" s="10" t="b">
        <v>0</v>
      </c>
      <c r="J130" s="10" t="b">
        <v>0</v>
      </c>
      <c r="K130" s="10" t="b">
        <v>0</v>
      </c>
      <c r="L130" s="10" t="b">
        <v>0</v>
      </c>
      <c r="M130" s="10" t="b">
        <v>0</v>
      </c>
      <c r="N130" s="10" t="b">
        <v>0</v>
      </c>
      <c r="O130" s="11" t="b">
        <f t="shared" si="1"/>
        <v>0</v>
      </c>
      <c r="P130" s="16" t="b">
        <v>0</v>
      </c>
      <c r="Q130" s="7"/>
    </row>
    <row r="131">
      <c r="A131" s="5" t="b">
        <v>1</v>
      </c>
      <c r="B131" s="5" t="s">
        <v>160</v>
      </c>
      <c r="C131" s="6" t="str">
        <f>IFERROR(__xludf.DUMMYFUNCTION("""COMPUTED_VALUE"""),"10.1109/TSE.2012.44")</f>
        <v>10.1109/TSE.2012.44</v>
      </c>
      <c r="D131" s="7" t="str">
        <f>IFERROR(__xludf.DUMMYFUNCTION("""COMPUTED_VALUE"""),"Ikeda S.; Jibiki M.; Kuno Y.")</f>
        <v>Ikeda S.; Jibiki M.; Kuno Y.</v>
      </c>
      <c r="E131" s="7" t="str">
        <f>IFERROR(__xludf.DUMMYFUNCTION("""COMPUTED_VALUE"""),"Coverage estimation in model checking with bitstate hashing")</f>
        <v>Coverage estimation in model checking with bitstate hashing</v>
      </c>
      <c r="F131" s="7" t="str">
        <f>IFERROR(__xludf.DUMMYFUNCTION("""COMPUTED_VALUE"""),"TSE")</f>
        <v>TSE</v>
      </c>
      <c r="G131" s="7" t="str">
        <f>IFERROR(__xludf.DUMMYFUNCTION("""COMPUTED_VALUE"""),"Explicit-state model checking which is conducted by state space search has difficulty in exploring satisfactory state space because of its memory requirements. Though bitstate hashing achieves memory efficiency, it cannot guarantee complete verification. "&amp;"Thus, it is desirable to provide a reliability indicator such as a coverage estimate. However, the existing approaches for coverage estimation are not very accurate when a verification run covers a small portion of state space. This mainly stems from the "&amp;"lack of information that reflects characteristics of models. Therefore, we propose coverage estimation methods using a growth curve that approximates an increase in reached states by enlarging a bloom filter. Our approaches improve estimation accuracy by "&amp;"leveraging the statistics from multiple verification runs. Coverage is estimated by fitting the growth curve to these statistics. Experimental results confirm the validity of the proposed growth curve and the applicability of our approaches to practical m"&amp;"odels. In fact, for practical models, our approaches outperformed the conventional ones when the actual coverage is relatively low. © 1976-2012 IEEE.")</f>
        <v>Explicit-state model checking which is conducted by state space search has difficulty in exploring satisfactory state space because of its memory requirements. Though bitstate hashing achieves memory efficiency, it cannot guarantee complete verification. Thus, it is desirable to provide a reliability indicator such as a coverage estimate. However, the existing approaches for coverage estimation are not very accurate when a verification run covers a small portion of state space. This mainly stems from the lack of information that reflects characteristics of models. Therefore, we propose coverage estimation methods using a growth curve that approximates an increase in reached states by enlarging a bloom filter. Our approaches improve estimation accuracy by leveraging the statistics from multiple verification runs. Coverage is estimated by fitting the growth curve to these statistics. Experimental results confirm the validity of the proposed growth curve and the applicability of our approaches to practical models. In fact, for practical models, our approaches outperformed the conventional ones when the actual coverage is relatively low. © 1976-2012 IEEE.</v>
      </c>
      <c r="H131" s="8" t="str">
        <f>IFERROR(__xludf.DUMMYFUNCTION("""COMPUTED_VALUE"""),"bitstate hashing; Coverage estimation; model checking")</f>
        <v>bitstate hashing; Coverage estimation; model checking</v>
      </c>
      <c r="I131" s="10" t="b">
        <v>0</v>
      </c>
      <c r="J131" s="10" t="b">
        <v>0</v>
      </c>
      <c r="K131" s="10" t="b">
        <v>0</v>
      </c>
      <c r="L131" s="10" t="b">
        <v>0</v>
      </c>
      <c r="M131" s="10" t="b">
        <v>0</v>
      </c>
      <c r="N131" s="10" t="b">
        <v>0</v>
      </c>
      <c r="O131" s="11" t="b">
        <f t="shared" si="1"/>
        <v>0</v>
      </c>
      <c r="P131" s="16" t="b">
        <v>0</v>
      </c>
      <c r="Q131" s="7"/>
    </row>
    <row r="132">
      <c r="A132" s="5" t="b">
        <v>1</v>
      </c>
      <c r="B132" s="5" t="s">
        <v>161</v>
      </c>
      <c r="C132" s="6" t="str">
        <f>IFERROR(__xludf.DUMMYFUNCTION("""COMPUTED_VALUE"""),"10.1109/TSE.2010.78")</f>
        <v>10.1109/TSE.2010.78</v>
      </c>
      <c r="D132" s="7" t="str">
        <f>IFERROR(__xludf.DUMMYFUNCTION("""COMPUTED_VALUE"""),"Jørgensen M.; Grimstad S.")</f>
        <v>Jørgensen M.; Grimstad S.</v>
      </c>
      <c r="E132" s="7" t="str">
        <f>IFERROR(__xludf.DUMMYFUNCTION("""COMPUTED_VALUE"""),"The impact of irrelevant and misleading information on software development effort estimates: A randomized controlled field experiment")</f>
        <v>The impact of irrelevant and misleading information on software development effort estimates: A randomized controlled field experiment</v>
      </c>
      <c r="F132" s="7" t="str">
        <f>IFERROR(__xludf.DUMMYFUNCTION("""COMPUTED_VALUE"""),"TSE")</f>
        <v>TSE</v>
      </c>
      <c r="G132" s="7" t="str">
        <f>IFERROR(__xludf.DUMMYFUNCTION("""COMPUTED_VALUE"""),"Studies in laboratory settings report that software development effort estimates can be strongly affected by effort-irrelevant and misleading information. To increase our knowledge about the importance of these effects in field settings, we paid 46 outsou"&amp;"rcing companies from various countries to estimate the required effort of the same five software development projects. The companies were allocated randomly to either the original requirement specification or a manipulated version of the original requirem"&amp;"ent specification. The manipulations were as follows: 1) reduced length of requirement specification with no change of content, 2) information about the low effort spent on the development of the old system to be replaced, 3) information about the client'"&amp;"s unrealistic expectations about low cost, and 4) a restriction of a short development period with start up a few months ahead. We found that the effect sizes in the field settings were much smaller than those found for similar manipulations in laboratory"&amp;" settings. Our findings suggest that we should be careful about generalizing to field settings the effect sizes found in laboratory settings. While laboratory settings can be useful to demonstrate the existence of an effect and better understand it, field"&amp;" studies may be needed to study the size and importance of these effects. © 2011 IEEE.")</f>
        <v>Studies in laboratory settings report that software development effort estimates can be strongly affected by effort-irrelevant and misleading information. To increase our knowledge about the importance of these effects in field settings, we paid 46 outsourcing companies from various countries to estimate the required effort of the same five software development projects. The companies were allocated randomly to either the original requirement specification or a manipulated version of the original requirement specification. The manipulations were as follows: 1) reduced length of requirement specification with no change of content, 2) information about the low effort spent on the development of the old system to be replaced, 3) information about the client's unrealistic expectations about low cost, and 4) a restriction of a short development period with start up a few months ahead. We found that the effect sizes in the field settings were much smaller than those found for similar manipulations in laboratory settings. Our findings suggest that we should be careful about generalizing to field settings the effect sizes found in laboratory settings. While laboratory settings can be useful to demonstrate the existence of an effect and better understand it, field studies may be needed to study the size and importance of these effects. © 2011 IEEE.</v>
      </c>
      <c r="H132" s="8" t="str">
        <f>IFERROR(__xludf.DUMMYFUNCTION("""COMPUTED_VALUE"""),"Cost estimation; requirements/specifications.; software psychology")</f>
        <v>Cost estimation; requirements/specifications.; software psychology</v>
      </c>
      <c r="I132" s="9" t="b">
        <v>1</v>
      </c>
      <c r="J132" s="9" t="b">
        <v>1</v>
      </c>
      <c r="K132" s="9" t="b">
        <v>1</v>
      </c>
      <c r="L132" s="10" t="b">
        <v>0</v>
      </c>
      <c r="M132" s="10" t="b">
        <v>0</v>
      </c>
      <c r="N132" s="10" t="b">
        <v>0</v>
      </c>
      <c r="O132" s="11" t="b">
        <f t="shared" si="1"/>
        <v>1</v>
      </c>
      <c r="P132" s="16" t="b">
        <v>0</v>
      </c>
      <c r="Q132" s="7"/>
    </row>
    <row r="133">
      <c r="A133" s="5" t="b">
        <v>1</v>
      </c>
      <c r="B133" s="5" t="s">
        <v>162</v>
      </c>
      <c r="C133" s="6" t="str">
        <f>IFERROR(__xludf.DUMMYFUNCTION("""COMPUTED_VALUE"""),"10.1109/TSE.2012.52")</f>
        <v>10.1109/TSE.2012.52</v>
      </c>
      <c r="D133" s="7" t="str">
        <f>IFERROR(__xludf.DUMMYFUNCTION("""COMPUTED_VALUE"""),"Perini A.; Susi A.; Avesani P.")</f>
        <v>Perini A.; Susi A.; Avesani P.</v>
      </c>
      <c r="E133" s="7" t="str">
        <f>IFERROR(__xludf.DUMMYFUNCTION("""COMPUTED_VALUE"""),"A machine learning approach to software requirements prioritization")</f>
        <v>A machine learning approach to software requirements prioritization</v>
      </c>
      <c r="F133" s="7" t="str">
        <f>IFERROR(__xludf.DUMMYFUNCTION("""COMPUTED_VALUE"""),"TSE")</f>
        <v>TSE</v>
      </c>
      <c r="G133" s="7" t="str">
        <f>IFERROR(__xludf.DUMMYFUNCTION("""COMPUTED_VALUE"""),"Deciding which, among a set of requirements, are to be considered first and in which order is a strategic process in software development. This task is commonly referred to as requirements prioritization. This paper describes a requirements prioritization"&amp;" method called Case-Based Ranking (CBRank), which combines project's stakeholders preferences with requirements ordering approximations computed through machine learning techniques, bringing promising advantages. First, the human effort to input preferenc"&amp;"e information can be reduced, while preserving the accuracy of the final ranking estimates. Second, domain knowledge encoded as partial order relations defined over the requirement attributes can be exploited, thus supporting an adaptive elicitation proce"&amp;"ss. The techniques CBRank rests on and the associated prioritization process are detailed. Empirical evaluations of properties of CBRank are performed on simulated data and compared with a state-of-the-art prioritization method, providing evidence of the "&amp;"method ability to support the management of the tradeoff between elicitation effort and ranking accuracy and to exploit domain knowledge. A case study on a real software project complements these experimental measurements. Finally, a positioning of CBRank"&amp;" with respect to state-of-the-art requirements prioritization methods is proposed, together with a discussion of benefits and limits of the method. © 1976-2012 IEEE.")</f>
        <v>Deciding which, among a set of requirements, are to be considered first and in which order is a strategic process in software development. This task is commonly referred to as requirements prioritization. This paper describes a requirements prioritization method called Case-Based Ranking (CBRank), which combines project's stakeholders preferences with requirements ordering approximations computed through machine learning techniques, bringing promising advantages. First, the human effort to input preference information can be reduced, while preserving the accuracy of the final ranking estimates. Second, domain knowledge encoded as partial order relations defined over the requirement attributes can be exploited, thus supporting an adaptive elicitation process. The techniques CBRank rests on and the associated prioritization process are detailed. Empirical evaluations of properties of CBRank are performed on simulated data and compared with a state-of-the-art prioritization method, providing evidence of the method ability to support the management of the tradeoff between elicitation effort and ranking accuracy and to exploit domain knowledge. A case study on a real software project complements these experimental measurements. Finally, a positioning of CBRank with respect to state-of-the-art requirements prioritization methods is proposed, together with a discussion of benefits and limits of the method. © 1976-2012 IEEE.</v>
      </c>
      <c r="H133" s="8" t="str">
        <f>IFERROR(__xludf.DUMMYFUNCTION("""COMPUTED_VALUE"""),"machine learning; Requirements management; requirements prioritization")</f>
        <v>machine learning; Requirements management; requirements prioritization</v>
      </c>
      <c r="I133" s="10" t="b">
        <v>0</v>
      </c>
      <c r="J133" s="10" t="b">
        <v>0</v>
      </c>
      <c r="K133" s="10" t="b">
        <v>0</v>
      </c>
      <c r="L133" s="10" t="b">
        <v>0</v>
      </c>
      <c r="M133" s="10" t="b">
        <v>0</v>
      </c>
      <c r="N133" s="10" t="b">
        <v>0</v>
      </c>
      <c r="O133" s="11" t="b">
        <f t="shared" si="1"/>
        <v>0</v>
      </c>
      <c r="P133" s="16" t="b">
        <v>0</v>
      </c>
      <c r="Q133" s="7"/>
    </row>
    <row r="134">
      <c r="A134" s="5" t="b">
        <v>1</v>
      </c>
      <c r="B134" s="5" t="s">
        <v>163</v>
      </c>
      <c r="C134" s="6" t="str">
        <f>IFERROR(__xludf.DUMMYFUNCTION("""COMPUTED_VALUE"""),"10.1109/TSE.2022.3223875")</f>
        <v>10.1109/TSE.2022.3223875</v>
      </c>
      <c r="D134" s="7" t="str">
        <f>IFERROR(__xludf.DUMMYFUNCTION("""COMPUTED_VALUE"""),"Zhang G.; Li L.; Su Z.; Shao Z.; Li M.; Li B.; Yao X.")</f>
        <v>Zhang G.; Li L.; Su Z.; Shao Z.; Li M.; Li B.; Yao X.</v>
      </c>
      <c r="E134" s="7" t="str">
        <f>IFERROR(__xludf.DUMMYFUNCTION("""COMPUTED_VALUE"""),"New Reliability-Driven Bounds for Architecture-Based Multi-Objective Testing Resource Allocation")</f>
        <v>New Reliability-Driven Bounds for Architecture-Based Multi-Objective Testing Resource Allocation</v>
      </c>
      <c r="F134" s="7" t="str">
        <f>IFERROR(__xludf.DUMMYFUNCTION("""COMPUTED_VALUE"""),"TSE")</f>
        <v>TSE</v>
      </c>
      <c r="G134" s="7" t="str">
        <f>IFERROR(__xludf.DUMMYFUNCTION("""COMPUTED_VALUE"""),"The multi-objective testing resource allocation problem (MOTRAP) aims at seeking a good trade-off between system reliability, testing cost, and testing time, which is of significant importance to facilitate the testing planning. Yet most studies focus on "&amp;"the time constraint but rarely consider the practical reliability requirement. In this work, we address MOTRAP on an architecture-based model (ABM) with the personalized preference over reliability. More specifically, we first present a reliability-constr"&amp;"ained MOTRAP model on the basis of ABM and illustrate how to use this model for real-world systems. Then, to leverage the problem's knowledge, we develop new lower and upper bounds on testing time invested in different components from both theoretical and"&amp;" algorithmic perspectives on the basis of the Lagrange multiplier and half-interval search. Importantly, these new derived bounds have strong implications due to the fact that they can be easily employed by optimizers as the limits of variables to prune t"&amp;"he search space to the region of interests of the decision maker and locate feasible solutions with the expected reliability. Finally, we evaluate the proposed bounds in popular multi-objective optimizers for MOTRAP on application and empirical cases. Exp"&amp;"erimental results demonstrate that our new bounds practically improve the search performance of optimizers, and decision makers can easily combine these new bounds with off-the-shelf optimizers to find higher-quality solutions that they are interested in,"&amp;" which greatly soothes away stress on optimizer and solution selections of decision makers.  © 1976-2012 IEEE.")</f>
        <v>The multi-objective testing resource allocation problem (MOTRAP) aims at seeking a good trade-off between system reliability, testing cost, and testing time, which is of significant importance to facilitate the testing planning. Yet most studies focus on the time constraint but rarely consider the practical reliability requirement. In this work, we address MOTRAP on an architecture-based model (ABM) with the personalized preference over reliability. More specifically, we first present a reliability-constrained MOTRAP model on the basis of ABM and illustrate how to use this model for real-world systems. Then, to leverage the problem's knowledge, we develop new lower and upper bounds on testing time invested in different components from both theoretical and algorithmic perspectives on the basis of the Lagrange multiplier and half-interval search. Importantly, these new derived bounds have strong implications due to the fact that they can be easily employed by optimizers as the limits of variables to prune the search space to the region of interests of the decision maker and locate feasible solutions with the expected reliability. Finally, we evaluate the proposed bounds in popular multi-objective optimizers for MOTRAP on application and empirical cases. Experimental results demonstrate that our new bounds practically improve the search performance of optimizers, and decision makers can easily combine these new bounds with off-the-shelf optimizers to find higher-quality solutions that they are interested in, which greatly soothes away stress on optimizer and solution selections of decision makers.  © 1976-2012 IEEE.</v>
      </c>
      <c r="H134" s="8" t="str">
        <f>IFERROR(__xludf.DUMMYFUNCTION("""COMPUTED_VALUE"""),"architecture-based model; lower and upper bounds; Multi-objective testing resource allocation; preference over reliability; region of interest")</f>
        <v>architecture-based model; lower and upper bounds; Multi-objective testing resource allocation; preference over reliability; region of interest</v>
      </c>
      <c r="I134" s="10" t="b">
        <v>0</v>
      </c>
      <c r="J134" s="10" t="b">
        <v>0</v>
      </c>
      <c r="K134" s="10" t="b">
        <v>0</v>
      </c>
      <c r="L134" s="10" t="b">
        <v>0</v>
      </c>
      <c r="M134" s="10" t="b">
        <v>0</v>
      </c>
      <c r="N134" s="10" t="b">
        <v>0</v>
      </c>
      <c r="O134" s="11" t="b">
        <f t="shared" si="1"/>
        <v>0</v>
      </c>
      <c r="P134" s="16" t="b">
        <v>0</v>
      </c>
      <c r="Q134" s="7"/>
    </row>
    <row r="135">
      <c r="A135" s="5" t="b">
        <v>1</v>
      </c>
      <c r="B135" s="5" t="s">
        <v>164</v>
      </c>
      <c r="C135" s="6" t="str">
        <f>IFERROR(__xludf.DUMMYFUNCTION("""COMPUTED_VALUE"""),"10.1109/TSE.2012.54")</f>
        <v>10.1109/TSE.2012.54</v>
      </c>
      <c r="D135" s="7" t="str">
        <f>IFERROR(__xludf.DUMMYFUNCTION("""COMPUTED_VALUE"""),"Carnevali L.; Pinzuti A.; Vicario E.")</f>
        <v>Carnevali L.; Pinzuti A.; Vicario E.</v>
      </c>
      <c r="E135" s="7" t="str">
        <f>IFERROR(__xludf.DUMMYFUNCTION("""COMPUTED_VALUE"""),"Compositional verification for hierarchical scheduling of real-time systems")</f>
        <v>Compositional verification for hierarchical scheduling of real-time systems</v>
      </c>
      <c r="F135" s="7" t="str">
        <f>IFERROR(__xludf.DUMMYFUNCTION("""COMPUTED_VALUE"""),"TSE")</f>
        <v>TSE</v>
      </c>
      <c r="G135" s="7" t="str">
        <f>IFERROR(__xludf.DUMMYFUNCTION("""COMPUTED_VALUE"""),"Hierarchical Scheduling (HS) techniques achieve resource partitioning among a set of real-time applications, providing reduction of complexity, confinement of failure modes, and temporal isolation among system applications. This facilitates compositional "&amp;"analysis for architectural verification and plays a crucial role in all industrial areas where high-performance microprocessors allow growing integration of multiple applications on a single platform. We propose a compositional approach to formal specific"&amp;"ation and schedulability analysis of real-time applications running under a Time Division Multiplexing (TDM) global scheduler and preemptive Fixed Priority (FP) local schedulers, according to the ARINC-653 standard. As a characterizing trait, each applica"&amp;"tion is made of periodic, sporadic, and jittering tasks with offsets, jitters, and nondeterministic execution times, encompassing intra-application synchronizations through semaphores and mailboxes and interapplication communications among periodic tasks "&amp;"through message passing. The approach leverages the assumption of a TDM partitioning to enable compositional design and analysis based on the model of preemptive Time Petri Nets (pTPNs), which is expressly extended with a concept of Required Interface (RI"&amp;") that specifies the embedding environment of an application through sequencing and timing constraints. This enables exact verification of intra-application constraints and approximate but safe verification of interapplication constraints. Experimentation"&amp;" illustrates results and validates their applicability on two challenging workloads in the field of safety-critical avionic systems. © 1976-2012 IEEE.")</f>
        <v>Hierarchical Scheduling (HS) techniques achieve resource partitioning among a set of real-time applications, providing reduction of complexity, confinement of failure modes, and temporal isolation among system applications. This facilitates compositional analysis for architectural verification and plays a crucial role in all industrial areas where high-performance microprocessors allow growing integration of multiple applications on a single platform. We propose a compositional approach to formal specification and schedulability analysis of real-time applications running under a Time Division Multiplexing (TDM) global scheduler and preemptive Fixed Priority (FP) local schedulers, according to the ARINC-653 standard. As a characterizing trait, each application is made of periodic, sporadic, and jittering tasks with offsets, jitters, and nondeterministic execution times, encompassing intra-application synchronizations through semaphores and mailboxes and interapplication communications among periodic tasks through message passing. The approach leverages the assumption of a TDM partitioning to enable compositional design and analysis based on the model of preemptive Time Petri Nets (pTPNs), which is expressly extended with a concept of Required Interface (RI) that specifies the embedding environment of an application through sequencing and timing constraints. This enables exact verification of intra-application constraints and approximate but safe verification of interapplication constraints. Experimentation illustrates results and validates their applicability on two challenging workloads in the field of safety-critical avionic systems. © 1976-2012 IEEE.</v>
      </c>
      <c r="H135" s="8" t="str">
        <f>IFERROR(__xludf.DUMMYFUNCTION("""COMPUTED_VALUE"""),"ARINC-653; compositional verification; hierarchical scheduling; preemptive fixed priority; preemptive time Petri nets; Real-time systems; symbolic state-space analysis; time division multiplexing")</f>
        <v>ARINC-653; compositional verification; hierarchical scheduling; preemptive fixed priority; preemptive time Petri nets; Real-time systems; symbolic state-space analysis; time division multiplexing</v>
      </c>
      <c r="I135" s="10" t="b">
        <v>0</v>
      </c>
      <c r="J135" s="10" t="b">
        <v>0</v>
      </c>
      <c r="K135" s="10" t="b">
        <v>0</v>
      </c>
      <c r="L135" s="10" t="b">
        <v>0</v>
      </c>
      <c r="M135" s="10" t="b">
        <v>0</v>
      </c>
      <c r="N135" s="10" t="b">
        <v>0</v>
      </c>
      <c r="O135" s="11" t="b">
        <f t="shared" si="1"/>
        <v>0</v>
      </c>
      <c r="P135" s="16" t="b">
        <v>0</v>
      </c>
      <c r="Q135" s="7"/>
    </row>
    <row r="136">
      <c r="A136" s="5" t="b">
        <v>1</v>
      </c>
      <c r="B136" s="5" t="s">
        <v>165</v>
      </c>
      <c r="C136" s="6" t="str">
        <f>IFERROR(__xludf.DUMMYFUNCTION("""COMPUTED_VALUE"""),"10.1109/TSE.2002.995438")</f>
        <v>10.1109/TSE.2002.995438</v>
      </c>
      <c r="D136" s="7" t="str">
        <f>IFERROR(__xludf.DUMMYFUNCTION("""COMPUTED_VALUE"""),"Milićev D.")</f>
        <v>Milićev D.</v>
      </c>
      <c r="E136" s="7" t="str">
        <f>IFERROR(__xludf.DUMMYFUNCTION("""COMPUTED_VALUE"""),"Automatic model transformations using extended UML object diagrams in modeling environments")</f>
        <v>Automatic model transformations using extended UML object diagrams in modeling environments</v>
      </c>
      <c r="F136" s="7" t="str">
        <f>IFERROR(__xludf.DUMMYFUNCTION("""COMPUTED_VALUE"""),"TSE")</f>
        <v>TSE</v>
      </c>
      <c r="G136" s="7" t="str">
        <f>IFERROR(__xludf.DUMMYFUNCTION("""COMPUTED_VALUE"""),"One of the most important features of modeling tools is generation of output. The output may be documentation, source code, net list, or any other presentation of the system being constructed. The process of output generation may be considered as automati"&amp;"c creation of a target model from a model in the source modeling domain. This translation does not need to be accomplished in a single step. Instead, a tool may generate multiple intermediate models as other views to the system. These models may be used e"&amp;"ither as better descriptions of the system, or as a descent down the abstraction levels of the user-defined model, gradually leading to the desired implementation. If the modeling domains have their metamodels defined in terms of object-oriented concepts,"&amp;" the models consist of instances of the abstractions from the metamodels and links between them. A new technique for specifying the mapping between different modeling domains is proposed in the paper. It uses UML object diagrams that show the instances an"&amp;"d links of the target model that should be created during automatic translations. The diagrams are extended with the proposed concepts of conditional, repetitive, parameterized, and polymorphic model creation, implemented by the standard UML extensibility"&amp;" mechanisms. Several examples from different engineering domains are provided, illustrating the applicability and benefits of the approach. The first experimental results show that the specifications may lead to better reuse and shorter production time wh"&amp;"en developing customized output generators.")</f>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v>
      </c>
      <c r="H136" s="8" t="str">
        <f>IFERROR(__xludf.DUMMYFUNCTION("""COMPUTED_VALUE"""),"Automatic model transformation; Domain-specific modeling; Metamodeling; Model-based output generation; Model-based translation; Modeling tool; Object diagram; Object-oriented modeling; Unified modeling language (UML)")</f>
        <v>Automatic model transformation; Domain-specific modeling; Metamodeling; Model-based output generation; Model-based translation; Modeling tool; Object diagram; Object-oriented modeling; Unified modeling language (UML)</v>
      </c>
      <c r="I136" s="10" t="b">
        <v>0</v>
      </c>
      <c r="J136" s="10" t="b">
        <v>0</v>
      </c>
      <c r="K136" s="10" t="b">
        <v>0</v>
      </c>
      <c r="L136" s="10" t="b">
        <v>0</v>
      </c>
      <c r="M136" s="10" t="b">
        <v>0</v>
      </c>
      <c r="N136" s="10" t="b">
        <v>0</v>
      </c>
      <c r="O136" s="11" t="b">
        <f t="shared" si="1"/>
        <v>0</v>
      </c>
      <c r="P136" s="16" t="b">
        <v>0</v>
      </c>
      <c r="Q136" s="7"/>
    </row>
    <row r="137">
      <c r="A137" s="5" t="b">
        <v>1</v>
      </c>
      <c r="B137" s="5" t="s">
        <v>166</v>
      </c>
      <c r="C137" s="6" t="str">
        <f>IFERROR(__xludf.DUMMYFUNCTION("""COMPUTED_VALUE"""),"10.1109/32.979988")</f>
        <v>10.1109/32.979988</v>
      </c>
      <c r="D137" s="7" t="str">
        <f>IFERROR(__xludf.DUMMYFUNCTION("""COMPUTED_VALUE"""),"Ravindran B.")</f>
        <v>Ravindran B.</v>
      </c>
      <c r="E137" s="7" t="str">
        <f>IFERROR(__xludf.DUMMYFUNCTION("""COMPUTED_VALUE"""),"Engineering dynamic real-time distributed systems: Architecture, system description language, and middleware")</f>
        <v>Engineering dynamic real-time distributed systems: Architecture, system description language, and middleware</v>
      </c>
      <c r="F137" s="7" t="str">
        <f>IFERROR(__xludf.DUMMYFUNCTION("""COMPUTED_VALUE"""),"TSE")</f>
        <v>TSE</v>
      </c>
      <c r="G137" s="7" t="str">
        <f>IFERROR(__xludf.DUMMYFUNCTION("""COMPUTED_VALUE"""),"This paper presents an architectural framework and algorithms for engineering dynamic real-time distributed systems using commercial off-the-shelf technologies. In the proposed architecture, a real-time system application is developed in a general-purpose"&amp;" programming language. Further, the architectural-level description of the system such as composition and interconnections of application software and hardware, and the operational requirements of the system such as timeliness and survivability are specif"&amp;"ied in a system description language. The specification of the system is automatically translated into an intermediate representation (IR) that models the system in a platform-independent manner. The IR is augmented with dynamic measurements of the system"&amp;" by a language runtime system to produce a dynamic system model. The dynamic model is used by resource management middleware strategies to perform resource management that achieves the timeliness and survivability requirements. The middleware techniques a"&amp;"chieve the timeliness and survivability requirements through runtime monitoring and failure detection, diagnosis, and dynamic resource allocation. We present two classes of algorithms-predictive and availability-based-for performing resource allocation. T"&amp;"o validate the viability of the approach, we use a real-time benchmark application that functionally approximates dynamic real-time command and control systems. The benchmark is specified in the system description language and the effectiveness of the arc"&amp;"hitecture in achieving its design goals is examined through a set of experiments. The experimental characterizations illustrate that the middleware is able to achieve the desired timeliness requirements during a number of load situations. Furthermore, the"&amp;" results indicate that availability-based allocation algorithms perform resource allocation less frequently, whereas the predictive algorithms give a better steady state performance for the application.")</f>
        <v>This paper presents an architectural framework and algorithms for engineering dynamic real-time distributed systems using commercial off-the-shelf technologies. In the proposed architecture, a real-time system application is developed in a general-purpose programming language. Further, the architectural-level description of the system such as composition and interconnections of application software and hardware, and the operational requirements of the system such as timeliness and survivability are specified in a system description language. The specification of the system is automatically translated into an intermediate representation (IR) that models the system in a platform-independent manner. The IR is augmented with dynamic measurements of the system by a language runtime system to produce a dynamic system model. The dynamic model is used by resource management middleware strategies to perform resource management that achieves the timeliness and survivability requirements. The middleware techniques achieve the timeliness and survivability requirements through runtime monitoring and failure detection, diagnosis, and dynamic resource allocation. We present two classes of algorithms-predictive and availability-based-for performing resource allocation. To validate the viability of the approach, we use a real-time benchmark application that functionally approximates dynamic real-time command and control systems. The benchmark is specified in the system description language and the effectiveness of the architecture in achieving its design goals is examined through a set of experiments. The experimental characterizations illustrate that the middleware is able to achieve the desired timeliness requirements during a number of load situations. Furthermore, the results indicate that availability-based allocation algorithms perform resource allocation less frequently, whereas the predictive algorithms give a better steady state performance for the application.</v>
      </c>
      <c r="H137" s="8" t="str">
        <f>IFERROR(__xludf.DUMMYFUNCTION("""COMPUTED_VALUE"""),"Command and control; Middleware; Process control systems; Quality of service; Real-time resource management; Real-time systems; Scalability; Survivability; System software; Timeliness")</f>
        <v>Command and control; Middleware; Process control systems; Quality of service; Real-time resource management; Real-time systems; Scalability; Survivability; System software; Timeliness</v>
      </c>
      <c r="I137" s="10" t="b">
        <v>0</v>
      </c>
      <c r="J137" s="10" t="b">
        <v>0</v>
      </c>
      <c r="K137" s="10" t="b">
        <v>0</v>
      </c>
      <c r="L137" s="10" t="b">
        <v>0</v>
      </c>
      <c r="M137" s="10" t="b">
        <v>0</v>
      </c>
      <c r="N137" s="10" t="b">
        <v>0</v>
      </c>
      <c r="O137" s="11" t="b">
        <f t="shared" si="1"/>
        <v>0</v>
      </c>
      <c r="P137" s="16" t="b">
        <v>0</v>
      </c>
      <c r="Q137" s="7"/>
    </row>
    <row r="138">
      <c r="A138" s="5" t="b">
        <v>1</v>
      </c>
      <c r="B138" s="5" t="s">
        <v>167</v>
      </c>
      <c r="C138" s="6" t="str">
        <f>IFERROR(__xludf.DUMMYFUNCTION("""COMPUTED_VALUE"""),"10.1109/TSE.2004.22")</f>
        <v>10.1109/TSE.2004.22</v>
      </c>
      <c r="D138" s="7" t="str">
        <f>IFERROR(__xludf.DUMMYFUNCTION("""COMPUTED_VALUE"""),"Chaki S.; Clarke E.M.; Groce A.; Jha S.; Veith H.")</f>
        <v>Chaki S.; Clarke E.M.; Groce A.; Jha S.; Veith H.</v>
      </c>
      <c r="E138" s="7" t="str">
        <f>IFERROR(__xludf.DUMMYFUNCTION("""COMPUTED_VALUE"""),"Modular verification of software components in C")</f>
        <v>Modular verification of software components in C</v>
      </c>
      <c r="F138" s="7" t="str">
        <f>IFERROR(__xludf.DUMMYFUNCTION("""COMPUTED_VALUE"""),"TSE")</f>
        <v>TSE</v>
      </c>
      <c r="G138" s="7" t="str">
        <f>IFERROR(__xludf.DUMMYFUNCTION("""COMPUTED_VALUE"""),"We present a new methodology for automatic verification of C programs against finite state machine specifications. Our approach is compositional, naturally enabling us to decompose the verification of large software systems into subproblems of manageable "&amp;"complexity. The decomposition reflects the modularity in the software design. We use weak simulation as the notion of conformance between the program and its specification. Following the CounterExample Guided Abstraction Refinement (CEGAR) paradigm, our t"&amp;"ool MAGIC first extracts a finite model from C source code using predicate abstraction and theorem proving. Subsequently, weak simulation is checked via a reduction to Boolean satisfiability. MAGIC has been interfaced with several publicly available theor"&amp;"em provers and SAT solvers. We report experimental results with procedures from the Linux kernel, the OpenSSL toolkit, and several industrial strength benchmarks.")</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CounterExample Guided Abstraction Refinement (CEGAR) paradigm, our tool MAGIC first extracts a finite model from C source code using predicate abstraction and theorem proving. Subsequently, weak simulation is checked via a reduction to Boolean satisfiability. MAGIC has been interfaced with several publicly available theorem provers and SAT solvers. We report experimental results with procedures from the Linux kernel, the OpenSSL toolkit, and several industrial strength benchmarks.</v>
      </c>
      <c r="H138" s="8" t="str">
        <f>IFERROR(__xludf.DUMMYFUNCTION("""COMPUTED_VALUE"""),"Formal methods; Software engineering; Verification")</f>
        <v>Formal methods; Software engineering; Verification</v>
      </c>
      <c r="I138" s="10" t="b">
        <v>0</v>
      </c>
      <c r="J138" s="10" t="b">
        <v>0</v>
      </c>
      <c r="K138" s="10" t="b">
        <v>0</v>
      </c>
      <c r="L138" s="10" t="b">
        <v>0</v>
      </c>
      <c r="M138" s="10" t="b">
        <v>0</v>
      </c>
      <c r="N138" s="10" t="b">
        <v>0</v>
      </c>
      <c r="O138" s="11" t="b">
        <f t="shared" si="1"/>
        <v>0</v>
      </c>
      <c r="P138" s="16" t="b">
        <v>0</v>
      </c>
      <c r="Q138" s="7"/>
    </row>
    <row r="139">
      <c r="A139" s="5" t="b">
        <v>1</v>
      </c>
      <c r="B139" s="5" t="s">
        <v>168</v>
      </c>
      <c r="C139" s="6" t="str">
        <f>IFERROR(__xludf.DUMMYFUNCTION("""COMPUTED_VALUE"""),"10.1109/TSE.2019.2911076")</f>
        <v>10.1109/TSE.2019.2911076</v>
      </c>
      <c r="D139" s="7" t="str">
        <f>IFERROR(__xludf.DUMMYFUNCTION("""COMPUTED_VALUE"""),"El-Fakih K.; Hierons R.M.; Turker U.C.")</f>
        <v>El-Fakih K.; Hierons R.M.; Turker U.C.</v>
      </c>
      <c r="E139" s="7" t="str">
        <f>IFERROR(__xludf.DUMMYFUNCTION("""COMPUTED_VALUE"""),"K-Branching UIO Sequences for Partially Specified Observable Non-Deterministic FSMs")</f>
        <v>K-Branching UIO Sequences for Partially Specified Observable Non-Deterministic FSMs</v>
      </c>
      <c r="F139" s="7" t="str">
        <f>IFERROR(__xludf.DUMMYFUNCTION("""COMPUTED_VALUE"""),"TSE")</f>
        <v>TSE</v>
      </c>
      <c r="G139" s="7" t="str">
        <f>IFERROR(__xludf.DUMMYFUNCTION("""COMPUTED_VALUE"""),"In black-box testing, test sequences may be constructed from systems modelled as deterministic finite-state machines (DFSMs) or, more generally, observable non-deterministic finite state machines (ONFSMs). Test sequences usually contain state identificati"&amp;"on sequences, with unique input output sequences (UIOs) often being used with DFSMs. This paper extends the notion of UIOs to ONFSMs. One challenge is that, as a result of non-determinism, the application of an input sequence can lead to exponentially man"&amp;"y expected output sequences. To address this scalability problem, we introduce K K-UIOs: UIOs that lead to at most K K output sequences from states of M M. We show that checking K K-UIO existence is PSPACE-Complete if the problem is suitably bounded; othe"&amp;"rwise it is in EXPSPACE and PSPACE-Hard. We provide a massively parallel algorithm for constructing K K-UIOs and the results of experiments on randomly generated and real FSM specifications. The proposed algorithm was able to construct UIOs in cases where"&amp;" the existing UIO generation algorithm could not and was able to construct UIOs from FSMs with 38K states and 400K transitions.  © 1976-2012 IEEE.")</f>
        <v>In black-box testing, test sequences may be constructed from systems modelled as deterministic finite-state machines (DFSMs) or, more generally, observable non-deterministic finite state machines (ONFSMs). Test sequences usually contain state identification sequences, with unique input output sequences (UIOs) often being used with DFSMs. This paper extends the notion of UIOs to ONFSMs. One challenge is that, as a result of non-determinism, the application of an input sequence can lead to exponentially many expected output sequences. To address this scalability problem, we introduce K K-UIOs: UIOs that lead to at most K K output sequences from states of M M. We show that checking K K-UIO existence is PSPACE-Complete if the problem is suitably bounded; otherwise it is in EXPSPACE and PSPACE-Hard. We provide a massively parallel algorithm for constructing K K-UIOs and the results of experiments on randomly generated and real FSM specifications. The proposed algorithm was able to construct UIOs in cases where the existing UIO generation algorithm could not and was able to construct UIOs from FSMs with 38K states and 400K transitions.  © 1976-2012 IEEE.</v>
      </c>
      <c r="H139" s="8" t="str">
        <f>IFERROR(__xludf.DUMMYFUNCTION("""COMPUTED_VALUE"""),"finite state machine; general purpose graphics processing units; Software engineering/software/program verification; software engineering/test design; software engineering/testing and debugging; unique input output sequence generation")</f>
        <v>finite state machine; general purpose graphics processing units; Software engineering/software/program verification; software engineering/test design; software engineering/testing and debugging; unique input output sequence generation</v>
      </c>
      <c r="I139" s="10" t="b">
        <v>0</v>
      </c>
      <c r="J139" s="10" t="b">
        <v>0</v>
      </c>
      <c r="K139" s="10" t="b">
        <v>0</v>
      </c>
      <c r="L139" s="10" t="b">
        <v>0</v>
      </c>
      <c r="M139" s="10" t="b">
        <v>0</v>
      </c>
      <c r="N139" s="10" t="b">
        <v>0</v>
      </c>
      <c r="O139" s="11" t="b">
        <f t="shared" si="1"/>
        <v>0</v>
      </c>
      <c r="P139" s="16" t="b">
        <v>0</v>
      </c>
      <c r="Q139" s="7"/>
    </row>
    <row r="140">
      <c r="A140" s="5" t="b">
        <v>1</v>
      </c>
      <c r="B140" s="5" t="s">
        <v>169</v>
      </c>
      <c r="C140" s="6" t="str">
        <f>IFERROR(__xludf.DUMMYFUNCTION("""COMPUTED_VALUE"""),"10.1109/32.842952")</f>
        <v>10.1109/32.842952</v>
      </c>
      <c r="D140" s="7" t="str">
        <f>IFERROR(__xludf.DUMMYFUNCTION("""COMPUTED_VALUE"""),"Gorlatch S.")</f>
        <v>Gorlatch S.</v>
      </c>
      <c r="E140" s="7" t="str">
        <f>IFERROR(__xludf.DUMMYFUNCTION("""COMPUTED_VALUE"""),"Toward formally-based design of message passing programs")</f>
        <v>Toward formally-based design of message passing programs</v>
      </c>
      <c r="F140" s="7" t="str">
        <f>IFERROR(__xludf.DUMMYFUNCTION("""COMPUTED_VALUE"""),"TSE")</f>
        <v>TSE</v>
      </c>
      <c r="G140" s="7" t="str">
        <f>IFERROR(__xludf.DUMMYFUNCTION("""COMPUTED_VALUE"""),"We present a systematic approach to the development of message passing programs. Our programming model is SPMD, with communications restricted to collective operations: scan, reduction, gather, etc. The design process in such an architectureindependent la"&amp;"nguage is based on correctness-preserving transformation rules, provable in a formal functional framework. We develop a set of design rules for composition and decomposition. For example, scan followed by reduction is replaced by a single reduction, and g"&amp;"lobal reduction is decomposed into two faster operations. The impact of the design rules on the target performance is estimated analytically and tested in machine experiments. As a case study, we design two provably correct, efficient programs using the M"&amp;"essage Passing Interface (MPI) for the famous maximum segment sum problem, starting from an intuitive, but inefficient, algorithm specification. © 2000 IEEE.")</f>
        <v>We present a systematic approach to the development of message passing programs. Our programming model is SPMD, with communications restricted to collective operations: scan, reduction, gather, etc. The design process in such an architectureindependent language is based on correctness-preserving transformation rules, provable in a formal functional framework. We develop a set of design rules for composition and decomposition. For example, scan followed by reduction is replaced by a single reduction, and global reduction is decomposed into two faster operations. The impact of the design rules on the target performance is estimated analytically and tested in machine experiments. As a case study, we design two provably correct, efficient programs using the Message Passing Interface (MPI) for the famous maximum segment sum problem, starting from an intuitive, but inefficient, algorithm specification. © 2000 IEEE.</v>
      </c>
      <c r="H140" s="8" t="str">
        <f>IFERROR(__xludf.DUMMYFUNCTION("""COMPUTED_VALUE"""),"Message passing, mpi, collective operations, program transformations, systematic program design, reduction, scan, homomorphisms, skeletons, maximum segment sum")</f>
        <v>Message passing, mpi, collective operations, program transformations, systematic program design, reduction, scan, homomorphisms, skeletons, maximum segment sum</v>
      </c>
      <c r="I140" s="10" t="b">
        <v>0</v>
      </c>
      <c r="J140" s="10" t="b">
        <v>0</v>
      </c>
      <c r="K140" s="10" t="b">
        <v>0</v>
      </c>
      <c r="L140" s="10" t="b">
        <v>0</v>
      </c>
      <c r="M140" s="10" t="b">
        <v>0</v>
      </c>
      <c r="N140" s="10" t="b">
        <v>0</v>
      </c>
      <c r="O140" s="11" t="b">
        <f t="shared" si="1"/>
        <v>0</v>
      </c>
      <c r="P140" s="16" t="b">
        <v>0</v>
      </c>
      <c r="Q140" s="7"/>
    </row>
    <row r="141">
      <c r="A141" s="5" t="b">
        <v>1</v>
      </c>
      <c r="B141" s="5" t="s">
        <v>170</v>
      </c>
      <c r="C141" s="6" t="str">
        <f>IFERROR(__xludf.DUMMYFUNCTION("""COMPUTED_VALUE"""),"10.1109/TSE.2020.2999884")</f>
        <v>10.1109/TSE.2020.2999884</v>
      </c>
      <c r="D141" s="7" t="str">
        <f>IFERROR(__xludf.DUMMYFUNCTION("""COMPUTED_VALUE"""),"Liu S.; Nakajima S.")</f>
        <v>Liu S.; Nakajima S.</v>
      </c>
      <c r="E141" s="7" t="str">
        <f>IFERROR(__xludf.DUMMYFUNCTION("""COMPUTED_VALUE"""),"Automatic Test Case and Test Oracle Generation Based on Functional Scenarios in Formal Specifications for Conformance Testing")</f>
        <v>Automatic Test Case and Test Oracle Generation Based on Functional Scenarios in Formal Specifications for Conformance Testing</v>
      </c>
      <c r="F141" s="7" t="str">
        <f>IFERROR(__xludf.DUMMYFUNCTION("""COMPUTED_VALUE"""),"TSE")</f>
        <v>TSE</v>
      </c>
      <c r="G141" s="7" t="str">
        <f>IFERROR(__xludf.DUMMYFUNCTION("""COMPUTED_VALUE"""),"Testing a program to confirm whether it consistently implements its requirements specification is a necessary but time-consuming activity in software development. Automatic testing based on specifications can significantly alleviate the workload and cost,"&amp;" but faces a challenge of how to ensure that both the user's concerns in the specification and possible execution paths in the program are all covered. In this paper, we describe a new method, called 'Vibration-Method' or simply 'V-Method', for automatic "&amp;"generation of test cases and test oracle from model-based formal specifications, aiming to address this challenge. The proposed method is suitable for testing information systems in which rich data types are used. Supporting the principle of 'divide and c"&amp;"onquer', the method provides a specific technique for generating test cases based on functional scenarios defined in the specification, test case generation criteria, automatic test case generation algorithms, and a well-defined mechanism for deriving tes"&amp;"t oracle. We elaborate on the method by discussing how initial test cases can be automatically generated, how additional necessary test cases are produced using the 'vibration' technique, and how a test oracle can be automatically derived for a group of t"&amp;"est cases. We also describe a controlled experiment to evaluate the effectiveness of the method and discuss the important issues in relation to the performance and applicability of the method. © 1976-2012 IEEE.")</f>
        <v>Testing a program to confirm whether it consistently implements its requirements specification is a necessary but time-consuming activity in software development. Automatic testing based on specifications can significantly alleviate the workload and cost, but faces a challenge of how to ensure that both the user's concerns in the specification and possible execution paths in the program are all covered. In this paper, we describe a new method, called 'Vibration-Method' or simply 'V-Method', for automatic generation of test cases and test oracle from model-based formal specifications, aiming to address this challenge. The proposed method is suitable for testing information systems in which rich data types are used. Supporting the principle of 'divide and conquer', the method provides a specific technique for generating test cases based on functional scenarios defined in the specification, test case generation criteria, automatic test case generation algorithms, and a well-defined mechanism for deriving test oracle. We elaborate on the method by discussing how initial test cases can be automatically generated, how additional necessary test cases are produced using the 'vibration' technique, and how a test oracle can be automatically derived for a group of test cases. We also describe a controlled experiment to evaluate the effectiveness of the method and discuss the important issues in relation to the performance and applicability of the method. © 1976-2012 IEEE.</v>
      </c>
      <c r="H141" s="8" t="str">
        <f>IFERROR(__xludf.DUMMYFUNCTION("""COMPUTED_VALUE"""),"Automatic testing; Black-box testing; Functional testing; Model-based testing; Specification-based testing")</f>
        <v>Automatic testing; Black-box testing; Functional testing; Model-based testing; Specification-based testing</v>
      </c>
      <c r="I141" s="9" t="b">
        <v>1</v>
      </c>
      <c r="J141" s="9" t="b">
        <v>1</v>
      </c>
      <c r="K141" s="9" t="b">
        <v>1</v>
      </c>
      <c r="L141" s="10" t="b">
        <v>0</v>
      </c>
      <c r="M141" s="10" t="b">
        <v>0</v>
      </c>
      <c r="N141" s="10" t="b">
        <v>0</v>
      </c>
      <c r="O141" s="11" t="b">
        <f t="shared" si="1"/>
        <v>1</v>
      </c>
      <c r="P141" s="16" t="b">
        <v>0</v>
      </c>
      <c r="Q141" s="13" t="s">
        <v>171</v>
      </c>
    </row>
    <row r="142">
      <c r="A142" s="5" t="b">
        <v>1</v>
      </c>
      <c r="B142" s="5" t="s">
        <v>172</v>
      </c>
      <c r="C142" s="6" t="str">
        <f>IFERROR(__xludf.DUMMYFUNCTION("""COMPUTED_VALUE"""),"10.1109/TSE.2010.5")</f>
        <v>10.1109/TSE.2010.5</v>
      </c>
      <c r="D142" s="7" t="str">
        <f>IFERROR(__xludf.DUMMYFUNCTION("""COMPUTED_VALUE"""),"Garousi V.")</f>
        <v>Garousi V.</v>
      </c>
      <c r="E142" s="7" t="str">
        <f>IFERROR(__xludf.DUMMYFUNCTION("""COMPUTED_VALUE"""),"A genetic algorithm-based stress test requirements generator tool and its empirical evaluation")</f>
        <v>A genetic algorithm-based stress test requirements generator tool and its empirical evaluation</v>
      </c>
      <c r="F142" s="7" t="str">
        <f>IFERROR(__xludf.DUMMYFUNCTION("""COMPUTED_VALUE"""),"TSE")</f>
        <v>TSE</v>
      </c>
      <c r="G142" s="7" t="str">
        <f>IFERROR(__xludf.DUMMYFUNCTION("""COMPUTED_VALUE"""),"Genetic algorithms (GAs) have been applied previously to UML-driven stress test requirements generation with the aim of increasing chances of discovering faults relating to network traffic in distributed real-time systems. However, since evolutionary algo"&amp;"rithms are heuristic, their performance can vary across multiple executions, which may affect robustness and scalability. To address this, we present the design and technical detail of a UML-driven, GA-based stress test requirements generation tool, toget"&amp;"her with its empirical analysis. The main goal is to analyze and improve the applicability, efficiency, and effectiveness and also to validate the design choices of the GA used in the tool. Findings of the empirical evaluation reveal that the tool is robu"&amp;"st and reasonably scalable when it is executed on large-scale experimental design models. The study also reveals the main bottlenecks and limitations of the tools, e.g., there is a performance bottleneck when the system under test has a large number of se"&amp;"quence diagrams which could be triggered independently from each other. In addition, issues specific to stress testing, e.g., the impact of variations in task arrival pattern types, reveal that the tool generally generates effective test requirements, alt"&amp;"hough the features of those test requirements might be different in different runs (e.g., different stress times from the test start time might be chosen). While the use of evolutionary algorithms to generate software test cases has been widely reported, "&amp;"the extent, depth, and detail of the empirical findings presented in this paper are novel and suggest that the proposed approach is effective and efficient in generating stress test requirements. It is hoped that the findings of this empirical study will "&amp;"help other SBSE researchers with the empirical evaluation of their own techniques and tools. © 2010 IEEE.")</f>
        <v>Genetic algorithms (GAs) have been applied previously to UML-driven stress test requirements generation with the aim of increasing chances of discovering faults relating to network traffic in distributed real-time systems. However, since evolutionary algorithms are heuristic, their performance can vary across multiple executions, which may affect robustness and scalability. To address this, we present the design and technical detail of a UML-driven, GA-based stress test requirements generation tool, together with its empirical analysis. The main goal is to analyze and improve the applicability, efficiency, and effectiveness and also to validate the design choices of the GA used in the tool. Findings of the empirical evaluation reveal that the tool is robust and reasonably scalable when it is executed on large-scale experimental design models. The study also reveals the main bottlenecks and limitations of the tools, e.g., there is a performance bottleneck when the system under test has a large number of sequence diagrams which could be triggered independently from each other. In addition, issues specific to stress testing, e.g., the impact of variations in task arrival pattern types, reveal that the tool generally generates effective test requirements, although the features of those test requirements might be different in different runs (e.g., different stress times from the test start time might be chosen). While the use of evolutionary algorithms to generate software test cases has been widely reported, the extent, depth, and detail of the empirical findings presented in this paper are novel and suggest that the proposed approach is effective and efficient in generating stress test requirements. It is hoped that the findings of this empirical study will help other SBSE researchers with the empirical evaluation of their own techniques and tools. © 2010 IEEE.</v>
      </c>
      <c r="H142" s="8" t="str">
        <f>IFERROR(__xludf.DUMMYFUNCTION("""COMPUTED_VALUE"""),"empirical analysis; genetic algorithms; Index TermSearch-based testing; stress testing; test automation; test tools")</f>
        <v>empirical analysis; genetic algorithms; Index TermSearch-based testing; stress testing; test automation; test tools</v>
      </c>
      <c r="I142" s="10" t="b">
        <v>0</v>
      </c>
      <c r="J142" s="10" t="b">
        <v>0</v>
      </c>
      <c r="K142" s="10" t="b">
        <v>0</v>
      </c>
      <c r="L142" s="10" t="b">
        <v>0</v>
      </c>
      <c r="M142" s="10" t="b">
        <v>0</v>
      </c>
      <c r="N142" s="10" t="b">
        <v>0</v>
      </c>
      <c r="O142" s="11" t="b">
        <f t="shared" si="1"/>
        <v>0</v>
      </c>
      <c r="P142" s="16" t="b">
        <v>0</v>
      </c>
      <c r="Q142" s="7"/>
    </row>
    <row r="143">
      <c r="A143" s="5" t="b">
        <v>1</v>
      </c>
      <c r="B143" s="5" t="s">
        <v>173</v>
      </c>
      <c r="C143" s="6" t="str">
        <f>IFERROR(__xludf.DUMMYFUNCTION("""COMPUTED_VALUE"""),"10.1109/TSE.2022.3148258")</f>
        <v>10.1109/TSE.2022.3148258</v>
      </c>
      <c r="D143" s="7" t="str">
        <f>IFERROR(__xludf.DUMMYFUNCTION("""COMPUTED_VALUE"""),"Wang Y.; Wang Y.; Wang S.; Liu Y.; Xu C.; Cheung S.-C.; Yu H.; Zhu Z.")</f>
        <v>Wang Y.; Wang Y.; Wang S.; Liu Y.; Xu C.; Cheung S.-C.; Yu H.; Zhu Z.</v>
      </c>
      <c r="E143" s="7" t="str">
        <f>IFERROR(__xludf.DUMMYFUNCTION("""COMPUTED_VALUE"""),"Runtime Permission Issues in Android Apps: Taxonomy, Practices, and Ways Forward")</f>
        <v>Runtime Permission Issues in Android Apps: Taxonomy, Practices, and Ways Forward</v>
      </c>
      <c r="F143" s="7" t="str">
        <f>IFERROR(__xludf.DUMMYFUNCTION("""COMPUTED_VALUE"""),"TSE")</f>
        <v>TSE</v>
      </c>
      <c r="G143" s="7" t="str">
        <f>IFERROR(__xludf.DUMMYFUNCTION("""COMPUTED_VALUE"""),"Android introduces a new permission model that allows apps to request permissions at runtime rather than at the installation time since 6.0 (Marshmallow, API level 23). While this runtime permission model provides users with greater flexibility in control"&amp;"ling an app's access to sensitive data and system features, it brings new challenges to app development. First, as users may grant or revoke permissions at any time while they are using an app, developers need to ensure that the app properly checks and re"&amp;"quests required permissions before invoking any permission-protected APIs. Second, Android's permission mechanism keeps evolving and getting customized by device manufacturers. Developers are expected to comprehensively test their apps on different Androi"&amp;"d versions and device models to make sure permissions are properly requested in all situations. Unfortunately, these requirements are often impractical for developers. In practice, many Android apps suffer from various runtime permission issues (ARP issue"&amp;"s). While existing studies have explored ARP issues, the understanding of such issues is still preliminary. To better characterize ARP issues, we performed an empirical study using 135 Stack Overflow posts that discuss ARP issues and 199 real ARP issues a"&amp;"rchived in popular open-source Android projects on GitHub. Via analyzing the data, we observed 11 types of ARP issues that commonly occur in Android apps. For each type of issues, we systematically studied: (1) how they can be manifested, (2) how pervasiv"&amp;"e and serious they are in real-world apps, and (3) how they can be fixed. We also analyzed the evolution trend of different types of issues from 2015 to 2020 to understand their impact on the Android ecosystem. Furthermore, we conducted a field survey and"&amp;" in-depth interviews among the practitioners from open-source community and industry, to gain insights from practitioners' practices and learn their requirements of tools that can help combat ARP issues. Finally, to understand the strengths and weaknesses"&amp;" of the existing tools that can detect ARP issues, we built ARPBench, an open benchmark consisting of 94 real ARP issues, and evaluated the performance of three available tools. The experimental results indicate that the existing tools have very limited s"&amp;"upports for detecting our observed issue types and report a large number of false alarms. We further analyzed the tools' limitations and summarized the challenges of designing an effective ARP issue detection technique. We hope that our findings can shed "&amp;"light on future research and provide useful guidance to practitioners.  © 2022 IEEE.")</f>
        <v>Android introduces a new permission model that allows apps to request permissions at runtime rather than at the installation time since 6.0 (Marshmallow, API level 23). While this runtime permission model provides users with greater flexibility in controlling an app's access to sensitive data and system features, it brings new challenges to app development. First, as users may grant or revoke permissions at any time while they are using an app, developers need to ensure that the app properly checks and requests required permissions before invoking any permission-protected APIs. Second, Android's permission mechanism keeps evolving and getting customized by device manufacturers. Developers are expected to comprehensively test their apps on different Android versions and device models to make sure permissions are properly requested in all situations. Unfortunately, these requirements are often impractical for developers. In practice, many Android apps suffer from various runtime permission issues (ARP issues). While existing studies have explored ARP issues, the understanding of such issues is still preliminary. To better characterize ARP issues, we performed an empirical study using 135 Stack Overflow posts that discuss ARP issues and 199 real ARP issues archived in popular open-source Android projects on GitHub. Via analyzing the data, we observed 11 types of ARP issues that commonly occur in Android apps. For each type of issues, we systematically studied: (1) how they can be manifested, (2) how pervasive and serious they are in real-world apps, and (3) how they can be fixed. We also analyzed the evolution trend of different types of issues from 2015 to 2020 to understand their impact on the Android ecosystem. Furthermore, we conducted a field survey and in-depth interviews among the practitioners from open-source community and industry, to gain insights from practitioners' practices and learn their requirements of tools that can help combat ARP issues. Finally, to understand the strengths and weaknesses of the existing tools that can detect ARP issues, we built ARPBench, an open benchmark consisting of 94 real ARP issues, and evaluated the performance of three available tools. The experimental results indicate that the existing tools have very limited supports for detecting our observed issue types and report a large number of false alarms. We further analyzed the tools' limitations and summarized the challenges of designing an effective ARP issue detection technique. We hope that our findings can shed light on future research and provide useful guidance to practitioners.  © 2022 IEEE.</v>
      </c>
      <c r="H143" s="8" t="str">
        <f>IFERROR(__xludf.DUMMYFUNCTION("""COMPUTED_VALUE"""),"Android apps; empirical study; Runtime permission")</f>
        <v>Android apps; empirical study; Runtime permission</v>
      </c>
      <c r="I143" s="10" t="b">
        <v>0</v>
      </c>
      <c r="J143" s="10" t="b">
        <v>0</v>
      </c>
      <c r="K143" s="10" t="b">
        <v>0</v>
      </c>
      <c r="L143" s="10" t="b">
        <v>0</v>
      </c>
      <c r="M143" s="10" t="b">
        <v>0</v>
      </c>
      <c r="N143" s="10" t="b">
        <v>0</v>
      </c>
      <c r="O143" s="11" t="b">
        <f t="shared" si="1"/>
        <v>0</v>
      </c>
      <c r="P143" s="16" t="b">
        <v>0</v>
      </c>
      <c r="Q143" s="7"/>
    </row>
    <row r="144">
      <c r="A144" s="5" t="b">
        <v>1</v>
      </c>
      <c r="B144" s="5" t="s">
        <v>174</v>
      </c>
      <c r="C144" s="6" t="str">
        <f>IFERROR(__xludf.DUMMYFUNCTION("""COMPUTED_VALUE"""),"10.1109/TSE.2015.2454513")</f>
        <v>10.1109/TSE.2015.2454513</v>
      </c>
      <c r="D144" s="7" t="str">
        <f>IFERROR(__xludf.DUMMYFUNCTION("""COMPUTED_VALUE"""),"Le Goues C.; Holtschulte N.; Smith E.K.; Brun Y.; Devanbu P.; Forrest S.; Weimer W.")</f>
        <v>Le Goues C.; Holtschulte N.; Smith E.K.; Brun Y.; Devanbu P.; Forrest S.; Weimer W.</v>
      </c>
      <c r="E144" s="7" t="str">
        <f>IFERROR(__xludf.DUMMYFUNCTION("""COMPUTED_VALUE"""),"The ManyBugs and IntroClass Benchmarks for Automated Repair of C Programs")</f>
        <v>The ManyBugs and IntroClass Benchmarks for Automated Repair of C Programs</v>
      </c>
      <c r="F144" s="7" t="str">
        <f>IFERROR(__xludf.DUMMYFUNCTION("""COMPUTED_VALUE"""),"TSE")</f>
        <v>TSE</v>
      </c>
      <c r="G144" s="7" t="str">
        <f>IFERROR(__xludf.DUMMYFUNCTION("""COMPUTED_VALUE"""),"The field of automated software repair lacks a set of common benchmark problems. Although benchmark sets are used widely throughout computer science, existing benchmarks are not easily adapted to the problem of automatic defect repair, which has several s"&amp;"pecial requirements. Most important of these is the need for benchmark programs with reproducible, important defects and a deterministic method for assessing if those defects have been repaired. This article details the need for a new set of benchmarks, o"&amp;"utlines requirements, and then presents two datasets, ManyBugs and IntroClass, consisting between them of 1,183 defects in 15 C programs. Each dataset is designed to support the comparative evaluation of automatic repair algorithms asking a variety of exp"&amp;"erimental questions. The datasets have empirically defined guarantees of reproducibility and benchmark quality, and each study object is categorized to facilitate qualitative evaluation and comparisons by category of bug or program. The article presents b"&amp;"aseline experimental results on both datasets for three existing repair methods, GenProg, AE, and TrpAutoRepair, to reduce the burden on researchers who adopt these datasets for their own comparative evaluations. © 2015 IEEE.")</f>
        <v>The field of automated software repair lacks a set of common benchmark problems. Although benchmark sets are used widely throughout computer science, existing benchmarks are not easily adapted to the problem of automatic defect repair, which has several special requirements. Most important of these is the need for benchmark programs with reproducible, important defects and a deterministic method for assessing if those defects have been repaired. This article details the need for a new set of benchmarks, outlines requirements, and then presents two datasets, ManyBugs and IntroClass, consisting between them of 1,183 defects in 15 C programs. Each dataset is designed to support the comparative evaluation of automatic repair algorithms asking a variety of experimental questions. The datasets have empirically defined guarantees of reproducibility and benchmark quality, and each study object is categorized to facilitate qualitative evaluation and comparisons by category of bug or program. The article presents baseline experimental results on both datasets for three existing repair methods, GenProg, AE, and TrpAutoRepair, to reduce the burden on researchers who adopt these datasets for their own comparative evaluations. © 2015 IEEE.</v>
      </c>
      <c r="H144" s="8" t="str">
        <f>IFERROR(__xludf.DUMMYFUNCTION("""COMPUTED_VALUE"""),"Automated program repair; benchmark; INTROCLASS; MANYBUGS; reproducibility; subject defect")</f>
        <v>Automated program repair; benchmark; INTROCLASS; MANYBUGS; reproducibility; subject defect</v>
      </c>
      <c r="I144" s="10" t="b">
        <v>0</v>
      </c>
      <c r="J144" s="10" t="b">
        <v>0</v>
      </c>
      <c r="K144" s="10" t="b">
        <v>0</v>
      </c>
      <c r="L144" s="10" t="b">
        <v>0</v>
      </c>
      <c r="M144" s="10" t="b">
        <v>0</v>
      </c>
      <c r="N144" s="10" t="b">
        <v>0</v>
      </c>
      <c r="O144" s="11" t="b">
        <f t="shared" si="1"/>
        <v>0</v>
      </c>
      <c r="P144" s="16" t="b">
        <v>0</v>
      </c>
      <c r="Q144" s="7"/>
    </row>
    <row r="145">
      <c r="A145" s="5" t="b">
        <v>1</v>
      </c>
      <c r="B145" s="5" t="s">
        <v>175</v>
      </c>
      <c r="C145" s="6" t="str">
        <f>IFERROR(__xludf.DUMMYFUNCTION("""COMPUTED_VALUE"""),"10.1109/TSE.2007.18")</f>
        <v>10.1109/TSE.2007.18</v>
      </c>
      <c r="D145" s="7" t="str">
        <f>IFERROR(__xludf.DUMMYFUNCTION("""COMPUTED_VALUE"""),"Jeffrey D.; Gupta N.")</f>
        <v>Jeffrey D.; Gupta N.</v>
      </c>
      <c r="E145" s="7" t="str">
        <f>IFERROR(__xludf.DUMMYFUNCTION("""COMPUTED_VALUE"""),"Improving fault detection capability by selectively retaining test cases during test suite reduction")</f>
        <v>Improving fault detection capability by selectively retaining test cases during test suite reduction</v>
      </c>
      <c r="F145" s="7" t="str">
        <f>IFERROR(__xludf.DUMMYFUNCTION("""COMPUTED_VALUE"""),"TSE")</f>
        <v>TSE</v>
      </c>
      <c r="G145" s="7" t="str">
        <f>IFERROR(__xludf.DUMMYFUNCTION("""COMPUTED_VALUE"""),"Software testing is a critical part of software development. As new test cases are generated over time due to software modifications, test suite sizes may grow significantly. Because of time and resource constraints for testing, test suite minimization te"&amp;"chniques are needed to remove those test cases from a suite that, due to code modifications over time, have become redundant with respect to the coverage of testing requirements for which they were generated. Prior work has shown that test suite minimizat"&amp;"ion with respect to a given testing criterion can significantly diminish the fault detection effectiveness (FDE) of suites. We present a new approach for test suite reduction that attempts to use additional coverage information of test cases to selectivel"&amp;"y keep some additional test cases in the reduced suites that are redundant with respect to the testing criteria used for suite minimization, with the goal of improving the FDE retention of the reduced suites. We implemented our approach by modifying an ex"&amp;"isting heuristic for test suite minimization. Our experiments show that our approach can significantly improve the FDE of reduced test suites without severely affecting the extent of suite size reduction. © 2007 IEEE.")</f>
        <v>Software testing is a critical part of software development. As new test cases are generated over time due to software modifications, test suite sizes may grow significantly. Because of time and resource constraints for testing, test suite minimization techniques are needed to remove those test cases from a suite that, due to code modifications over time, have become redundant with respect to the coverage of testing requirements for which they were generated. Prior work has shown that test suite minimization with respect to a given testing criterion can significantly diminish the fault detection effectiveness (FDE) of suites. We present a new approach for test suite reduction that attempts to use additional coverage information of test cases to selectively keep some additional test cases in the reduced suites that are redundant with respect to the testing criteria used for suite minimization, with the goal of improving the FDE retention of the reduced suites. We implemented our approach by modifying an existing heuristic for test suite minimization. Our experiments show that our approach can significantly improve the FDE of reduced test suites without severely affecting the extent of suite size reduction. © 2007 IEEE.</v>
      </c>
      <c r="H145" s="8" t="str">
        <f>IFERROR(__xludf.DUMMYFUNCTION("""COMPUTED_VALUE"""),"Fault detection effectiveness; Software testing; Test suite minimization; Test suite reduction; Testing criteria")</f>
        <v>Fault detection effectiveness; Software testing; Test suite minimization; Test suite reduction; Testing criteria</v>
      </c>
      <c r="I145" s="10" t="b">
        <v>0</v>
      </c>
      <c r="J145" s="10" t="b">
        <v>0</v>
      </c>
      <c r="K145" s="10" t="b">
        <v>0</v>
      </c>
      <c r="L145" s="10" t="b">
        <v>0</v>
      </c>
      <c r="M145" s="10" t="b">
        <v>0</v>
      </c>
      <c r="N145" s="10" t="b">
        <v>0</v>
      </c>
      <c r="O145" s="11" t="b">
        <f t="shared" si="1"/>
        <v>0</v>
      </c>
      <c r="P145" s="16" t="b">
        <v>0</v>
      </c>
      <c r="Q145" s="7"/>
    </row>
    <row r="146">
      <c r="A146" s="5" t="b">
        <v>1</v>
      </c>
      <c r="B146" s="5" t="s">
        <v>176</v>
      </c>
      <c r="C146" s="6" t="str">
        <f>IFERROR(__xludf.DUMMYFUNCTION("""COMPUTED_VALUE"""),"10.1109/32.601071")</f>
        <v>10.1109/32.601071</v>
      </c>
      <c r="D146" s="7" t="str">
        <f>IFERROR(__xludf.DUMMYFUNCTION("""COMPUTED_VALUE"""),"Porter A.A.; Siy H.P.; Toman C.A.; Votta L.G.")</f>
        <v>Porter A.A.; Siy H.P.; Toman C.A.; Votta L.G.</v>
      </c>
      <c r="E146" s="7" t="str">
        <f>IFERROR(__xludf.DUMMYFUNCTION("""COMPUTED_VALUE"""),"An experiment to assess the cost-benefits of code inspections in large scale software development")</f>
        <v>An experiment to assess the cost-benefits of code inspections in large scale software development</v>
      </c>
      <c r="F146" s="7" t="str">
        <f>IFERROR(__xludf.DUMMYFUNCTION("""COMPUTED_VALUE"""),"TSE")</f>
        <v>TSE</v>
      </c>
      <c r="G146" s="7" t="str">
        <f>IFERROR(__xludf.DUMMYFUNCTION("""COMPUTED_VALUE"""),"We conducted a long-term experiment to compare the costs and benefits of several different software inspection methods. These methods were applied by professional developers to a commercial software product they were creating. Because the laboratory for t"&amp;"his experiment was a live development effort, we took special care to minimize cost and risk to the project, while maximizing our ability to gather useful data. This article has several goals: 1) to describe the experiment's design and show how we used si"&amp;"mulation techniques to optimize it, 2) to present our results and discuss their implications for both software practitioners and researchers, and 3) to discuss several new questions raised by our findings. For each inspection, we randomly assigned three i"&amp;"ndependent variables: 1) the number of reviewers on each inspection team (1, 2, or 4), 2) the number of teams inspecting the code unit (1 or 2), and 3) the requirement that defects be repaired between the first and second team's inspections. The reviewers"&amp;" for each inspection were randomly selected without replacement from a pool of 11 experienced software developers. The dependent variables for each inspection included inspection interval (elapsed time), total effort, and the defect detection rate. Our re"&amp;"sults showed that these treatments did not significantly influence the defect detection effectiveness, but that certain combinations of changes dramatically increased the inspection interval. © 1997 IEEE.")</f>
        <v>We conducted a long-term experiment to compare the costs and benefits of several different software inspection methods. These methods were applied by professional developers to a commercial software product they were creating. Because the laboratory for this experiment was a live development effort, we took special care to minimize cost and risk to the project, while maximizing our ability to gather useful data. This article has several goals: 1) to describe the experiment's design and show how we used simulation techniques to optimize it, 2) to present our results and discuss their implications for both software practitioners and researchers, and 3) to discuss several new questions raised by our findings. For each inspection, we randomly assigned three independent variables: 1) the number of reviewers on each inspection team (1, 2, or 4), 2) the number of teams inspecting the code unit (1 or 2), and 3) the requirement that defects be repaired between the first and second team's inspections. The reviewers for each inspection were randomly selected without replacement from a pool of 11 experienced software developers. The dependent variables for each inspection included inspection interval (elapsed time), total effort, and the defect detection rate. Our results showed that these treatments did not significantly influence the defect detection effectiveness, but that certain combinations of changes dramatically increased the inspection interval. © 1997 IEEE.</v>
      </c>
      <c r="H146" s="8" t="str">
        <f>IFERROR(__xludf.DUMMYFUNCTION("""COMPUTED_VALUE"""),"ANOVA; Controlled experiments; Industrial experimentation; Power analysis; Software inspection")</f>
        <v>ANOVA; Controlled experiments; Industrial experimentation; Power analysis; Software inspection</v>
      </c>
      <c r="I146" s="9" t="b">
        <v>1</v>
      </c>
      <c r="J146" s="10" t="b">
        <v>0</v>
      </c>
      <c r="K146" s="9" t="b">
        <v>1</v>
      </c>
      <c r="L146" s="10" t="b">
        <v>0</v>
      </c>
      <c r="M146" s="10" t="b">
        <v>0</v>
      </c>
      <c r="N146" s="10" t="b">
        <v>0</v>
      </c>
      <c r="O146" s="11" t="b">
        <f t="shared" si="1"/>
        <v>0</v>
      </c>
      <c r="P146" s="16" t="b">
        <v>0</v>
      </c>
      <c r="Q146" s="7"/>
    </row>
    <row r="147">
      <c r="A147" s="5" t="b">
        <v>1</v>
      </c>
      <c r="B147" s="5" t="s">
        <v>177</v>
      </c>
      <c r="C147" s="6" t="str">
        <f>IFERROR(__xludf.DUMMYFUNCTION("""COMPUTED_VALUE"""),"10.1109/TSE.2022.3178096")</f>
        <v>10.1109/TSE.2022.3178096</v>
      </c>
      <c r="D147" s="7" t="str">
        <f>IFERROR(__xludf.DUMMYFUNCTION("""COMPUTED_VALUE"""),"Yu L.; Wang H.; Luo X.; Zhang T.; Liu K.; Chen J.; Zhou H.; Tang Y.; Xiao X.")</f>
        <v>Yu L.; Wang H.; Luo X.; Zhang T.; Liu K.; Chen J.; Zhou H.; Tang Y.; Xiao X.</v>
      </c>
      <c r="E147" s="7" t="str">
        <f>IFERROR(__xludf.DUMMYFUNCTION("""COMPUTED_VALUE"""),"Towards Automatically Localizing Function Errors in Mobile Apps With User Reviews")</f>
        <v>Towards Automatically Localizing Function Errors in Mobile Apps With User Reviews</v>
      </c>
      <c r="F147" s="7" t="str">
        <f>IFERROR(__xludf.DUMMYFUNCTION("""COMPUTED_VALUE"""),"TSE")</f>
        <v>TSE</v>
      </c>
      <c r="G147" s="7" t="str">
        <f>IFERROR(__xludf.DUMMYFUNCTION("""COMPUTED_VALUE"""),"Removing all function errors is critical for making successful mobile apps. Since app testing may miss some function errors given limited time and resource, the user reviews of mobile apps are very important to developers for learning the uncaught errors."&amp;" Unfortunately, manually handling each review is time-consuming and even error-prone. Existing studies on mobile apps' reviews could not help developers effectively locate the problematic code according to the reviews, because the majority of such researc"&amp;"h focus on review classification, requirements engineering, sentiment analysis, and summarization [1]. They do not localize the function errors described in user reviews in apps' code. Moreover, recent studies on mapping reviews to problematic source file"&amp;"s look for the matching between the words in reviews and that in source code, bug reports, commit messages, and stack traces, thus may result in false positives and false negatives since they do not consider the semantic meaning and part of speech tag of "&amp;"each word. In this paper, we propose a novel approach to localize function errors in mobile apps by exploiting the context information in user reviews and correlating the reviews and bytecode through their semantic meanings. We realize our new approach as"&amp;" a tool named ReviewSolver, and carefully evaluate it with reviews of real apps. The experimental result shows that ReviewSolver has much better performance than the state-of-the-art tools (i.e., ChangeAdvisor and Where2Change).  © 1976-2012 IEEE.")</f>
        <v>Removing all function errors is critical for making successful mobile apps. Since app testing may miss some function errors given limited time and resource, the user reviews of mobile apps are very important to developers for learning the uncaught errors. Unfortunately, manually handling each review is time-consuming and even error-prone. Existing studies on mobile apps' reviews could not help developers effectively locate the problematic code according to the reviews, because the majority of such research focus on review classification, requirements engineering, sentiment analysis, and summarization [1]. They do not localize the function errors described in user reviews in apps' code. Moreover, recent studies on mapping reviews to problematic source files look for the matching between the words in reviews and that in source code, bug reports, commit messages, and stack traces, thus may result in false positives and false negatives since they do not consider the semantic meaning and part of speech tag of each word. In this paper, we propose a novel approach to localize function errors in mobile apps by exploiting the context information in user reviews and correlating the reviews and bytecode through their semantic meanings. We realize our new approach as a tool named ReviewSolver, and carefully evaluate it with reviews of real apps. The experimental result shows that ReviewSolver has much better performance than the state-of-the-art tools (i.e., ChangeAdvisor and Where2Change).  © 1976-2012 IEEE.</v>
      </c>
      <c r="H147" s="8" t="str">
        <f>IFERROR(__xludf.DUMMYFUNCTION("""COMPUTED_VALUE"""),"Function error localization; mobile apps; user reviews")</f>
        <v>Function error localization; mobile apps; user reviews</v>
      </c>
      <c r="I147" s="10" t="b">
        <v>0</v>
      </c>
      <c r="J147" s="9" t="b">
        <v>1</v>
      </c>
      <c r="K147" s="9" t="b">
        <v>1</v>
      </c>
      <c r="L147" s="10" t="b">
        <v>0</v>
      </c>
      <c r="M147" s="10" t="b">
        <v>0</v>
      </c>
      <c r="N147" s="10" t="b">
        <v>0</v>
      </c>
      <c r="O147" s="11" t="b">
        <f t="shared" si="1"/>
        <v>0</v>
      </c>
      <c r="P147" s="16" t="b">
        <v>0</v>
      </c>
      <c r="Q147" s="13" t="s">
        <v>178</v>
      </c>
    </row>
    <row r="148">
      <c r="A148" s="5" t="b">
        <v>1</v>
      </c>
      <c r="B148" s="5" t="s">
        <v>179</v>
      </c>
      <c r="C148" s="6" t="str">
        <f>IFERROR(__xludf.DUMMYFUNCTION("""COMPUTED_VALUE"""),"10.1109/TSE.2022.3179294")</f>
        <v>10.1109/TSE.2022.3179294</v>
      </c>
      <c r="D148" s="7" t="str">
        <f>IFERROR(__xludf.DUMMYFUNCTION("""COMPUTED_VALUE"""),"Alhanahnah M.; Stevens C.; Chen B.; Yan Q.; Bagheri H.")</f>
        <v>Alhanahnah M.; Stevens C.; Chen B.; Yan Q.; Bagheri H.</v>
      </c>
      <c r="E148" s="7" t="str">
        <f>IFERROR(__xludf.DUMMYFUNCTION("""COMPUTED_VALUE"""),"IoTCom: Dissecting Interaction Threats in IoT Systems")</f>
        <v>IoTCom: Dissecting Interaction Threats in IoT Systems</v>
      </c>
      <c r="F148" s="7" t="str">
        <f>IFERROR(__xludf.DUMMYFUNCTION("""COMPUTED_VALUE"""),"TSE")</f>
        <v>TSE</v>
      </c>
      <c r="G148" s="7" t="str">
        <f>IFERROR(__xludf.DUMMYFUNCTION("""COMPUTED_VALUE"""),"Due to the growing presence of Internet of Things (IoT) apps and devices in smart homes and smart cities, there are more and more concerns about their security and privacy risks. IoT apps normally interact with each other and the physical world to offer u"&amp;"tility to the users. In this paper, we investigate the safety and security risks brought by the interactive behaviors of IoT apps. Two major challenges ensue in identifying the interaction threats: i) how to discover the threats across both cyber and phys"&amp;"ical channels; and ii) how to ensure the scalability of the detection approach. To address these challenges, we first provide a taxonomy of interaction threats between IoT apps, which contains seven classes of coordination threats categorized based on the"&amp;"ir interaction behaviors. Then, we present IoTCom, a compositional threat detection system capable of automatically detecting and verifying unsafe interactions between IoT apps and devices. IoTCom applies static analysis to automatically infer relevant ap"&amp;"ps' behaviors, and uses a novel strategy to trim the extracted app's behaviors prior to translating them into analyzable formal specifications, mitigating the state explosion associated with formal analysis. Our experiments with numerous bundles of real-w"&amp;"orld IoT apps have corroborated IoTCom's ability to effectively identify a broad spectrum of interaction threats triggered through cyber and physical channels, many of which were previously unknown. Finally, IoTCom uses an automatic verifier to validate t"&amp;"he discovered threats. Our experimental results show that IoTCom significantly outperforms the existing techniques in terms of the computational time, and maintains the capability to perform its analysis across different IoT platforms.  © 1976-2012 IEEE.")</f>
        <v>Due to the growing presence of Internet of Things (IoT) apps and devices in smart homes and smart cities, there are more and more concerns about their security and privacy risks. IoT apps normally interact with each other and the physical world to offer utility to the users. In this paper, we investigate the safety and security risks brought by the interactive behaviors of IoT apps. Two major challenges ensue in identifying the interaction threats: i) how to discover the threats across both cyber and physical channels; and ii) how to ensure the scalability of the detection approach. To address these challenges, we first provide a taxonomy of interaction threats between IoT apps, which contains seven classes of coordination threats categorized based on their interaction behaviors. Then, we present IoTCom, a compositional threat detection system capable of automatically detecting and verifying unsafe interactions between IoT apps and devices. IoTCom applies static analysis to automatically infer relevant apps' behaviors, and uses a novel strategy to trim the extracted app's behaviors prior to translating them into analyzable formal specifications, mitigating the state explosion associated with formal analysis. Our experiments with numerous bundles of real-world IoT apps have corroborated IoTCom's ability to effectively identify a broad spectrum of interaction threats triggered through cyber and physical channels, many of which were previously unknown. Finally, IoTCom uses an automatic verifier to validate the discovered threats. Our experimental results show that IoTCom significantly outperforms the existing techniques in terms of the computational time, and maintains the capability to perform its analysis across different IoT platforms.  © 1976-2012 IEEE.</v>
      </c>
      <c r="H148" s="8" t="str">
        <f>IFERROR(__xludf.DUMMYFUNCTION("""COMPUTED_VALUE"""),"formal verification; Interaction threats; IoT safety")</f>
        <v>formal verification; Interaction threats; IoT safety</v>
      </c>
      <c r="I148" s="10" t="b">
        <v>0</v>
      </c>
      <c r="J148" s="10" t="b">
        <v>0</v>
      </c>
      <c r="K148" s="10" t="b">
        <v>0</v>
      </c>
      <c r="L148" s="10" t="b">
        <v>0</v>
      </c>
      <c r="M148" s="10" t="b">
        <v>0</v>
      </c>
      <c r="N148" s="10" t="b">
        <v>0</v>
      </c>
      <c r="O148" s="11" t="b">
        <f t="shared" si="1"/>
        <v>0</v>
      </c>
      <c r="P148" s="16" t="b">
        <v>0</v>
      </c>
      <c r="Q148" s="7"/>
    </row>
    <row r="149">
      <c r="A149" s="5" t="b">
        <v>1</v>
      </c>
      <c r="B149" s="5" t="s">
        <v>180</v>
      </c>
      <c r="C149" s="6" t="str">
        <f>IFERROR(__xludf.DUMMYFUNCTION("""COMPUTED_VALUE"""),"10.1109/TSE.2010.22")</f>
        <v>10.1109/TSE.2010.22</v>
      </c>
      <c r="D149" s="7" t="str">
        <f>IFERROR(__xludf.DUMMYFUNCTION("""COMPUTED_VALUE"""),"Prechelt L.")</f>
        <v>Prechelt L.</v>
      </c>
      <c r="E149" s="7" t="str">
        <f>IFERROR(__xludf.DUMMYFUNCTION("""COMPUTED_VALUE"""),"Plat-Forms: A Web development platform comparison by an exploratory experiment searching for emergent platform properties")</f>
        <v>Plat-Forms: A Web development platform comparison by an exploratory experiment searching for emergent platform properties</v>
      </c>
      <c r="F149" s="7" t="str">
        <f>IFERROR(__xludf.DUMMYFUNCTION("""COMPUTED_VALUE"""),"TSE")</f>
        <v>TSE</v>
      </c>
      <c r="G149" s="7" t="str">
        <f>IFERROR(__xludf.DUMMYFUNCTION("""COMPUTED_VALUE"""),"Background: For developing Web-based applications, there exist several competing and widely used technological platforms (consisting of a programming language, framework(s), components, and tools), each with an accompanying development culture and style. "&amp;"Research question: Do Web development projects exhibit emergent process or product properties that are characteristic and consistent within a platform, but show relevant substantial differences across platforms or do team-to-team individual differences ou"&amp;"tweigh such differences, if any? Such a property could be positive (i.e., a platform advantage), negative, or neutral, and it might be unobvious which is which. Method: In a nonrandomized, controlled experiment, framed as a public contest called ""Plat-Fo"&amp;"rms"", top-class teams of three professional programmers competed to implement the same requirements for a Web-based application within 30 hours. Three different platforms (Java EE, PHP, or Perl) were used by three teams each. We compare the resulting nin"&amp;"e products and process records along many dimensions, both external (usability, functionality, reliability, security, etc.) and internal (size, structure, modifiability, etc.). Results: The various results obtained cover a wide spectrum: First, there are "&amp;"results that many people would have called ""obvious"" or ""well known"", say, that Perl solutions tend to be more compact than Java solutions. Second, there are results that contradict conventional wisdom, say, that our PHP solutions appear in some (but "&amp;"not all) respects to be actually at least as secure as the others. Finally, one result makes a statement we have not seen discussed previously: Along several dimensions, the amount of within-platform variation between the teams tends to be smaller for PHP"&amp;" than for the other platforms. Conclusion: The results suggest that substantial characteristic platform differences do indeed exist in some dimensions, but possibly not in others. © 2011 IEEE.")</f>
        <v>Background: For developing Web-based applications, there exist several competing and widely used technological platforms (consisting of a programming language, framework(s), components, and tools), each with an accompanying development culture and style. Research question: Do Web development projects exhibit emergent process or product properties that are characteristic and consistent within a platform, but show relevant substantial differences across platforms or do team-to-team individual differences outweigh such differences, if any? Such a property could be positive (i.e., a platform advantage), negative, or neutral, and it might be unobvious which is which. Method: In a nonrandomized, controlled experiment, framed as a public contest called "Plat-Forms", top-class teams of three professional programmers competed to implement the same requirements for a Web-based application within 30 hours. Three different platforms (Java EE, PHP, or Perl) were used by three teams each. We compare the resulting nine products and process records along many dimensions, both external (usability, functionality, reliability, security, etc.) and internal (size, structure, modifiability, etc.). Results: The various results obtained cover a wide spectrum: First, there are results that many people would have called "obvious" or "well known", say, that Perl solutions tend to be more compact than Java solutions. Second, there are results that contradict conventional wisdom, say, that our PHP solutions appear in some (but not all) respects to be actually at least as secure as the others. Finally, one result makes a statement we have not seen discussed previously: Along several dimensions, the amount of within-platform variation between the teams tends to be smaller for PHP than for the other platforms. Conclusion: The results suggest that substantial characteristic platform differences do indeed exist in some dimensions, but possibly not in others. © 2011 IEEE.</v>
      </c>
      <c r="H149" s="8" t="str">
        <f>IFERROR(__xludf.DUMMYFUNCTION("""COMPUTED_VALUE"""),"design structure; Emergent properties; functionality; Java; modifiability; Perl; PHP; product size; reliability; security; usability")</f>
        <v>design structure; Emergent properties; functionality; Java; modifiability; Perl; PHP; product size; reliability; security; usability</v>
      </c>
      <c r="I149" s="9" t="b">
        <v>1</v>
      </c>
      <c r="J149" s="9" t="b">
        <v>1</v>
      </c>
      <c r="K149" s="9" t="b">
        <v>1</v>
      </c>
      <c r="L149" s="10" t="b">
        <v>0</v>
      </c>
      <c r="M149" s="10" t="b">
        <v>0</v>
      </c>
      <c r="N149" s="10" t="b">
        <v>0</v>
      </c>
      <c r="O149" s="11" t="b">
        <f t="shared" si="1"/>
        <v>1</v>
      </c>
      <c r="P149" s="16" t="b">
        <v>0</v>
      </c>
      <c r="Q149" s="7"/>
    </row>
    <row r="150">
      <c r="A150" s="5" t="b">
        <v>1</v>
      </c>
      <c r="B150" s="5" t="s">
        <v>181</v>
      </c>
      <c r="C150" s="6" t="str">
        <f>IFERROR(__xludf.DUMMYFUNCTION("""COMPUTED_VALUE"""),"10.1109/TSE.2015.2494588")</f>
        <v>10.1109/TSE.2015.2494588</v>
      </c>
      <c r="D150" s="7" t="str">
        <f>IFERROR(__xludf.DUMMYFUNCTION("""COMPUTED_VALUE"""),"Aranda A.M.; Dieste O.; Juristo N.")</f>
        <v>Aranda A.M.; Dieste O.; Juristo N.</v>
      </c>
      <c r="E150" s="7" t="str">
        <f>IFERROR(__xludf.DUMMYFUNCTION("""COMPUTED_VALUE"""),"Effect of Domain Knowledge on Elicitation Effectiveness: An Internally Replicated Controlled Experiment")</f>
        <v>Effect of Domain Knowledge on Elicitation Effectiveness: An Internally Replicated Controlled Experiment</v>
      </c>
      <c r="F150" s="7" t="str">
        <f>IFERROR(__xludf.DUMMYFUNCTION("""COMPUTED_VALUE"""),"TSE")</f>
        <v>TSE</v>
      </c>
      <c r="G150" s="7" t="str">
        <f>IFERROR(__xludf.DUMMYFUNCTION("""COMPUTED_VALUE"""),"Context. Requirements elicitation is a highly communicative activity in which human interactions play a critical role. A number of analyst characteristics or skills may influence elicitation process effectiveness. Aim. Study the influence of analyst probl"&amp;"em domain knowledge on elicitation effectiveness. Method. We executed a controlled experiment with post-graduate students. The experimental task was to elicit requirements using open interview and consolidate the elicited information immediately afterward"&amp;"s. We used four different problem domains about which students had different levels of knowledge. Two tasks were used in the experiment, whereas the other two were used in an internal replication of the experiment; that is, we repeated the experiment with"&amp;" the same subjects but with different domains. Results. Analyst problem domain knowledge has a small but statistically significant effect on the effectiveness of the requirements elicitation activity. The interviewee has a big positive and significant inf"&amp;"luence, as does general training in requirements activities and interview experience. Conclusion. During early contacts with the customer, a key factor is the interviewee; however, training in tasks related to requirements elicitation and knowledge of the"&amp;" problem domain helps requirements analysts to be more effective. © 2015 IEEE.")</f>
        <v>Context. Requirements elicitation is a highly communicative activity in which human interactions play a critical role. A number of analyst characteristics or skills may influence elicitation process effectiveness. Aim. Study the influence of analyst problem domain knowledge on elicitation effectiveness. Method. We executed a controlled experiment with post-graduate students. The experimental task was to elicit requirements using open interview and consolidate the elicited information immediately afterwards. We used four different problem domains about which students had different levels of knowledge. Two tasks were used in the experiment, whereas the other two were used in an internal replication of the experiment; that is, we repeated the experiment with the same subjects but with different domains. Results. Analyst problem domain knowledge has a small but statistically significant effect on the effectiveness of the requirements elicitation activity. The interviewee has a big positive and significant influence, as does general training in requirements activities and interview experience. Conclusion. During early contacts with the customer, a key factor is the interviewee; however, training in tasks related to requirements elicitation and knowledge of the problem domain helps requirements analysts to be more effective. © 2015 IEEE.</v>
      </c>
      <c r="H150" s="8" t="str">
        <f>IFERROR(__xludf.DUMMYFUNCTION("""COMPUTED_VALUE"""),"Controlled experiment; domain knowledge; internal replication; requirements elicitation")</f>
        <v>Controlled experiment; domain knowledge; internal replication; requirements elicitation</v>
      </c>
      <c r="I150" s="9" t="b">
        <v>1</v>
      </c>
      <c r="J150" s="9" t="b">
        <v>0</v>
      </c>
      <c r="K150" s="10" t="b">
        <v>0</v>
      </c>
      <c r="L150" s="10" t="b">
        <v>0</v>
      </c>
      <c r="M150" s="10" t="b">
        <v>0</v>
      </c>
      <c r="N150" s="10" t="b">
        <v>0</v>
      </c>
      <c r="O150" s="11" t="b">
        <f t="shared" si="1"/>
        <v>0</v>
      </c>
      <c r="P150" s="16" t="b">
        <v>0</v>
      </c>
      <c r="Q150" s="7"/>
    </row>
    <row r="151">
      <c r="A151" s="5" t="b">
        <v>1</v>
      </c>
      <c r="B151" s="5" t="s">
        <v>182</v>
      </c>
      <c r="C151" s="6" t="str">
        <f>IFERROR(__xludf.DUMMYFUNCTION("""COMPUTED_VALUE"""),"10.1109/32.748916")</f>
        <v>10.1109/32.748916</v>
      </c>
      <c r="D151" s="7" t="str">
        <f>IFERROR(__xludf.DUMMYFUNCTION("""COMPUTED_VALUE"""),"Buttazzo G.C.; Caccamo M.")</f>
        <v>Buttazzo G.C.; Caccamo M.</v>
      </c>
      <c r="E151" s="7" t="str">
        <f>IFERROR(__xludf.DUMMYFUNCTION("""COMPUTED_VALUE"""),"Minimizing aperiodic response times in a firm real-time environment")</f>
        <v>Minimizing aperiodic response times in a firm real-time environment</v>
      </c>
      <c r="F151" s="7" t="str">
        <f>IFERROR(__xludf.DUMMYFUNCTION("""COMPUTED_VALUE"""),"TSE")</f>
        <v>TSE</v>
      </c>
      <c r="G151" s="7" t="str">
        <f>IFERROR(__xludf.DUMMYFUNCTION("""COMPUTED_VALUE"""),"In certain real-time applications, ranging from multimedia to telecommunication systems, timing constraints can be more flexible than scheduling theory usually permits. In this paper, we deal with the problem of scheduling hybrid sets of tasks, consisting"&amp;" of firm periodic tasks (i.e., tasks with deadlines which can occasionally skip one instance) and soft aperiodic requests, which have to be served as soon as possible to achieve good responsiveness. We propose and analyze an algorithm, based on a variant "&amp;"of Earliest Deadline First scheduling, which exploits skips to minimize the response time of aperiodic requests. One of the most interesting features of our algorithm is that it can easily be tuned to balance performance vs. complexity, for adapting it to"&amp;" different application requirements. Extensive simulation experiments show the effectiveness of the proposed approach with respect to existing methods. Schedulability bounds are also derived to perform off-line analysis. © 1999 IEEE.")</f>
        <v>In certain real-time applications, ranging from multimedia to telecommunication systems, timing constraints can be more flexible than scheduling theory usually permits. In this paper, we deal with the problem of scheduling hybrid sets of tasks, consisting of firm periodic tasks (i.e., tasks with deadlines which can occasionally skip one instance) and soft aperiodic requests, which have to be served as soon as possible to achieve good responsiveness. We propose and analyze an algorithm, based on a variant of Earliest Deadline First scheduling, which exploits skips to minimize the response time of aperiodic requests. One of the most interesting features of our algorithm is that it can easily be tuned to balance performance vs. complexity, for adapting it to different application requirements. Extensive simulation experiments show the effectiveness of the proposed approach with respect to existing methods. Schedulability bounds are also derived to perform off-line analysis. © 1999 IEEE.</v>
      </c>
      <c r="H151" s="8" t="str">
        <f>IFERROR(__xludf.DUMMYFUNCTION("""COMPUTED_VALUE"""),"Aperiodic service; Firm deadlines; Quality of service; Real-time scheduling; Skip")</f>
        <v>Aperiodic service; Firm deadlines; Quality of service; Real-time scheduling; Skip</v>
      </c>
      <c r="I151" s="10" t="b">
        <v>0</v>
      </c>
      <c r="J151" s="10" t="b">
        <v>0</v>
      </c>
      <c r="K151" s="10" t="b">
        <v>0</v>
      </c>
      <c r="L151" s="10" t="b">
        <v>0</v>
      </c>
      <c r="M151" s="10" t="b">
        <v>0</v>
      </c>
      <c r="N151" s="10" t="b">
        <v>0</v>
      </c>
      <c r="O151" s="11" t="b">
        <f t="shared" si="1"/>
        <v>0</v>
      </c>
      <c r="P151" s="16" t="b">
        <v>0</v>
      </c>
      <c r="Q151" s="7"/>
    </row>
    <row r="152">
      <c r="A152" s="5" t="b">
        <v>1</v>
      </c>
      <c r="B152" s="5" t="s">
        <v>183</v>
      </c>
      <c r="C152" s="6" t="str">
        <f>IFERROR(__xludf.DUMMYFUNCTION("""COMPUTED_VALUE"""),"10.1109/TSE.2017.2755013")</f>
        <v>10.1109/TSE.2017.2755013</v>
      </c>
      <c r="D152" s="7" t="str">
        <f>IFERROR(__xludf.DUMMYFUNCTION("""COMPUTED_VALUE"""),"Gazzola L.; Micucci D.; Mariani L.")</f>
        <v>Gazzola L.; Micucci D.; Mariani L.</v>
      </c>
      <c r="E152" s="7" t="str">
        <f>IFERROR(__xludf.DUMMYFUNCTION("""COMPUTED_VALUE"""),"Automatic Software Repair: A Survey")</f>
        <v>Automatic Software Repair: A Survey</v>
      </c>
      <c r="F152" s="7" t="str">
        <f>IFERROR(__xludf.DUMMYFUNCTION("""COMPUTED_VALUE"""),"TSE")</f>
        <v>TSE</v>
      </c>
      <c r="G152" s="7" t="str">
        <f>IFERROR(__xludf.DUMMYFUNCTION("""COMPUTED_VALUE"""),"Despite their growing complexity and increasing size, modern software applications must satisfy strict release requirements that impose short bug fixing and maintenance cycles, putting significant pressure on developers who are responsible for timely prod"&amp;"ucing high-quality software. To reduce developers workload, repairing and healing techniques have been extensively investigated as solutions for efficiently repairing and maintaining software in the last few years. In particular, repairing solutions have "&amp;"been able to automatically produce useful fixes for several classes of bugs that might be present in software programs. A range of algorithms, techniques, and heuristics have been integrated, experimented, and studied, producing a heterogeneous and articu"&amp;"lated research framework where automatic repair techniques are proliferating. This paper organizes the knowledge in the area by surveying a body of 108 papers about automatic software repair techniques, illustrating the algorithms and the approaches, comp"&amp;"aring them on representative examples, and discussing the open challenges and the empirical evidence reported so far. © 1976-2012 IEEE.")</f>
        <v>Despite their growing complexity and increasing size, modern software applications must satisfy strict release requirements that impose short bug fixing and maintenance cycles, putting significant pressure on developers who are responsible for timely producing high-quality software. To reduce developers workload, repairing and healing techniques have been extensively investigated as solutions for efficiently repairing and maintaining software in the last few years. In particular, repairing solutions have been able to automatically produce useful fixes for several classes of bugs that might be present in software programs. A range of algorithms, techniques, and heuristics have been integrated, experimented, and studied, producing a heterogeneous and articulated research framework where automatic repair techniques are proliferating. This paper organizes the knowledge in the area by surveying a body of 108 papers about automatic software repair techniques, illustrating the algorithms and the approaches, comparing them on representative examples, and discussing the open challenges and the empirical evidence reported so far. © 1976-2012 IEEE.</v>
      </c>
      <c r="H152" s="8" t="str">
        <f>IFERROR(__xludf.DUMMYFUNCTION("""COMPUTED_VALUE"""),"Automatic program repair; correct by construction; generate and validate; program synthesis; search-based; self-repairing; semantics-driven repair")</f>
        <v>Automatic program repair; correct by construction; generate and validate; program synthesis; search-based; self-repairing; semantics-driven repair</v>
      </c>
      <c r="I152" s="10" t="b">
        <v>0</v>
      </c>
      <c r="J152" s="10" t="b">
        <v>0</v>
      </c>
      <c r="K152" s="10" t="b">
        <v>0</v>
      </c>
      <c r="L152" s="10" t="b">
        <v>0</v>
      </c>
      <c r="M152" s="10" t="b">
        <v>0</v>
      </c>
      <c r="N152" s="10" t="b">
        <v>0</v>
      </c>
      <c r="O152" s="11" t="b">
        <f t="shared" si="1"/>
        <v>0</v>
      </c>
      <c r="P152" s="16" t="b">
        <v>0</v>
      </c>
      <c r="Q152" s="7"/>
    </row>
    <row r="153">
      <c r="A153" s="5" t="b">
        <v>1</v>
      </c>
      <c r="B153" s="5" t="s">
        <v>184</v>
      </c>
      <c r="C153" s="6" t="str">
        <f>IFERROR(__xludf.DUMMYFUNCTION("""COMPUTED_VALUE"""),"10.1109/TSE.2017.2775634")</f>
        <v>10.1109/TSE.2017.2775634</v>
      </c>
      <c r="D153" s="7" t="str">
        <f>IFERROR(__xludf.DUMMYFUNCTION("""COMPUTED_VALUE"""),"Dorn J.; Lacomis J.; Weimer W.; Forrest S.")</f>
        <v>Dorn J.; Lacomis J.; Weimer W.; Forrest S.</v>
      </c>
      <c r="E153" s="7" t="str">
        <f>IFERROR(__xludf.DUMMYFUNCTION("""COMPUTED_VALUE"""),"Automatically Exploring Tradeoffs between Software Output Fidelity and Energy Costs")</f>
        <v>Automatically Exploring Tradeoffs between Software Output Fidelity and Energy Costs</v>
      </c>
      <c r="F153" s="7" t="str">
        <f>IFERROR(__xludf.DUMMYFUNCTION("""COMPUTED_VALUE"""),"TSE")</f>
        <v>TSE</v>
      </c>
      <c r="G153" s="7" t="str">
        <f>IFERROR(__xludf.DUMMYFUNCTION("""COMPUTED_VALUE"""),"Data centers account for a significant fraction of global energy consumption and represent a growing business cost. Most current approaches to reducing energy use in data centers treat it as a hardware, compiler, or scheduling problem. This article focuse"&amp;"s instead on the software level, showing how to reduce the energy used by programs when they execute. By combining insights from search-based software engineering, mutational robustness, profile-guided optimization, and approximate computing, the Producin"&amp;"g Green Applications Using Genetic Exploration (PowerGAUGE) algorithm finds variants of individual programs that use less energy than the original. We apply hardware, software, and statistical techniques to manage the complexity of accurately assigning ph"&amp;"ysical energy measurements to particular processes. In addition, our approach allows, but does not require, relaxing output quality requirements to achieve greater non-functional improvements. PowerGAUGE optimizations are validated using physical performa"&amp;"nce measurements. Experimental results on PARSEC benchmarks and two larger programs show average energy reductions of 14% when requiring the preservation of original output quality and 41% when allowing for human-acceptable levels of error. © 1976-2012 IE"&amp;"EE.")</f>
        <v>Data centers account for a significant fraction of global energy consumption and represent a growing business cost. Most current approaches to reducing energy use in data centers treat it as a hardware, compiler, or scheduling problem. This article focuses instead on the software level, showing how to reduce the energy used by programs when they execute. By combining insights from search-based software engineering, mutational robustness, profile-guided optimization, and approximate computing, the Producing Green Applications Using Genetic Exploration (PowerGAUGE) algorithm finds variants of individual programs that use less energy than the original. We apply hardware, software, and statistical techniques to manage the complexity of accurately assigning physical energy measurements to particular processes. In addition, our approach allows, but does not require, relaxing output quality requirements to achieve greater non-functional improvements. PowerGAUGE optimizations are validated using physical performance measurements. Experimental results on PARSEC benchmarks and two larger programs show average energy reductions of 14% when requiring the preservation of original output quality and 41% when allowing for human-acceptable levels of error. © 1976-2012 IEEE.</v>
      </c>
      <c r="H153" s="8" t="str">
        <f>IFERROR(__xludf.DUMMYFUNCTION("""COMPUTED_VALUE"""),"accurate energy measurement; genetic algorithms; optimizing noisy functions; Power optimization; profile-guided optimization; search-based software engineering")</f>
        <v>accurate energy measurement; genetic algorithms; optimizing noisy functions; Power optimization; profile-guided optimization; search-based software engineering</v>
      </c>
      <c r="I153" s="10" t="b">
        <v>0</v>
      </c>
      <c r="J153" s="10" t="b">
        <v>0</v>
      </c>
      <c r="K153" s="10" t="b">
        <v>0</v>
      </c>
      <c r="L153" s="10" t="b">
        <v>0</v>
      </c>
      <c r="M153" s="10" t="b">
        <v>0</v>
      </c>
      <c r="N153" s="10" t="b">
        <v>0</v>
      </c>
      <c r="O153" s="11" t="b">
        <f t="shared" si="1"/>
        <v>0</v>
      </c>
      <c r="P153" s="16" t="b">
        <v>0</v>
      </c>
      <c r="Q153" s="7"/>
    </row>
    <row r="154">
      <c r="A154" s="5" t="b">
        <v>1</v>
      </c>
      <c r="B154" s="5" t="s">
        <v>185</v>
      </c>
      <c r="C154" s="6" t="str">
        <f>IFERROR(__xludf.DUMMYFUNCTION("""COMPUTED_VALUE"""),"10.1109/TSE.2007.70725")</f>
        <v>10.1109/TSE.2007.70725</v>
      </c>
      <c r="D154" s="7" t="str">
        <f>IFERROR(__xludf.DUMMYFUNCTION("""COMPUTED_VALUE"""),"Bellon S.; Koschke R.; Antoniol G.; Krinke J.; Merlo E.")</f>
        <v>Bellon S.; Koschke R.; Antoniol G.; Krinke J.; Merlo E.</v>
      </c>
      <c r="E154" s="7" t="str">
        <f>IFERROR(__xludf.DUMMYFUNCTION("""COMPUTED_VALUE"""),"Comparison and evaluation of clone detection tools")</f>
        <v>Comparison and evaluation of clone detection tools</v>
      </c>
      <c r="F154" s="7" t="str">
        <f>IFERROR(__xludf.DUMMYFUNCTION("""COMPUTED_VALUE"""),"TSE")</f>
        <v>TSE</v>
      </c>
      <c r="G154" s="7" t="str">
        <f>IFERROR(__xludf.DUMMYFUNCTION("""COMPUTED_VALUE"""),"Many techniques for detecting duplicated source code (software clones) have been proposed in the past. However, it is not yet clear how these techniques compare in terms of recall and precision as well as space and time requirements. This paper presents a"&amp;"n experiment that evaluates six clone detectors based on eight large C and Java programs (altogether almost 850 KLOC). Their clone candidates were evaluated by one of the authors as independent third party. The selected techniques cover the whole spectrum"&amp;" of the state-of-the-art in clone detection. The techniques work on text, lexical and syntactic information, software metrics, and program dependency graphs. © 2007 IEEE.")</f>
        <v>Many techniques for detecting duplicated source code (software clones) have been proposed in the past. However, it is not yet clear how these techniques compare in terms of recall and precision as well as space and time requirements. This paper presents an experiment that evaluates six clone detectors based on eight large C and Java programs (altogether almost 850 KLOC). Their clone candidates were evaluated by one of the authors as independent third party. The selected techniques cover the whole spectrum of the state-of-the-art in clone detection. The techniques work on text, lexical and syntactic information, software metrics, and program dependency graphs. © 2007 IEEE.</v>
      </c>
      <c r="H154" s="8" t="str">
        <f>IFERROR(__xludf.DUMMYFUNCTION("""COMPUTED_VALUE"""),"Duplicated code; Redundant code; Software clones")</f>
        <v>Duplicated code; Redundant code; Software clones</v>
      </c>
      <c r="I154" s="10" t="b">
        <v>0</v>
      </c>
      <c r="J154" s="10" t="b">
        <v>0</v>
      </c>
      <c r="K154" s="10" t="b">
        <v>0</v>
      </c>
      <c r="L154" s="10" t="b">
        <v>0</v>
      </c>
      <c r="M154" s="10" t="b">
        <v>0</v>
      </c>
      <c r="N154" s="10" t="b">
        <v>0</v>
      </c>
      <c r="O154" s="11" t="b">
        <f t="shared" si="1"/>
        <v>0</v>
      </c>
      <c r="P154" s="16" t="b">
        <v>0</v>
      </c>
      <c r="Q154" s="7"/>
    </row>
    <row r="155">
      <c r="A155" s="5" t="b">
        <v>1</v>
      </c>
      <c r="B155" s="5" t="s">
        <v>186</v>
      </c>
      <c r="C155" s="6" t="str">
        <f>IFERROR(__xludf.DUMMYFUNCTION("""COMPUTED_VALUE"""),"10.1109/TSE.2004.31")</f>
        <v>10.1109/TSE.2004.31</v>
      </c>
      <c r="D155" s="7" t="str">
        <f>IFERROR(__xludf.DUMMYFUNCTION("""COMPUTED_VALUE"""),"El-Fakih K.; Yevtushenko N.; Bochmann G.V.")</f>
        <v>El-Fakih K.; Yevtushenko N.; Bochmann G.V.</v>
      </c>
      <c r="E155" s="7" t="str">
        <f>IFERROR(__xludf.DUMMYFUNCTION("""COMPUTED_VALUE"""),"FSM-based incremental conformance testing methods")</f>
        <v>FSM-based incremental conformance testing methods</v>
      </c>
      <c r="F155" s="7" t="str">
        <f>IFERROR(__xludf.DUMMYFUNCTION("""COMPUTED_VALUE"""),"TSE")</f>
        <v>TSE</v>
      </c>
      <c r="G155" s="7" t="str">
        <f>IFERROR(__xludf.DUMMYFUNCTION("""COMPUTED_VALUE"""),"The development of appropriate test cases is an important issue for conformance testing of protocol implementations and other reactive software systems. A number of methods are known for the development of a test suite based on a specification given in th"&amp;"e form of a finite state machine. In practice, the system requirements evolve throughout the lifetime of the system and the specifications are modified incrementally. In this paper, we adapt four well-known test derivation methods, namely, the HIS, W, Wp,"&amp;" and UIOv methods, for generating tests that would test only the modified parts of an evolving specification. Some application examples and experimental results are provided. These results show significant gains when using incremental testing in compariso"&amp;"n with complete testing, especially when the modified part represents less than 20 percent of the whole specification. © 2004 IEEE.")</f>
        <v>The development of appropriate test cases is an important issue for conformance testing of protocol implementations and other reactive software systems. A number of methods are known for the development of a test suite based on a specification given in the form of a finite state machine. In practice, the system requirements evolve throughout the lifetime of the system and the specifications are modified incrementally. In this paper, we adapt four well-known test derivation methods, namely, the HIS, W, Wp, and UIOv methods, for generating tests that would test only the modified parts of an evolving specification. Some application examples and experimental results are provided. These results show significant gains when using incremental testing in comparison with complete testing, especially when the modified part represents less than 20 percent of the whole specification. © 2004 IEEE.</v>
      </c>
      <c r="H155" s="8"/>
      <c r="I155" s="10" t="b">
        <v>0</v>
      </c>
      <c r="J155" s="9" t="b">
        <v>1</v>
      </c>
      <c r="K155" s="9" t="b">
        <v>1</v>
      </c>
      <c r="L155" s="10" t="b">
        <v>0</v>
      </c>
      <c r="M155" s="10" t="b">
        <v>0</v>
      </c>
      <c r="N155" s="10" t="b">
        <v>0</v>
      </c>
      <c r="O155" s="11" t="b">
        <f t="shared" si="1"/>
        <v>0</v>
      </c>
      <c r="P155" s="16" t="b">
        <v>0</v>
      </c>
      <c r="Q155" s="13" t="s">
        <v>187</v>
      </c>
    </row>
    <row r="156">
      <c r="A156" s="5" t="b">
        <v>1</v>
      </c>
      <c r="B156" s="5" t="s">
        <v>188</v>
      </c>
      <c r="C156" s="6" t="str">
        <f>IFERROR(__xludf.DUMMYFUNCTION("""COMPUTED_VALUE"""),"10.1109/TSE.2014.2322368")</f>
        <v>10.1109/TSE.2014.2322368</v>
      </c>
      <c r="D156" s="7" t="str">
        <f>IFERROR(__xludf.DUMMYFUNCTION("""COMPUTED_VALUE"""),"Lee J.; Hsu K.-H.")</f>
        <v>Lee J.; Hsu K.-H.</v>
      </c>
      <c r="E156" s="7" t="str">
        <f>IFERROR(__xludf.DUMMYFUNCTION("""COMPUTED_VALUE"""),"GEA: A goal-driven approach to discovering early aspects")</f>
        <v>GEA: A goal-driven approach to discovering early aspects</v>
      </c>
      <c r="F156" s="7" t="str">
        <f>IFERROR(__xludf.DUMMYFUNCTION("""COMPUTED_VALUE"""),"TSE")</f>
        <v>TSE</v>
      </c>
      <c r="G156" s="7" t="str">
        <f>IFERROR(__xludf.DUMMYFUNCTION("""COMPUTED_VALUE"""),"Aspect-oriented software development has become an important development and maintenance approach to software engineering across requirements, design and implementation phases. However, discovering early aspects from requirements for a better integration "&amp;"of crosscutting concerns into a target system is still not well addressed in the existing works. In this paper, we propose a Goal-driven Early Aspect approach (called GEA) to discovering early aspects by means of a clustering algorithm in which relationsh"&amp;"ips among goals and use cases are utilized to explore similarity degrees of clustering goals, and total interaction degrees are devised to check the validity of the formation of each cluster. Introducing early aspects not only enhances the goal-driven req"&amp;"uirements modeling to manage crosscutting concerns, but also provides modularity insights into the analysis and design of software development. Moreover, relationships among goals represented numerically are more informative to discover early aspects and "&amp;"more easily to be processed computationally than qualitative terms. The proposed approach is illustrated by using two problem domains: a meeting scheduler system and a course enrollment system. An experiment is also conducted to evaluate the benefits of t"&amp;"he proposed approach with Mann-Whitney U-test to show that the difference between with GEA and without GEA is statistically significant. © 2014 IEEE.")</f>
        <v>Aspect-oriented software development has become an important development and maintenance approach to software engineering across requirements, design and implementation phases. However, discovering early aspects from requirements for a better integration of crosscutting concerns into a target system is still not well addressed in the existing works. In this paper, we propose a Goal-driven Early Aspect approach (called GEA) to discovering early aspects by means of a clustering algorithm in which relationships among goals and use cases are utilized to explore similarity degrees of clustering goals, and total interaction degrees are devised to check the validity of the formation of each cluster. Introducing early aspects not only enhances the goal-driven requirements modeling to manage crosscutting concerns, but also provides modularity insights into the analysis and design of software development. Moreover, relationships among goals represented numerically are more informative to discover early aspects and more easily to be processed computationally than qualitative terms. The proposed approach is illustrated by using two problem domains: a meeting scheduler system and a course enrollment system. An experiment is also conducted to evaluate the benefits of the proposed approach with Mann-Whitney U-test to show that the difference between with GEA and without GEA is statistically significant. © 2014 IEEE.</v>
      </c>
      <c r="H156" s="8" t="str">
        <f>IFERROR(__xludf.DUMMYFUNCTION("""COMPUTED_VALUE"""),"Early aspects; fuzzy logic; goal cluster; goals; goals interaction; use cases")</f>
        <v>Early aspects; fuzzy logic; goal cluster; goals; goals interaction; use cases</v>
      </c>
      <c r="I156" s="10" t="b">
        <v>0</v>
      </c>
      <c r="J156" s="10" t="b">
        <v>0</v>
      </c>
      <c r="K156" s="10" t="b">
        <v>0</v>
      </c>
      <c r="L156" s="10" t="b">
        <v>0</v>
      </c>
      <c r="M156" s="10" t="b">
        <v>0</v>
      </c>
      <c r="N156" s="10" t="b">
        <v>0</v>
      </c>
      <c r="O156" s="11" t="b">
        <f t="shared" si="1"/>
        <v>0</v>
      </c>
      <c r="P156" s="16" t="b">
        <v>0</v>
      </c>
      <c r="Q156" s="7"/>
    </row>
    <row r="157">
      <c r="A157" s="5" t="b">
        <v>1</v>
      </c>
      <c r="B157" s="5" t="s">
        <v>189</v>
      </c>
      <c r="C157" s="6" t="str">
        <f>IFERROR(__xludf.DUMMYFUNCTION("""COMPUTED_VALUE"""),"10.1109/TSE.2008.36")</f>
        <v>10.1109/TSE.2008.36</v>
      </c>
      <c r="D157" s="7" t="str">
        <f>IFERROR(__xludf.DUMMYFUNCTION("""COMPUTED_VALUE"""),"Eaddy M.; Zimmermann T.; Sherwood K.D.; Garg V.; Murphy G.C.; Nagappan N.; Aho A.V.")</f>
        <v>Eaddy M.; Zimmermann T.; Sherwood K.D.; Garg V.; Murphy G.C.; Nagappan N.; Aho A.V.</v>
      </c>
      <c r="E157" s="7" t="str">
        <f>IFERROR(__xludf.DUMMYFUNCTION("""COMPUTED_VALUE"""),"Do crosscutting concerns cause defects?")</f>
        <v>Do crosscutting concerns cause defects?</v>
      </c>
      <c r="F157" s="7" t="str">
        <f>IFERROR(__xludf.DUMMYFUNCTION("""COMPUTED_VALUE"""),"TSE")</f>
        <v>TSE</v>
      </c>
      <c r="G157" s="7" t="str">
        <f>IFERROR(__xludf.DUMMYFUNCTION("""COMPUTED_VALUE"""),"There is a growing consensus that crosscutting concerns harm code quality. An example of a crosscutting concern is a functional requirement whose implementation is distributed across multiple software modules. We asked the question, ""How much does the am"&amp;"ount that a concern is crosscutting affect the number of defects in a program?"" We conducted three extensive case studies to help answer this question. All three studies revealed a moderate to strong statistically significant correlation between the degr"&amp;"ee of scattering and the number of defects. This paper describes the experimental framework we developed to conduct the studies, the metrics we adopted and developed to measure the degree of scattering, the studies we performed, the efforts we undertook t"&amp;"o remove experimental and other biases, and the results we obtained. In the process, we have formulated a theory that explains why increased scattering might lead to increased defects. © 2008 IEEE.")</f>
        <v>There is a growing consensus that crosscutting concerns harm code quality. An example of a crosscutting concern is a functional requirement whose implementation is distributed across multiple software modules. We asked the question, "How much does the amount that a concern is crosscutting affect the number of defects in a program?" We conducted three extensive case studies to help answer this question. All three studies revealed a moderate to strong statistically significant correlation between the degree of scattering and the number of defects. This paper describes the experimental framework we developed to conduct the studies, the metrics we adopted and developed to measure the degree of scattering, the studies we performed, the efforts we undertook to remove experimental and other biases, and the results we obtained. In the process, we have formulated a theory that explains why increased scattering might lead to increased defects. © 2008 IEEE.</v>
      </c>
      <c r="H157" s="8" t="str">
        <f>IFERROR(__xludf.DUMMYFUNCTION("""COMPUTED_VALUE"""),"Crosscutting concerns; Empirical software engineering; Fault proneness; Feature location; Metrics; Mining software repositories; Open source software; Requirements traceability; Statistical analysis")</f>
        <v>Crosscutting concerns; Empirical software engineering; Fault proneness; Feature location; Metrics; Mining software repositories; Open source software; Requirements traceability; Statistical analysis</v>
      </c>
      <c r="I157" s="10" t="b">
        <v>0</v>
      </c>
      <c r="J157" s="10" t="b">
        <v>0</v>
      </c>
      <c r="K157" s="10" t="b">
        <v>0</v>
      </c>
      <c r="L157" s="10" t="b">
        <v>0</v>
      </c>
      <c r="M157" s="10" t="b">
        <v>0</v>
      </c>
      <c r="N157" s="10" t="b">
        <v>0</v>
      </c>
      <c r="O157" s="11" t="b">
        <f t="shared" si="1"/>
        <v>0</v>
      </c>
      <c r="P157" s="16" t="b">
        <v>0</v>
      </c>
      <c r="Q157" s="7"/>
    </row>
    <row r="158">
      <c r="A158" s="5" t="b">
        <v>1</v>
      </c>
      <c r="B158" s="5" t="s">
        <v>190</v>
      </c>
      <c r="C158" s="6" t="str">
        <f>IFERROR(__xludf.DUMMYFUNCTION("""COMPUTED_VALUE"""),"10.1109/TSE.2018.2859926")</f>
        <v>10.1109/TSE.2018.2859926</v>
      </c>
      <c r="D158" s="7" t="str">
        <f>IFERROR(__xludf.DUMMYFUNCTION("""COMPUTED_VALUE"""),"Czepa C.; Zdun U.")</f>
        <v>Czepa C.; Zdun U.</v>
      </c>
      <c r="E158" s="7" t="str">
        <f>IFERROR(__xludf.DUMMYFUNCTION("""COMPUTED_VALUE"""),"On the Understandability of Temporal Properties Formalized in Linear Temporal Logic, Property Specification Patterns and Event Processing Language")</f>
        <v>On the Understandability of Temporal Properties Formalized in Linear Temporal Logic, Property Specification Patterns and Event Processing Language</v>
      </c>
      <c r="F158" s="7" t="str">
        <f>IFERROR(__xludf.DUMMYFUNCTION("""COMPUTED_VALUE"""),"TSE")</f>
        <v>TSE</v>
      </c>
      <c r="G158" s="7" t="str">
        <f>IFERROR(__xludf.DUMMYFUNCTION("""COMPUTED_VALUE"""),"Temporal properties are important in a wide variety of domains for different purposes. For example, they can be used to avoid architectural drift in software engineering or to support the regulatory compliance of business processes. In this work, we study"&amp;" the understandability of three major temporal property representations: (1) Linear Temporal Logic (LTL) is a formal and well-established logic that offers temporal operators to describe temporal properties; (2) Property Specification Patterns (PSP) are a"&amp;" collection of recurring temporal properties that abstract underlying formal and technical representations; (3) Event Processing Language (EPL) can be used for runtime monitoring of event streams using Complex Event Processing. We conducted two controlled"&amp;" experiments with 216 participants in total to study the understandability of those approaches using a completely randomized design with one alternative per experimental unit. We hypothesized that PSP, as a highly abstracting pattern language, is easier t"&amp;"o understand than LTL and EPL, and that EPL, due to separation of concerns (as one or more queries can be used to explicitly define the truth value change that an observed event pattern causes), is easier to understand than LTL. We found evidence supporti"&amp;"ng our hypotheses which was statistically significant and reproducible. © 1976-2012 IEEE.")</f>
        <v>Temporal properties are important in a wide variety of domains for different purposes. For example, they can be used to avoid architectural drift in software engineering or to support the regulatory compliance of business processes. In this work, we study the understandability of three major temporal property representations: (1) Linear Temporal Logic (LTL) is a formal and well-established logic that offers temporal operators to describe temporal properties; (2) Property Specification Patterns (PSP) are a collection of recurring temporal properties that abstract underlying formal and technical representations; (3) Event Processing Language (EPL) can be used for runtime monitoring of event streams using Complex Event Processing. We conducted two controlled experiments with 216 participants in total to study the understandability of those approaches using a completely randomized design with one alternative per experimental unit. We hypothesized that PSP, as a highly abstracting pattern language, is easier to understand than LTL and EPL, and that EPL, due to separation of concerns (as one or more queries can be used to explicitly define the truth value change that an observed event pattern causes), is easier to understand than LTL. We found evidence supporting our hypotheses which was statistically significant and reproducible. © 1976-2012 IEEE.</v>
      </c>
      <c r="H158" s="8" t="str">
        <f>IFERROR(__xludf.DUMMYFUNCTION("""COMPUTED_VALUE"""),"complex event processing; Controlled experiment; event processing language; linear temporal logic; property specification patterns; temporal property; understandability")</f>
        <v>complex event processing; Controlled experiment; event processing language; linear temporal logic; property specification patterns; temporal property; understandability</v>
      </c>
      <c r="I158" s="9" t="b">
        <v>1</v>
      </c>
      <c r="J158" s="9" t="b">
        <v>1</v>
      </c>
      <c r="K158" s="9" t="b">
        <v>1</v>
      </c>
      <c r="L158" s="10" t="b">
        <v>0</v>
      </c>
      <c r="M158" s="10" t="b">
        <v>0</v>
      </c>
      <c r="N158" s="10" t="b">
        <v>0</v>
      </c>
      <c r="O158" s="11" t="b">
        <f t="shared" si="1"/>
        <v>1</v>
      </c>
      <c r="P158" s="12" t="b">
        <v>0</v>
      </c>
      <c r="Q158" s="13" t="s">
        <v>191</v>
      </c>
    </row>
    <row r="159">
      <c r="A159" s="5" t="b">
        <v>1</v>
      </c>
      <c r="B159" s="5" t="s">
        <v>192</v>
      </c>
      <c r="C159" s="6" t="str">
        <f>IFERROR(__xludf.DUMMYFUNCTION("""COMPUTED_VALUE"""),"10.1109/TSE.2011.68")</f>
        <v>10.1109/TSE.2011.68</v>
      </c>
      <c r="D159" s="7" t="str">
        <f>IFERROR(__xludf.DUMMYFUNCTION("""COMPUTED_VALUE"""),"Cardellini V.; Casalicchio E.; Grassi V.; Iannucci S.; Presti F.L.; Mirandola R.")</f>
        <v>Cardellini V.; Casalicchio E.; Grassi V.; Iannucci S.; Presti F.L.; Mirandola R.</v>
      </c>
      <c r="E159" s="7" t="str">
        <f>IFERROR(__xludf.DUMMYFUNCTION("""COMPUTED_VALUE"""),"MOSES: A framework for qos driven runtime adaptation of service-oriented systems")</f>
        <v>MOSES: A framework for qos driven runtime adaptation of service-oriented systems</v>
      </c>
      <c r="F159" s="7" t="str">
        <f>IFERROR(__xludf.DUMMYFUNCTION("""COMPUTED_VALUE"""),"TSE")</f>
        <v>TSE</v>
      </c>
      <c r="G159" s="7" t="str">
        <f>IFERROR(__xludf.DUMMYFUNCTION("""COMPUTED_VALUE"""),"Architecting software systems according to the service-oriented paradigm and designing runtime self-adaptable systems are two relevant research areas in today's software engineering. In this paper, we address issues that lie at the intersection of these t"&amp;"wo important fields. First, we present a characterization of the problem space of self-adaptation for service-oriented systems, thus providing a frame of reference where our and other approaches can be classified. Then, we present MOSES, a methodology and"&amp;" a software tool implementing it to support QoS-driven adaptation of a service-oriented system. It works in a specific region of the identified problem space, corresponding to the scenario where a service-oriented system architected as a composite service"&amp;" needs to sustain a traffic of requests generated by several users. MOSES integrates within a unified framework different adaptation mechanisms. In this way it achieves greater flexibility in facing various operating environments and the possibly conflict"&amp;"ing QoS requirements of several concurrent users. Experimental results obtained with a prototype implementation of MOSES show the effectiveness of the proposed approach. © 2012 IEEE.")</f>
        <v>Architecting software systems according to the service-oriented paradigm and designing runtime self-adaptable systems are two relevant research areas in today's software engineering. In this paper, we address issues that lie at the intersection of these two important fields. First, we present a characterization of the problem space of self-adaptation for service-oriented systems, thus providing a frame of reference where our and other approaches can be classified. Then, we present MOSES, a methodology and a software tool implementing it to support QoS-driven adaptation of a service-oriented system. It works in a specific region of the identified problem space, corresponding to the scenario where a service-oriented system architected as a composite service needs to sustain a traffic of requests generated by several users. MOSES integrates within a unified framework different adaptation mechanisms. In this way it achieves greater flexibility in facing various operating environments and the possibly conflicting QoS requirements of several concurrent users. Experimental results obtained with a prototype implementation of MOSES show the effectiveness of the proposed approach. © 2012 IEEE.</v>
      </c>
      <c r="H159" s="8" t="str">
        <f>IFERROR(__xludf.DUMMYFUNCTION("""COMPUTED_VALUE"""),"quality of service; runtime adaptation; Service-oriented architecture")</f>
        <v>quality of service; runtime adaptation; Service-oriented architecture</v>
      </c>
      <c r="I159" s="10" t="b">
        <v>0</v>
      </c>
      <c r="J159" s="10" t="b">
        <v>0</v>
      </c>
      <c r="K159" s="10" t="b">
        <v>0</v>
      </c>
      <c r="L159" s="10" t="b">
        <v>0</v>
      </c>
      <c r="M159" s="10" t="b">
        <v>0</v>
      </c>
      <c r="N159" s="10" t="b">
        <v>0</v>
      </c>
      <c r="O159" s="11" t="b">
        <f t="shared" si="1"/>
        <v>0</v>
      </c>
      <c r="P159" s="16" t="b">
        <v>0</v>
      </c>
      <c r="Q159" s="7"/>
    </row>
    <row r="160">
      <c r="A160" s="5" t="b">
        <v>1</v>
      </c>
      <c r="B160" s="5" t="s">
        <v>193</v>
      </c>
      <c r="C160" s="6" t="str">
        <f>IFERROR(__xludf.DUMMYFUNCTION("""COMPUTED_VALUE"""),"10.1109/TSE.2018.2802925")</f>
        <v>10.1109/TSE.2018.2802925</v>
      </c>
      <c r="D160" s="7" t="str">
        <f>IFERROR(__xludf.DUMMYFUNCTION("""COMPUTED_VALUE"""),"Song W.; Ma X.; Jacobsen H.-A.")</f>
        <v>Song W.; Ma X.; Jacobsen H.-A.</v>
      </c>
      <c r="E160" s="7" t="str">
        <f>IFERROR(__xludf.DUMMYFUNCTION("""COMPUTED_VALUE"""),"Instance Migration Validity for Dynamic Evolution of Data-Aware Processes")</f>
        <v>Instance Migration Validity for Dynamic Evolution of Data-Aware Processes</v>
      </c>
      <c r="F160" s="7" t="str">
        <f>IFERROR(__xludf.DUMMYFUNCTION("""COMPUTED_VALUE"""),"TSE")</f>
        <v>TSE</v>
      </c>
      <c r="G160" s="7" t="str">
        <f>IFERROR(__xludf.DUMMYFUNCTION("""COMPUTED_VALUE"""),"Likely more than many other software artifacts, business processes constantly evolve to adapt to ever changing application requirements. To enable dynamic process evolution, where changes are applied to in-flight processes, running process instances have "&amp;"to be migrated. On the one hand, as many instances as possible should be migrated to the changed process. On the other hand, the validity to migrate an instance should be guaranteed to avoid introducing dynamic change bugs after migration. As our theoreti"&amp;"cal results show, when the state of variables is taken into account, migration validity of data-aware process instances is undecidable. Based on the trace of an instance, existing approaches leverage trace replaying to check migration validity. However, t"&amp;"hey err on the side of caution, not identifying many instances as potentially safe to migrate. We present a more relaxed migration validity checking approach based on the dependence graph of a trace. We evaluate effectiveness and efficiency of our approac"&amp;"h experimentally showing that it allows for more instances to safely migrate than for existing approaches and that it scales in the number of instances checked. © 1976-2012 IEEE.")</f>
        <v>Likely more than many other software artifacts, business processes constantly evolve to adapt to ever changing application requirements. To enable dynamic process evolution, where changes are applied to in-flight processes, running process instances have to be migrated. On the one hand, as many instances as possible should be migrated to the changed process. On the other hand, the validity to migrate an instance should be guaranteed to avoid introducing dynamic change bugs after migration. As our theoretical results show, when the state of variables is taken into account, migration validity of data-aware process instances is undecidable. Based on the trace of an instance, existing approaches leverage trace replaying to check migration validity. However, they err on the side of caution, not identifying many instances as potentially safe to migrate. We present a more relaxed migration validity checking approach based on the dependence graph of a trace. We evaluate effectiveness and efficiency of our approach experimentally showing that it allows for more instances to safely migrate than for existing approaches and that it scales in the number of instances checked. © 1976-2012 IEEE.</v>
      </c>
      <c r="H160" s="8" t="str">
        <f>IFERROR(__xludf.DUMMYFUNCTION("""COMPUTED_VALUE"""),"Data-aware process; dynamic evolution; instance migration; migration validity; trace slicing")</f>
        <v>Data-aware process; dynamic evolution; instance migration; migration validity; trace slicing</v>
      </c>
      <c r="I160" s="10" t="b">
        <v>0</v>
      </c>
      <c r="J160" s="10" t="b">
        <v>0</v>
      </c>
      <c r="K160" s="10" t="b">
        <v>0</v>
      </c>
      <c r="L160" s="10" t="b">
        <v>0</v>
      </c>
      <c r="M160" s="10" t="b">
        <v>0</v>
      </c>
      <c r="N160" s="10" t="b">
        <v>0</v>
      </c>
      <c r="O160" s="11" t="b">
        <f t="shared" si="1"/>
        <v>0</v>
      </c>
      <c r="P160" s="16" t="b">
        <v>0</v>
      </c>
      <c r="Q160" s="7"/>
    </row>
    <row r="161">
      <c r="A161" s="5" t="b">
        <v>1</v>
      </c>
      <c r="B161" s="5" t="s">
        <v>194</v>
      </c>
      <c r="C161" s="6" t="str">
        <f>IFERROR(__xludf.DUMMYFUNCTION("""COMPUTED_VALUE"""),"10.1109/32.44387")</f>
        <v>10.1109/32.44387</v>
      </c>
      <c r="D161" s="7" t="str">
        <f>IFERROR(__xludf.DUMMYFUNCTION("""COMPUTED_VALUE"""),"Brilliant S.S.; Knight J.C.; Leveson N.G.")</f>
        <v>Brilliant S.S.; Knight J.C.; Leveson N.G.</v>
      </c>
      <c r="E161" s="7" t="str">
        <f>IFERROR(__xludf.DUMMYFUNCTION("""COMPUTED_VALUE"""),"Analysis of Faults in an N-Version Software Experiment")</f>
        <v>Analysis of Faults in an N-Version Software Experiment</v>
      </c>
      <c r="F161" s="7" t="str">
        <f>IFERROR(__xludf.DUMMYFUNCTION("""COMPUTED_VALUE"""),"TSE")</f>
        <v>TSE</v>
      </c>
      <c r="G161" s="7" t="str">
        <f>IFERROR(__xludf.DUMMYFUNCTION("""COMPUTED_VALUE"""),"We have conducted a large-scale experiment in TV-version programming. A total of 27 versions of a program were prepared independently from the same specification at two universities. The results of executing the versions revealed that the versions were in"&amp;"dividually extremely reliable but that the number of input cases in which more than one failed was substantially more than would be expected if they were statistically independent. After the versions had been executed, the failures of each version were ex"&amp;"amined and the associated faults located. In this paper we present an analysis of these faults. Our goal in undertaking this analysis was to understand better the nature of the faults. We found that in some cases the programmers made equivalent logical er"&amp;"rors, indicating that some parts of the problem were simply more difficult than others. We also found cases in which apparently different logical errors yielded faults that caused statistically correlated failures, indicating that there are special cases "&amp;"in the input space that present difficulty in various parts of the solution. A formal model is presented to explain this phenomenon. It appears that minor differences in the software development environment, such as the use of different programming langua"&amp;"ges for the different versions, would not have a major impact in reducing the incidence of faults that cause correlated failures. © 1990 IEEE")</f>
        <v>We have conducted a large-scale experiment in TV-version programming. A total of 27 versions of a program were prepared independently from the same specification at two universities. The results of executing the versions revealed that the versions were individually extremely reliable but that the number of input cases in which more than one failed was substantially more than would be expected if they were statistically independent. After the versions had been executed, the failures of each version were examined and the associated faults located. In this paper we present an analysis of these faults. Our goal in undertaking this analysis was to understand better the nature of the faults. We found that in some cases the programmers made equivalent logical errors, indicating that some parts of the problem were simply more difficult than others. We also found cases in which apparently different logical errors yielded faults that caused statistically correlated failures, indicating that there are special cases in the input space that present difficulty in various parts of the solution. A formal model is presented to explain this phenomenon. It appears that minor differences in the software development environment, such as the use of different programming languages for the different versions, would not have a major impact in reducing the incidence of faults that cause correlated failures. © 1990 IEEE</v>
      </c>
      <c r="H161" s="8" t="str">
        <f>IFERROR(__xludf.DUMMYFUNCTION("""COMPUTED_VALUE"""),"Design diversity; Fault-tolerant software; Multiversion programming; N-version programming; Software reliability")</f>
        <v>Design diversity; Fault-tolerant software; Multiversion programming; N-version programming; Software reliability</v>
      </c>
      <c r="I161" s="9" t="b">
        <v>0</v>
      </c>
      <c r="J161" s="9" t="b">
        <v>1</v>
      </c>
      <c r="K161" s="9" t="b">
        <v>1</v>
      </c>
      <c r="L161" s="10" t="b">
        <v>0</v>
      </c>
      <c r="M161" s="10" t="b">
        <v>0</v>
      </c>
      <c r="N161" s="10" t="b">
        <v>0</v>
      </c>
      <c r="O161" s="11" t="b">
        <f t="shared" si="1"/>
        <v>0</v>
      </c>
      <c r="P161" s="12" t="b">
        <v>0</v>
      </c>
      <c r="Q161" s="13" t="s">
        <v>195</v>
      </c>
    </row>
    <row r="162">
      <c r="A162" s="5" t="b">
        <v>1</v>
      </c>
      <c r="B162" s="5" t="s">
        <v>196</v>
      </c>
      <c r="C162" s="6" t="str">
        <f>IFERROR(__xludf.DUMMYFUNCTION("""COMPUTED_VALUE"""),"10.1109/TSE.1986.6312967")</f>
        <v>10.1109/TSE.1986.6312967</v>
      </c>
      <c r="D162" s="7" t="str">
        <f>IFERROR(__xludf.DUMMYFUNCTION("""COMPUTED_VALUE"""),"Martin E.W.; De Millo R.A.")</f>
        <v>Martin E.W.; De Millo R.A.</v>
      </c>
      <c r="E162" s="7" t="str">
        <f>IFERROR(__xludf.DUMMYFUNCTION("""COMPUTED_VALUE"""),"Operational Survivability in Gracefully Degrading Distributed Processing Systems")</f>
        <v>Operational Survivability in Gracefully Degrading Distributed Processing Systems</v>
      </c>
      <c r="F162" s="7" t="str">
        <f>IFERROR(__xludf.DUMMYFUNCTION("""COMPUTED_VALUE"""),"TSE")</f>
        <v>TSE</v>
      </c>
      <c r="G162" s="7" t="str">
        <f>IFERROR(__xludf.DUMMYFUNCTION("""COMPUTED_VALUE"""),"This paper investigates the use of experimental methods and statistical analysis techniques to study factors influencing operational survivability in gracefully degrading systems. Survivability data are generated using a statistically designed experiment "&amp;"in conjunction with a simulation model of network survivability. Thirty-two factors having stable regression coefficients are used to identify ten regression models explaining survivability. Influential factors include the distributed system network, the "&amp;"application system, and the distribution policy. Nine factors are found in all models: the number of nodes in the distributed system, distributed system connectivity, module memory requirements, module-to-module interaction frequency, distribution policy,"&amp;" percent of nodes lost, initial assignment results, available processing capacity at the end of the subcase, and the interaction of all application related variables. Models that are acceptable from both an estimation and prediction viewpoint are develope"&amp;"d. Possible commercial and military applications are suggested. © 1986 IEEE")</f>
        <v>This paper investigates the use of experimental methods and statistical analysis techniques to study factors influencing operational survivability in gracefully degrading systems. Survivability data are generated using a statistically designed experiment in conjunction with a simulation model of network survivability. Thirty-two factors having stable regression coefficients are used to identify ten regression models explaining survivability. Influential factors include the distributed system network, the application system, and the distribution policy. Nine factors are found in all models: the number of nodes in the distributed system, distributed system connectivity, module memory requirements, module-to-module interaction frequency, distribution policy, percent of nodes lost, initial assignment results, available processing capacity at the end of the subcase, and the interaction of all application related variables. Models that are acceptable from both an estimation and prediction viewpoint are developed. Possible commercial and military applications are suggested. © 1986 IEEE</v>
      </c>
      <c r="H162" s="8" t="str">
        <f>IFERROR(__xludf.DUMMYFUNCTION("""COMPUTED_VALUE"""),"Distributed processing system; graceful degradation; operational survivability")</f>
        <v>Distributed processing system; graceful degradation; operational survivability</v>
      </c>
      <c r="I162" s="10" t="b">
        <v>0</v>
      </c>
      <c r="J162" s="10" t="b">
        <v>0</v>
      </c>
      <c r="K162" s="10" t="b">
        <v>0</v>
      </c>
      <c r="L162" s="10" t="b">
        <v>0</v>
      </c>
      <c r="M162" s="10" t="b">
        <v>0</v>
      </c>
      <c r="N162" s="10" t="b">
        <v>0</v>
      </c>
      <c r="O162" s="11" t="b">
        <f t="shared" si="1"/>
        <v>0</v>
      </c>
      <c r="P162" s="16" t="b">
        <v>0</v>
      </c>
      <c r="Q162" s="7"/>
    </row>
    <row r="163">
      <c r="A163" s="5" t="b">
        <v>1</v>
      </c>
      <c r="B163" s="5" t="s">
        <v>197</v>
      </c>
      <c r="C163" s="6" t="str">
        <f>IFERROR(__xludf.DUMMYFUNCTION("""COMPUTED_VALUE"""),"10.1109/32.310670")</f>
        <v>10.1109/32.310670</v>
      </c>
      <c r="D163" s="7" t="str">
        <f>IFERROR(__xludf.DUMMYFUNCTION("""COMPUTED_VALUE"""),"De Paoli F.; Tisato F.")</f>
        <v>De Paoli F.; Tisato F.</v>
      </c>
      <c r="E163" s="7" t="str">
        <f>IFERROR(__xludf.DUMMYFUNCTION("""COMPUTED_VALUE"""),"CSDL: A Language for Cooperative Systems Design")</f>
        <v>CSDL: A Language for Cooperative Systems Design</v>
      </c>
      <c r="F163" s="7" t="str">
        <f>IFERROR(__xludf.DUMMYFUNCTION("""COMPUTED_VALUE"""),"TSE")</f>
        <v>TSE</v>
      </c>
      <c r="G163" s="7" t="str">
        <f>IFERROR(__xludf.DUMMYFUNCTION("""COMPUTED_VALUE"""),"The aim of a cooperative system is to coordinate and support group activities. Cooperative Systems Design Language (CSDL) is an experimental language designed to support the development of cooperative systems from specification to implementation. In CSDL,"&amp;" a system is defined as a collection of reusable entities implementing floor control disciplines and shared workspaces. CSDL tries to address the difficulties of integrating different aspects of cooperative systems: Cooperation control, communication, and"&amp;" system modularization. This paper presents CSDL as a specification language. Basic units are coordinators that can be combined hierarchically. A coordinator is composed of a specification, a body, and a context. The specification defines the cooperation "&amp;"policy; the body controls the underlying communication channels; and the context defines coordinators' interaction in modular systems. © 1994, IEEE.")</f>
        <v>The aim of a cooperative system is to coordinate and support group activities. Cooperative Systems Design Language (CSDL) is an experimental language designed to support the development of cooperative systems from specification to implementation. In CSDL, a system is defined as a collection of reusable entities implementing floor control disciplines and shared workspaces. CSDL tries to address the difficulties of integrating different aspects of cooperative systems: Cooperation control, communication, and system modularization. This paper presents CSDL as a specification language. Basic units are coordinators that can be combined hierarchically. A coordinator is composed of a specification, a body, and a context. The specification defines the cooperation policy; the body controls the underlying communication channels; and the context defines coordinators' interaction in modular systems. © 1994, IEEE.</v>
      </c>
      <c r="H163" s="8" t="str">
        <f>IFERROR(__xludf.DUMMYFUNCTION("""COMPUTED_VALUE"""),"conferencing systems; CSCW; design language; distributed systems; groupware; software architecture; specification language")</f>
        <v>conferencing systems; CSCW; design language; distributed systems; groupware; software architecture; specification language</v>
      </c>
      <c r="I163" s="10" t="b">
        <v>0</v>
      </c>
      <c r="J163" s="10" t="b">
        <v>0</v>
      </c>
      <c r="K163" s="10" t="b">
        <v>0</v>
      </c>
      <c r="L163" s="10" t="b">
        <v>0</v>
      </c>
      <c r="M163" s="10" t="b">
        <v>0</v>
      </c>
      <c r="N163" s="10" t="b">
        <v>0</v>
      </c>
      <c r="O163" s="11" t="b">
        <f t="shared" si="1"/>
        <v>0</v>
      </c>
      <c r="P163" s="16" t="b">
        <v>0</v>
      </c>
      <c r="Q163" s="7"/>
    </row>
    <row r="164">
      <c r="A164" s="5" t="b">
        <v>1</v>
      </c>
      <c r="B164" s="5" t="s">
        <v>198</v>
      </c>
      <c r="C164" s="6" t="str">
        <f>IFERROR(__xludf.DUMMYFUNCTION("""COMPUTED_VALUE"""),"10.1109/TSE.1977.233838")</f>
        <v>10.1109/TSE.1977.233838</v>
      </c>
      <c r="D164" s="7" t="str">
        <f>IFERROR(__xludf.DUMMYFUNCTION("""COMPUTED_VALUE"""),"Alford M.W.")</f>
        <v>Alford M.W.</v>
      </c>
      <c r="E164" s="7" t="str">
        <f>IFERROR(__xludf.DUMMYFUNCTION("""COMPUTED_VALUE"""),"A Requirements Engineering Methodology for Real-Time Processing Requirements")</f>
        <v>A Requirements Engineering Methodology for Real-Time Processing Requirements</v>
      </c>
      <c r="F164" s="7" t="str">
        <f>IFERROR(__xludf.DUMMYFUNCTION("""COMPUTED_VALUE"""),"TSE")</f>
        <v>TSE</v>
      </c>
      <c r="G164" s="7" t="str">
        <f>IFERROR(__xludf.DUMMYFUNCTION("""COMPUTED_VALUE"""),"This paper describes a methodology for the generation of software requirements for large, real-time unmanned weapons systems. It describes what needs to be done, how to evaluate the intermediate products, and how to use automated aids to improve the quali"&amp;"ty of the product. An example is provided to illustrate the methodology steps and their products and the benefits. The results of some experimental applications are summarized. Copyright © 1977 by The Institute of Electrical and Electronics Engineers, Inc"&amp;".")</f>
        <v>This paper describes a methodology for the generation of software requirements for large, real-time unmanned weapons systems. It describes what needs to be done, how to evaluate the intermediate products, and how to use automated aids to improve the quality of the product. An example is provided to illustrate the methodology steps and their products and the benefits. The results of some experimental applications are summarized. Copyright © 1977 by The Institute of Electrical and Electronics Engineers, Inc.</v>
      </c>
      <c r="H164" s="8" t="str">
        <f>IFERROR(__xludf.DUMMYFUNCTION("""COMPUTED_VALUE"""),"Ballistic missile defense; methodology; real-time soft-; requirements engineering; software engineering; software requirements; Software Requirements Engineering Methodology (SREM); Software Requirements Engineering Program (SREP); ware")</f>
        <v>Ballistic missile defense; methodology; real-time soft-; requirements engineering; software engineering; software requirements; Software Requirements Engineering Methodology (SREM); Software Requirements Engineering Program (SREP); ware</v>
      </c>
      <c r="I164" s="10" t="b">
        <v>0</v>
      </c>
      <c r="J164" s="10" t="b">
        <v>0</v>
      </c>
      <c r="K164" s="10" t="b">
        <v>0</v>
      </c>
      <c r="L164" s="10" t="b">
        <v>0</v>
      </c>
      <c r="M164" s="10" t="b">
        <v>0</v>
      </c>
      <c r="N164" s="10" t="b">
        <v>0</v>
      </c>
      <c r="O164" s="11" t="b">
        <f t="shared" si="1"/>
        <v>0</v>
      </c>
      <c r="P164" s="16" t="b">
        <v>0</v>
      </c>
      <c r="Q164" s="7"/>
    </row>
    <row r="165">
      <c r="A165" s="5" t="b">
        <v>1</v>
      </c>
      <c r="B165" s="5" t="s">
        <v>199</v>
      </c>
      <c r="C165" s="6" t="str">
        <f>IFERROR(__xludf.DUMMYFUNCTION("""COMPUTED_VALUE"""),"10.1109/32.391380")</f>
        <v>10.1109/32.391380</v>
      </c>
      <c r="D165" s="7" t="str">
        <f>IFERROR(__xludf.DUMMYFUNCTION("""COMPUTED_VALUE"""),"Porter A.A.; Basili V.R.; Votta L.G., Jr.")</f>
        <v>Porter A.A.; Basili V.R.; Votta L.G., Jr.</v>
      </c>
      <c r="E165" s="7" t="str">
        <f>IFERROR(__xludf.DUMMYFUNCTION("""COMPUTED_VALUE"""),"Comparing Detection Methods for Software Requirements Inspections: A Replicated Experiment")</f>
        <v>Comparing Detection Methods for Software Requirements Inspections: A Replicated Experiment</v>
      </c>
      <c r="F165" s="7" t="str">
        <f>IFERROR(__xludf.DUMMYFUNCTION("""COMPUTED_VALUE"""),"TSE")</f>
        <v>TSE</v>
      </c>
      <c r="G165" s="7" t="str">
        <f>IFERROR(__xludf.DUMMYFUNCTION("""COMPUTED_VALUE"""),"Software requirements specifications (SRS) are often validated manually. One such process is inspection, in which several reviewers independently analyze all or part of the specification and search for faults. These faults are then collected at a meeting "&amp;"of the reviewers and author(s). Usually, reviewers use Ad Hoc or Checklist methods to uncover faults. These methods force all reviewers to rely on non-systematic techniques to search for a wide variety of faults. We hypothesize that a Scenario-based metho"&amp;"d, in which each reviewer uses different, systematic techniques to search for different, specific classes of faults, will have a significantly higher success rate. We evaluated this hypothesis using a 3×24 partial factorial, randomized experimental design"&amp;". Forty eight graduate students in computer science participated in the experiment. They were assembled into sixteen, three-person teams. Each team inspected two SRS using some combination of Ad Hoc, Checklist or Scenario methods. For each inspection we p"&amp;"erformed four measurements: 1) individual fault detection rate, 2) team fault detection rate, 3) percentage of faults first identified at the collection meeting (meeting gain rate), and 4) percentage of faults first identified by an individual, but never "&amp;"reported at the collection meeting (meeting loss rate). The experimental results are that 1) the Scenario method had a higher fault detection rate than either Ad Hoc or Checklist methods, 2) Scenario reviewers were more effective at detecting the faults t"&amp;"heir scenarios are designed to uncover, and were no less effective at detecting other faults than both Ad Hoc or Checklist reviewers, 3) Checklist reviewers were no more effective than Ad Hoc reviewers, and 4) Collection meetings produced no net improveme"&amp;"nt in the fault detection rate—meeting gains were offset by meeting losses. © 1995 IEEE")</f>
        <v>Software requirements specifications (SRS) are often validated manually. One such process is inspection, in which several reviewers independently analyze all or part of the specification and search for faults. These faults are then collected at a meeting of the reviewers and author(s). Usually, reviewers use Ad Hoc or Checklist methods to uncover faults. These methods force all reviewers to rely on non-systematic techniques to search for a wide variety of faults. We hypothesize that a Scenario-based method, in which each reviewer uses different, systematic techniques to search for different, specific classes of faults, will have a significantly higher success rate. We evaluated this hypothesis using a 3×24 partial factorial, randomized experimental design. Forty eight graduate students in computer science participated in the experiment. They were assembled into sixteen, three-person teams. Each team inspected two SRS using some combination of Ad Hoc, Checklist or Scenario methods. For each inspection we performed four measurements: 1) individual fault detection rate, 2) team fault detection rate, 3) percentage of faults first identified at the collection meeting (meeting gain rate), and 4) percentage of faults first identified by an individual, but never reported at the collection meeting (meeting loss rate). The experimental results are that 1) the Scenario method had a higher fault detection rate than either Ad Hoc or Checklist methods, 2) Scenario reviewers were more effective at detecting the faults their scenarios are designed to uncover, and were no less effective at detecting other faults than both Ad Hoc or Checklist reviewers, 3) Checklist reviewers were no more effective than Ad Hoc reviewers, and 4) Collection meetings produced no net improvement in the fault detection rate—meeting gains were offset by meeting losses. © 1995 IEEE</v>
      </c>
      <c r="H165" s="8" t="str">
        <f>IFERROR(__xludf.DUMMYFUNCTION("""COMPUTED_VALUE"""),"Controlled experiments; inspections; reading techniques; technique and methodology evaluation")</f>
        <v>Controlled experiments; inspections; reading techniques; technique and methodology evaluation</v>
      </c>
      <c r="I165" s="9" t="b">
        <v>1</v>
      </c>
      <c r="J165" s="9" t="b">
        <v>1</v>
      </c>
      <c r="K165" s="10" t="b">
        <v>0</v>
      </c>
      <c r="L165" s="10" t="b">
        <v>0</v>
      </c>
      <c r="M165" s="10" t="b">
        <v>0</v>
      </c>
      <c r="N165" s="9" t="b">
        <v>1</v>
      </c>
      <c r="O165" s="11" t="b">
        <f t="shared" si="1"/>
        <v>0</v>
      </c>
      <c r="P165" s="16" t="b">
        <v>0</v>
      </c>
      <c r="Q165" s="13" t="s">
        <v>200</v>
      </c>
    </row>
    <row r="166">
      <c r="A166" s="5" t="b">
        <v>1</v>
      </c>
      <c r="B166" s="5" t="s">
        <v>201</v>
      </c>
      <c r="C166" s="6" t="str">
        <f>IFERROR(__xludf.DUMMYFUNCTION("""COMPUTED_VALUE"""),"10.1109/32.44379")</f>
        <v>10.1109/32.44379</v>
      </c>
      <c r="D166" s="7" t="str">
        <f>IFERROR(__xludf.DUMMYFUNCTION("""COMPUTED_VALUE"""),"Kelly J.P.J.; Murphy S.C.")</f>
        <v>Kelly J.P.J.; Murphy S.C.</v>
      </c>
      <c r="E166" s="7" t="str">
        <f>IFERROR(__xludf.DUMMYFUNCTION("""COMPUTED_VALUE"""),"Achieving Dependability Throughout the Development Process: A Distributed Software Experiment")</f>
        <v>Achieving Dependability Throughout the Development Process: A Distributed Software Experiment</v>
      </c>
      <c r="F166" s="7" t="str">
        <f>IFERROR(__xludf.DUMMYFUNCTION("""COMPUTED_VALUE"""),"TSE")</f>
        <v>TSE</v>
      </c>
      <c r="G166" s="7" t="str">
        <f>IFERROR(__xludf.DUMMYFUNCTION("""COMPUTED_VALUE"""),"For more than ten years, design diversity experiments have been conducted to study fault-tolerant multiple-version software systems. Design diversity is the approach by which multiple versions of a software system are independently developed. Our current "&amp;"focus is on distributed software engineering techniques and methods for improving the specification and testing phases. With multiversion development, multiple implementations allow the use of an automated approac li to testing called Back-to-Back (BIB) T"&amp;"esting in which the outputs are compared to detect any discrepancies. This obviates the need to determine the correct response a priori, allowing automated execution of a large number of test cases. However, a specification defect may lead to similar erro"&amp;"rs in the multiple versions and the underlying fault may not be detected with a B/B testing approach. The use of diverse formal specifications is a proposed solution to this problem since defects in independently-written specifications are likely to be di"&amp;"fferent. To examine these issues, an experiment was performed using the design diversity approach in the specification, design, implementation, and testing of distributed software. In the experiment, three diverse formal specifications were used to produc"&amp;"e multiple independent implementations of a distributed communication protocol in Ada. Another important aspect of this study was the investigation of problems encountered in building complex concurrent processing systems in Ada. Many pitfalls were discov"&amp;"ered in mapping the formal specifications into Ada implementations. In the experiment, the process of controlling human factors, collecting accurate and appropriate data, and drawing valid conclusions was a continuing challenge. © 1990 IEEE")</f>
        <v>For more than ten years, design diversity experiments have been conducted to study fault-tolerant multiple-version software systems. Design diversity is the approach by which multiple versions of a software system are independently developed. Our current focus is on distributed software engineering techniques and methods for improving the specification and testing phases. With multiversion development, multiple implementations allow the use of an automated approac li to testing called Back-to-Back (BIB) Testing in which the outputs are compared to detect any discrepancies. This obviates the need to determine the correct response a priori, allowing automated execution of a large number of test cases. However, a specification defect may lead to similar errors in the multiple versions and the underlying fault may not be detected with a B/B testing approach. The use of diverse formal specifications is a proposed solution to this problem since defects in independently-written specifications are likely to be different. To examine these issues, an experiment was performed using the design diversity approach in the specification, design, implementation, and testing of distributed software. In the experiment, three diverse formal specifications were used to produce multiple independent implementations of a distributed communication protocol in Ada. Another important aspect of this study was the investigation of problems encountered in building complex concurrent processing systems in Ada. Many pitfalls were discovered in mapping the formal specifications into Ada implementations. In the experiment, the process of controlling human factors, collecting accurate and appropriate data, and drawing valid conclusions was a continuing challenge. © 1990 IEEE</v>
      </c>
      <c r="H166" s="8" t="str">
        <f>IFERROR(__xludf.DUMMYFUNCTION("""COMPUTED_VALUE"""),"Back-to-back testing; Comparison testing; Design diversity; Distributed software engineering; Experimentation; Fault-tolerant software; Formal specifications; Multiversion software; N-version programming")</f>
        <v>Back-to-back testing; Comparison testing; Design diversity; Distributed software engineering; Experimentation; Fault-tolerant software; Formal specifications; Multiversion software; N-version programming</v>
      </c>
      <c r="I166" s="9" t="b">
        <v>1</v>
      </c>
      <c r="J166" s="9" t="b">
        <v>1</v>
      </c>
      <c r="K166" s="9" t="b">
        <v>1</v>
      </c>
      <c r="L166" s="10" t="b">
        <v>0</v>
      </c>
      <c r="M166" s="10" t="b">
        <v>0</v>
      </c>
      <c r="N166" s="10" t="b">
        <v>0</v>
      </c>
      <c r="O166" s="11" t="b">
        <f t="shared" si="1"/>
        <v>1</v>
      </c>
      <c r="P166" s="12" t="b">
        <v>0</v>
      </c>
      <c r="Q166" s="7"/>
    </row>
    <row r="167">
      <c r="A167" s="5" t="b">
        <v>1</v>
      </c>
      <c r="B167" s="5" t="s">
        <v>202</v>
      </c>
      <c r="C167" s="6" t="str">
        <f>IFERROR(__xludf.DUMMYFUNCTION("""COMPUTED_VALUE"""),"10.1109/32.295893")</f>
        <v>10.1109/32.295893</v>
      </c>
      <c r="D167" s="7" t="str">
        <f>IFERROR(__xludf.DUMMYFUNCTION("""COMPUTED_VALUE"""),"Howden W.E.")</f>
        <v>Howden W.E.</v>
      </c>
      <c r="E167" s="7" t="str">
        <f>IFERROR(__xludf.DUMMYFUNCTION("""COMPUTED_VALUE"""),"QDA—A Method For Systematic Informal Program Analysis")</f>
        <v>QDA—A Method For Systematic Informal Program Analysis</v>
      </c>
      <c r="F167" s="7" t="str">
        <f>IFERROR(__xludf.DUMMYFUNCTION("""COMPUTED_VALUE"""),"TSE")</f>
        <v>TSE</v>
      </c>
      <c r="G167" s="7" t="str">
        <f>IFERROR(__xludf.DUMMYFUNCTION("""COMPUTED_VALUE"""),"Formal verification of program properties may be infeasible or impractical, and informal analysis may be sufficient. Informal analysis involves the informal acceptance, by inspection, of the validity of program properties or steps in an analysis. Informal"&amp;" analysis may also involve abstraction. Abstraction can be used to eliminate details and concentrate on more general properties. Abstraction will result in informal analysis if it includes the use of undefined properties. A systematic, informal method for"&amp;" analysis called ODA (Ouick Defect Analysis) is described. QDA is a comments analysis process based on facts and hypotheses. Facts are used to create an abstract program model, and hypotheses are selected, nonobvious program properties which are identifie"&amp;"d as needing verification. Hypotheses are proved from the facts that define an abstraction. QDA is hypothesis-driven in the sense that only those parts of an abstraction that are needed to prove hypotheses are created. The QDA approach was applied to a pr"&amp;"eviously well tested operational flight program (OFP). The QDA method and the results of the OFP experiment are presented. The problems of incomplete or unsound informal analysis are analyzed, the relationship of QDA to other analysis methods is discussed"&amp;", and suggested improvements to the QDA method are described. © 1994 IEEE.")</f>
        <v>Formal verification of program properties may be infeasible or impractical, and informal analysis may be sufficient. Informal analysis involves the informal acceptance, by inspection, of the validity of program properties or steps in an analysis. Informal analysis may also involve abstraction. Abstraction can be used to eliminate details and concentrate on more general properties. Abstraction will result in informal analysis if it includes the use of undefined properties. A systematic, informal method for analysis called ODA (Ouick Defect Analysis) is described. QDA is a comments analysis process based on facts and hypotheses. Facts are used to create an abstract program model, and hypotheses are selected, nonobvious program properties which are identified as needing verification. Hypotheses are proved from the facts that define an abstraction. QDA is hypothesis-driven in the sense that only those parts of an abstraction that are needed to prove hypotheses are created. The QDA approach was applied to a previously well tested operational flight program (OFP). The QDA method and the results of the OFP experiment are presented. The problems of incomplete or unsound informal analysis are analyzed, the relationship of QDA to other analysis methods is discussed, and suggested improvements to the QDA method are described. © 1994 IEEE.</v>
      </c>
      <c r="H167" s="8" t="str">
        <f>IFERROR(__xludf.DUMMYFUNCTION("""COMPUTED_VALUE"""),"Analysis; annotations; code reading; comments; informal; inspections; specifications; types; understanding; verification")</f>
        <v>Analysis; annotations; code reading; comments; informal; inspections; specifications; types; understanding; verification</v>
      </c>
      <c r="I167" s="10" t="b">
        <v>0</v>
      </c>
      <c r="J167" s="10" t="b">
        <v>0</v>
      </c>
      <c r="K167" s="10" t="b">
        <v>0</v>
      </c>
      <c r="L167" s="10" t="b">
        <v>0</v>
      </c>
      <c r="M167" s="10" t="b">
        <v>0</v>
      </c>
      <c r="N167" s="10" t="b">
        <v>0</v>
      </c>
      <c r="O167" s="11" t="b">
        <f t="shared" si="1"/>
        <v>0</v>
      </c>
      <c r="P167" s="16" t="b">
        <v>0</v>
      </c>
      <c r="Q167" s="7"/>
    </row>
    <row r="168">
      <c r="A168" s="5" t="b">
        <v>1</v>
      </c>
      <c r="B168" s="5" t="s">
        <v>203</v>
      </c>
      <c r="C168" s="6" t="str">
        <f>IFERROR(__xludf.DUMMYFUNCTION("""COMPUTED_VALUE"""),"10.1109/32.44380")</f>
        <v>10.1109/32.44380</v>
      </c>
      <c r="D168" s="7" t="str">
        <f>IFERROR(__xludf.DUMMYFUNCTION("""COMPUTED_VALUE"""),"Arlat J.; Aguera M.; Amat L.; Crouzet Y.; Fabre J.-C.; Laprie J.-C.; Martins E.; Powell D.")</f>
        <v>Arlat J.; Aguera M.; Amat L.; Crouzet Y.; Fabre J.-C.; Laprie J.-C.; Martins E.; Powell D.</v>
      </c>
      <c r="E168" s="7" t="str">
        <f>IFERROR(__xludf.DUMMYFUNCTION("""COMPUTED_VALUE"""),"Fault Injection for Dependability Validation: A Methodology and Some Applications")</f>
        <v>Fault Injection for Dependability Validation: A Methodology and Some Applications</v>
      </c>
      <c r="F168" s="7" t="str">
        <f>IFERROR(__xludf.DUMMYFUNCTION("""COMPUTED_VALUE"""),"TSE")</f>
        <v>TSE</v>
      </c>
      <c r="G168" s="7" t="str">
        <f>IFERROR(__xludf.DUMMYFUNCTION("""COMPUTED_VALUE"""),"This paper addresses the problem of the dependability validation of fanlt-tolerant computing systems and more specifically the validation of the fault-tolerance mechanisms. The presented approach is based on the use of fault-injection at the physical leve"&amp;"l on a hardware/software prototype of the considered system. The place of this approach in a validation directed design process, as well as its place with respect to related works on fault-injection, is clearly identified. The major requirements and probl"&amp;"ems related to the development and application of a validation methodology based on fault injection are presented and discussed. Emphasis is put on the definition, analysis, and use of the experimental dependability measures that can be obtained. The prop"&amp;"osed methodology has been implemented through the realization of a general pin-level fault injection tool (MESSALINE) and its usefulness is demonstrated by the application of MESSALINE to the experimental validation of two systems: 1) a subsystem of a cen"&amp;"tralized computerized inerlocking system for railway control applications and 2) a distributed system corresponding to the current implementation of the dependable communication system of the ESPRIT Delta-4 Project. © 1990 IEEE")</f>
        <v>This paper addresses the problem of the dependability validation of fanlt-tolerant computing systems and more specifically the validation of the fault-tolerance mechanisms. The presented approach is based on the use of fault-injection at the physical level on a hardware/software prototype of the considered system. The place of this approach in a validation directed design process, as well as its place with respect to related works on fault-injection, is clearly identified. The major requirements and problems related to the development and application of a validation methodology based on fault injection are presented and discussed. Emphasis is put on the definition, analysis, and use of the experimental dependability measures that can be obtained. The proposed methodology has been implemented through the realization of a general pin-level fault injection tool (MESSALINE) and its usefulness is demonstrated by the application of MESSALINE to the experimental validation of two systems: 1) a subsystem of a centralized computerized inerlocking system for railway control applications and 2) a distributed system corresponding to the current implementation of the dependable communication system of the ESPRIT Delta-4 Project. © 1990 IEEE</v>
      </c>
      <c r="H168" s="8" t="str">
        <f>IFERROR(__xludf.DUMMYFUNCTION("""COMPUTED_VALUE"""),"Coverage evaluation; Experimental dependability validation; Fault simulation; Fault-tolerant computing systems; Fault/error injection")</f>
        <v>Coverage evaluation; Experimental dependability validation; Fault simulation; Fault-tolerant computing systems; Fault/error injection</v>
      </c>
      <c r="I168" s="10" t="b">
        <v>0</v>
      </c>
      <c r="J168" s="10" t="b">
        <v>0</v>
      </c>
      <c r="K168" s="10" t="b">
        <v>0</v>
      </c>
      <c r="L168" s="10" t="b">
        <v>0</v>
      </c>
      <c r="M168" s="10" t="b">
        <v>0</v>
      </c>
      <c r="N168" s="10" t="b">
        <v>0</v>
      </c>
      <c r="O168" s="11" t="b">
        <f t="shared" si="1"/>
        <v>0</v>
      </c>
      <c r="P168" s="16" t="b">
        <v>0</v>
      </c>
      <c r="Q168" s="7"/>
    </row>
    <row r="169">
      <c r="A169" s="5" t="b">
        <v>1</v>
      </c>
      <c r="B169" s="5" t="s">
        <v>204</v>
      </c>
      <c r="C169" s="6" t="str">
        <f>IFERROR(__xludf.DUMMYFUNCTION("""COMPUTED_VALUE"""),"10.1109/32.90449")</f>
        <v>10.1109/32.90449</v>
      </c>
      <c r="D169" s="7" t="str">
        <f>IFERROR(__xludf.DUMMYFUNCTION("""COMPUTED_VALUE"""),"Hahn Udo; Jarke Matthias; Rose Thomas")</f>
        <v>Hahn Udo; Jarke Matthias; Rose Thomas</v>
      </c>
      <c r="E169" s="7" t="str">
        <f>IFERROR(__xludf.DUMMYFUNCTION("""COMPUTED_VALUE"""),"Teamwork support in a knowledge-based information systems environment")</f>
        <v>Teamwork support in a knowledge-based information systems environment</v>
      </c>
      <c r="F169" s="7" t="str">
        <f>IFERROR(__xludf.DUMMYFUNCTION("""COMPUTED_VALUE"""),"TSE")</f>
        <v>TSE</v>
      </c>
      <c r="G169" s="7" t="str">
        <f>IFERROR(__xludf.DUMMYFUNCTION("""COMPUTED_VALUE"""),"Development assistance for interactive database applications (DAIDA) is an experimental environment for the knowledge-assisted development and maintenance of database-intensive information systems from object-oriented requirements and specifications. With"&amp;"in the DAIDA framework, an approach to integrate different tasks encountered in software projects via a conceptual modeling strategy has been developed. Emphasis is put on integrating the semantics of the software development domain with aspects of group "&amp;"work, on social strategies to negotiate problems by argumentation, and on assigning responsibilities for task fulfillment by way of contracting. The implementation of a prototype is demonstrated with a sample session.")</f>
        <v>Development assistance for interactive database applications (DAIDA) is an experimental environment for the knowledge-assisted development and maintenance of database-intensive information systems from object-oriented requirements and specifications. Within the DAIDA framework, an approach to integrate different tasks encountered in software projects via a conceptual modeling strategy has been developed. Emphasis is put on integrating the semantics of the software development domain with aspects of group work, on social strategies to negotiate problems by argumentation, and on assigning responsibilities for task fulfillment by way of contracting. The implementation of a prototype is demonstrated with a sample session.</v>
      </c>
      <c r="H169" s="8"/>
      <c r="I169" s="10" t="b">
        <v>0</v>
      </c>
      <c r="J169" s="9" t="b">
        <v>1</v>
      </c>
      <c r="K169" s="9" t="b">
        <v>1</v>
      </c>
      <c r="L169" s="10" t="b">
        <v>0</v>
      </c>
      <c r="M169" s="10" t="b">
        <v>0</v>
      </c>
      <c r="N169" s="10" t="b">
        <v>0</v>
      </c>
      <c r="O169" s="11" t="b">
        <f t="shared" si="1"/>
        <v>0</v>
      </c>
      <c r="P169" s="16" t="b">
        <v>0</v>
      </c>
      <c r="Q169" s="7"/>
    </row>
    <row r="170">
      <c r="A170" s="5" t="b">
        <v>1</v>
      </c>
      <c r="B170" s="5" t="s">
        <v>205</v>
      </c>
      <c r="C170" s="6" t="str">
        <f>IFERROR(__xludf.DUMMYFUNCTION("""COMPUTED_VALUE"""),"10.1109/TSE.1987.233507")</f>
        <v>10.1109/TSE.1987.233507</v>
      </c>
      <c r="D170" s="7" t="str">
        <f>IFERROR(__xludf.DUMMYFUNCTION("""COMPUTED_VALUE"""),"Bershad B.N.; Ching D.T.; Lazowska E.D.; Sanislo J.; Schwartz M.")</f>
        <v>Bershad B.N.; Ching D.T.; Lazowska E.D.; Sanislo J.; Schwartz M.</v>
      </c>
      <c r="E170" s="7" t="str">
        <f>IFERROR(__xludf.DUMMYFUNCTION("""COMPUTED_VALUE"""),"A Remote Procedure Call Facility for Interconnecting Heterogeneous Computer Systems")</f>
        <v>A Remote Procedure Call Facility for Interconnecting Heterogeneous Computer Systems</v>
      </c>
      <c r="F170" s="7" t="str">
        <f>IFERROR(__xludf.DUMMYFUNCTION("""COMPUTED_VALUE"""),"TSE")</f>
        <v>TSE</v>
      </c>
      <c r="G170" s="7" t="str">
        <f>IFERROR(__xludf.DUMMYFUNCTION("""COMPUTED_VALUE"""),"Heterogeneity in hardware and software is an inevitable consequence of experimental computer research. At the University of Washington, the Heterogeneous Computer Systems (HCS) project is a major research and development effort whose goal is to simplify t"&amp;"he interconnection of heterogeneous computer systems. A cornerstone of our effort is our HCS Remote Procedure Call (HRPC) facility. The HRPC design involves the careful specification of clean interfaces between the five principal components of an Rpcfacil"&amp;"ity: the stubs, which are interposed between the client (also the server) and the runtime support; the binding protocol, which allows a client to locate a particular server; the data representation, which determines how data values are communicated; the t"&amp;"ransport protocol, which determines how data is carried from one host to another; and the control protocol, used internally by the RPC facility to track the state of a call. An RPC client (or server) and its associated stub can view each of the remaining "&amp;"four components as a “black box.” These black boxes can be “mixed and matched.” The set of protocols to be used is determined dynamically at bind time-long after the client (or server) has been written, the stub has been generated, and the two have been l"&amp;"inked. This design meets two key objectives: •First, we are able to emulate existing remote procedure callfacilities by providing appropriate black boxes. This allows us to communicate with systems we cannot (or do not wish to) modify. This is a capabilit"&amp;"y that is unique to the HRPC facility. • Second, we are able to employ existing software (e.g., transport protocols) extensively in building an RPC facility for a new system that does not have a native facility. Other attempts at heterogeneous RPC facilit"&amp;"ies allow this, but with much less breadth than our design. This paper presents the objectives of the HCS project and of the HRPC facility, describes the design of HRPC, and presents our experiences with our current implementation, including a discussion "&amp;"of applications and performance. Copyright © 1987 by the Institute of Electrical and Electronics Engineers, Inc.")</f>
        <v>Heterogeneity in hardware and software is an inevitable consequence of experimental computer research. At the University of Washington, the Heterogeneous Computer Systems (HCS) project is a major research and development effort whose goal is to simplify the interconnection of heterogeneous computer systems. A cornerstone of our effort is our HCS Remote Procedure Call (HRPC) facility. The HRPC design involves the careful specification of clean interfaces between the five principal components of an Rpcfacility: the stubs, which are interposed between the client (also the server) and the runtime support; the binding protocol, which allows a client to locate a particular server; the data representation, which determines how data values are communicated; the transport protocol, which determines how data is carried from one host to another; and the control protocol, used internally by the RPC facility to track the state of a call. An RPC client (or server) and its associated stub can view each of the remaining four components as a “black box.” These black boxes can be “mixed and matched.” The set of protocols to be used is determined dynamically at bind time-long after the client (or server) has been written, the stub has been generated, and the two have been linked. This design meets two key objectives: •First, we are able to emulate existing remote procedure callfacilities by providing appropriate black boxes. This allows us to communicate with systems we cannot (or do not wish to) modify. This is a capability that is unique to the HRPC facility. • Second, we are able to employ existing software (e.g., transport protocols) extensively in building an RPC facility for a new system that does not have a native facility. Other attempts at heterogeneous RPC facilities allow this, but with much less breadth than our design. This paper presents the objectives of the HCS project and of the HRPC facility, describes the design of HRPC, and presents our experiences with our current implementation, including a discussion of applications and performance. Copyright © 1987 by the Institute of Electrical and Electronics Engineers, Inc.</v>
      </c>
      <c r="H170" s="8" t="str">
        <f>IFERROR(__xludf.DUMMYFUNCTION("""COMPUTED_VALUE"""),"Distributed computer systems; heterogeneous computer systems; remote procedure call")</f>
        <v>Distributed computer systems; heterogeneous computer systems; remote procedure call</v>
      </c>
      <c r="I170" s="10" t="b">
        <v>0</v>
      </c>
      <c r="J170" s="10" t="b">
        <v>0</v>
      </c>
      <c r="K170" s="10" t="b">
        <v>0</v>
      </c>
      <c r="L170" s="10" t="b">
        <v>0</v>
      </c>
      <c r="M170" s="10" t="b">
        <v>0</v>
      </c>
      <c r="N170" s="10" t="b">
        <v>0</v>
      </c>
      <c r="O170" s="11" t="b">
        <f t="shared" si="1"/>
        <v>0</v>
      </c>
      <c r="P170" s="16" t="b">
        <v>0</v>
      </c>
      <c r="Q170" s="7"/>
    </row>
    <row r="171">
      <c r="A171" s="5" t="b">
        <v>1</v>
      </c>
      <c r="B171" s="5" t="s">
        <v>206</v>
      </c>
      <c r="C171" s="6" t="str">
        <f>IFERROR(__xludf.DUMMYFUNCTION("""COMPUTED_VALUE"""),"10.1109/TSE.1978.231515")</f>
        <v>10.1109/TSE.1978.231515</v>
      </c>
      <c r="D171" s="7" t="str">
        <f>IFERROR(__xludf.DUMMYFUNCTION("""COMPUTED_VALUE"""),"Goullon H.; Isle R.; Löhr K.-P.")</f>
        <v>Goullon H.; Isle R.; Löhr K.-P.</v>
      </c>
      <c r="E171" s="7" t="str">
        <f>IFERROR(__xludf.DUMMYFUNCTION("""COMPUTED_VALUE"""),"Dynamic Restructuring in an Experimental Operating System")</f>
        <v>Dynamic Restructuring in an Experimental Operating System</v>
      </c>
      <c r="F171" s="7" t="str">
        <f>IFERROR(__xludf.DUMMYFUNCTION("""COMPUTED_VALUE"""),"TSE")</f>
        <v>TSE</v>
      </c>
      <c r="G171" s="7" t="str">
        <f>IFERROR(__xludf.DUMMYFUNCTION("""COMPUTED_VALUE"""),"A well-structured system can easily be understood and modified. Moreover, it may lend itself even to dynamic modification: under special conditions, the possibility of changing system parts while the system is running can be provided at little additional "&amp;"cost. Our approach to the design of dynamically modifiable systems is based on the principle of data abstraction applied to types and modules. It allows for dynamic replacement or restructuring of a module's implementation if this does not affect its spec"&amp;"ification (or if it leads to some kind of compatible specification). The fundamental principles of such “replugging” are exhibited, and the implementation of a replugging facility for an experimental operating system on a PDP-11/40E is described. Copyrigh"&amp;"t © 1978 by The Institute of Electrical and Electronics Engineers, Inc.")</f>
        <v>A well-structured system can easily be understood and modified. Moreover, it may lend itself even to dynamic modification: under special conditions, the possibility of changing system parts while the system is running can be provided at little additional cost. Our approach to the design of dynamically modifiable systems is based on the principle of data abstraction applied to types and modules. It allows for dynamic replacement or restructuring of a module's implementation if this does not affect its specification (or if it leads to some kind of compatible specification). The fundamental principles of such “replugging” are exhibited, and the implementation of a replugging facility for an experimental operating system on a PDP-11/40E is described. Copyright © 1978 by The Institute of Electrical and Electronics Engineers, Inc.</v>
      </c>
      <c r="H171" s="8" t="str">
        <f>IFERROR(__xludf.DUMMYFUNCTION("""COMPUTED_VALUE"""),"Data abstraction; domain architecture; dynamic address spaces; dynamic modification; modules; replugging")</f>
        <v>Data abstraction; domain architecture; dynamic address spaces; dynamic modification; modules; replugging</v>
      </c>
      <c r="I171" s="10" t="b">
        <v>0</v>
      </c>
      <c r="J171" s="10" t="b">
        <v>0</v>
      </c>
      <c r="K171" s="10" t="b">
        <v>0</v>
      </c>
      <c r="L171" s="10" t="b">
        <v>0</v>
      </c>
      <c r="M171" s="10" t="b">
        <v>0</v>
      </c>
      <c r="N171" s="10" t="b">
        <v>0</v>
      </c>
      <c r="O171" s="11" t="b">
        <f t="shared" si="1"/>
        <v>0</v>
      </c>
      <c r="P171" s="16" t="b">
        <v>0</v>
      </c>
      <c r="Q171" s="7"/>
    </row>
    <row r="172">
      <c r="A172" s="5" t="b">
        <v>1</v>
      </c>
      <c r="B172" s="5" t="s">
        <v>207</v>
      </c>
      <c r="C172" s="6" t="str">
        <f>IFERROR(__xludf.DUMMYFUNCTION("""COMPUTED_VALUE"""),"10.1109/32.6180")</f>
        <v>10.1109/32.6180</v>
      </c>
      <c r="D172" s="7" t="str">
        <f>IFERROR(__xludf.DUMMYFUNCTION("""COMPUTED_VALUE"""),"Nosek J.T.; Schwartz R.B.")</f>
        <v>Nosek J.T.; Schwartz R.B.</v>
      </c>
      <c r="E172" s="7" t="str">
        <f>IFERROR(__xludf.DUMMYFUNCTION("""COMPUTED_VALUE"""),"User Validation of Information System Requirements: Some Empirical Results")</f>
        <v>User Validation of Information System Requirements: Some Empirical Results</v>
      </c>
      <c r="F172" s="7" t="str">
        <f>IFERROR(__xludf.DUMMYFUNCTION("""COMPUTED_VALUE"""),"TSE")</f>
        <v>TSE</v>
      </c>
      <c r="G172" s="7" t="str">
        <f>IFERROR(__xludf.DUMMYFUNCTION("""COMPUTED_VALUE"""),"While validation of user requirements has become an important goal for information system designers, very little empirical research has been done in this area. Many methodologies have been presented as the best procedures for achieving user validation of "&amp;"design. This paper looks at four of these methodologies in four different experimental settings. In the four experiments the following treatments were examined: HIPO versus system flowcharts, DFD versus narrative, DFD versus Warnier-Orr diagrams, and DFD "&amp;"versus HIPO. The main result of all four experiments was that choice of design methodology had no effect on the level of user understanding of system requirements. © 1988 IEEE")</f>
        <v>While validation of user requirements has become an important goal for information system designers, very little empirical research has been done in this area. Many methodologies have been presented as the best procedures for achieving user validation of design. This paper looks at four of these methodologies in four different experimental settings. In the four experiments the following treatments were examined: HIPO versus system flowcharts, DFD versus narrative, DFD versus Warnier-Orr diagrams, and DFD versus HIPO. The main result of all four experiments was that choice of design methodology had no effect on the level of user understanding of system requirements. © 1988 IEEE</v>
      </c>
      <c r="H172" s="8" t="str">
        <f>IFERROR(__xludf.DUMMYFUNCTION("""COMPUTED_VALUE"""),"Empirical research; information systems; requirements analysis; software engineering; structured design methodologies; user validation")</f>
        <v>Empirical research; information systems; requirements analysis; software engineering; structured design methodologies; user validation</v>
      </c>
      <c r="I172" s="9" t="b">
        <v>1</v>
      </c>
      <c r="J172" s="9" t="b">
        <v>1</v>
      </c>
      <c r="K172" s="9" t="b">
        <v>1</v>
      </c>
      <c r="L172" s="10" t="b">
        <v>0</v>
      </c>
      <c r="M172" s="10" t="b">
        <v>0</v>
      </c>
      <c r="N172" s="10" t="b">
        <v>0</v>
      </c>
      <c r="O172" s="11" t="b">
        <f t="shared" si="1"/>
        <v>1</v>
      </c>
      <c r="P172" s="12" t="b">
        <v>0</v>
      </c>
      <c r="Q172" s="13"/>
    </row>
    <row r="173">
      <c r="A173" s="5" t="b">
        <v>1</v>
      </c>
      <c r="B173" s="5" t="s">
        <v>208</v>
      </c>
      <c r="C173" s="6" t="str">
        <f>IFERROR(__xludf.DUMMYFUNCTION("""COMPUTED_VALUE"""),"10.1109/32.4669")</f>
        <v>10.1109/32.4669</v>
      </c>
      <c r="D173" s="7" t="str">
        <f>IFERROR(__xludf.DUMMYFUNCTION("""COMPUTED_VALUE"""),"Schwan K.; Ramnath R.; Vasudevan S.; Ogle D.")</f>
        <v>Schwan K.; Ramnath R.; Vasudevan S.; Ogle D.</v>
      </c>
      <c r="E173" s="7" t="str">
        <f>IFERROR(__xludf.DUMMYFUNCTION("""COMPUTED_VALUE"""),"A Language and System for the Construction and Tuning of Parallel Programs")</f>
        <v>A Language and System for the Construction and Tuning of Parallel Programs</v>
      </c>
      <c r="F173" s="7" t="str">
        <f>IFERROR(__xludf.DUMMYFUNCTION("""COMPUTED_VALUE"""),"TSE")</f>
        <v>TSE</v>
      </c>
      <c r="G173" s="7" t="str">
        <f>IFERROR(__xludf.DUMMYFUNCTION("""COMPUTED_VALUE"""),"The programming of efficient parallel software typically requires extensive experimentation with program prototypes. To facilitate such experimentation, any programming system that supports rapid prototyping of parallel programs should provide high-level "&amp;"language primitives with which programs can be explicitly, statically, or dynamically tuned with respect to performance and reliability. When using such primitives, programmers should not need to interact explicitly or even be aware of the different softw"&amp;"are tools involved in program construction and tuning, such as compilers, linkers, and loaders. In addition, such language primitives should be able to refer conveniently to the information about the executing program and the parallel hardware required fo"&amp;"r tuning. Such information may include monitoring data about the current or previous program or even hints regarding appropriate tuning decisions. Language primitives and an associated programming system for program tuning are presented in this paper. The"&amp;" primitives and system have been implemented, and have been tested with several parallel applications on a network of UNIX® workstations. © 1988, IEEE. All rights reserved.")</f>
        <v>The programming of efficient parallel software typically requires extensive experimentation with program prototypes. To facilitate such experimentation, any programming system that supports rapid prototyping of parallel programs should provide high-level language primitives with which programs can be explicitly, statically, or dynamically tuned with respect to performance and reliability. When using such primitives, programmers should not need to interact explicitly or even be aware of the different software tools involved in program construction and tuning, such as compilers, linkers, and loaders. In addition, such language primitives should be able to refer conveniently to the information about the executing program and the parallel hardware required for tuning. Such information may include monitoring data about the current or previous program or even hints regarding appropriate tuning decisions. Language primitives and an associated programming system for program tuning are presented in this paper. The primitives and system have been implemented, and have been tested with several parallel applications on a network of UNIX® workstations. © 1988, IEEE. All rights reserved.</v>
      </c>
      <c r="H173" s="8" t="str">
        <f>IFERROR(__xludf.DUMMYFUNCTION("""COMPUTED_VALUE"""),"Adaptation; monitoring; objects; parallel programming; program views; programming environment; tuning")</f>
        <v>Adaptation; monitoring; objects; parallel programming; program views; programming environment; tuning</v>
      </c>
      <c r="I173" s="10" t="b">
        <v>0</v>
      </c>
      <c r="J173" s="10" t="b">
        <v>0</v>
      </c>
      <c r="K173" s="10" t="b">
        <v>0</v>
      </c>
      <c r="L173" s="10" t="b">
        <v>0</v>
      </c>
      <c r="M173" s="10" t="b">
        <v>0</v>
      </c>
      <c r="N173" s="10" t="b">
        <v>0</v>
      </c>
      <c r="O173" s="11" t="b">
        <f t="shared" si="1"/>
        <v>0</v>
      </c>
      <c r="P173" s="16" t="b">
        <v>0</v>
      </c>
      <c r="Q173" s="7"/>
    </row>
    <row r="174">
      <c r="A174" s="5" t="b">
        <v>1</v>
      </c>
      <c r="B174" s="5" t="s">
        <v>209</v>
      </c>
      <c r="C174" s="6" t="str">
        <f>IFERROR(__xludf.DUMMYFUNCTION("""COMPUTED_VALUE"""),"10.1109/TSE.1986.6312925")</f>
        <v>10.1109/TSE.1986.6312925</v>
      </c>
      <c r="D174" s="7" t="str">
        <f>IFERROR(__xludf.DUMMYFUNCTION("""COMPUTED_VALUE"""),"Dunham J.R.")</f>
        <v>Dunham J.R.</v>
      </c>
      <c r="E174" s="7" t="str">
        <f>IFERROR(__xludf.DUMMYFUNCTION("""COMPUTED_VALUE"""),"Experiments in Software Reliability: Life-Critical Applications")</f>
        <v>Experiments in Software Reliability: Life-Critical Applications</v>
      </c>
      <c r="F174" s="7" t="str">
        <f>IFERROR(__xludf.DUMMYFUNCTION("""COMPUTED_VALUE"""),"TSE")</f>
        <v>TSE</v>
      </c>
      <c r="G174" s="7" t="str">
        <f>IFERROR(__xludf.DUMMYFUNCTION("""COMPUTED_VALUE"""),"Digital computers are being used more frequently for pro- cess control applications in which the cost of system failure is high. Consideration of the potentially life-threatening risk, resulting from the high degree of functionality being ascribed to the "&amp;"software components of these systems, has stimulated the recommendation of various designs for tolerating software faults. Such designs are not panaceas, for they still entail—as did the fault intolerant designs they are superceding-an unknown probability"&amp;" of failure. The paper discusses four reliability data gathering experiments which were conducted using a small sample of programs for two problems having ultrareliability requirements, n-version programming for fault detection, and repetitive run modelin"&amp;"g for failures and fault rate estimation. The experimental results agree with those of Nagel and Skrivan in that the program error rates suggest an approximate log-linear pattern and the individual faults occured with significantly different error rates. "&amp;"Additional analysis of the experimental data raises new questions concerning the phenomenon of interacting faults. This phenomenon may provide one explanation for software reliability decay. The fourth experiment underscored the difficulty in distinguishi"&amp;"ng between observations of deficiencies in the design of the algorithm and observations of software faults for real-time process control software. These experiments are a part of a program of serial experiments being pursued by the System Validation Metho"&amp;"ds of NASA-Langley Research Center to find a means of credibly performing reliability evaluations of flight control software. © 1986 IEEE")</f>
        <v>Digital computers are being used more frequently for pro- cess control applications in which the cost of system failure is high. Consideration of the potentially life-threatening risk, resulting from the high degree of functionality being ascribed to the software components of these systems, has stimulated the recommendation of various designs for tolerating software faults. Such designs are not panaceas, for they still entail—as did the fault intolerant designs they are superceding-an unknown probability of failure. The paper discusses four reliability data gathering experiments which were conducted using a small sample of programs for two problems having ultrareliability requirements, n-version programming for fault detection, and repetitive run modeling for failures and fault rate estimation. The experimental results agree with those of Nagel and Skrivan in that the program error rates suggest an approximate log-linear pattern and the individual faults occured with significantly different error rates. Additional analysis of the experimental data raises new questions concerning the phenomenon of interacting faults. This phenomenon may provide one explanation for software reliability decay. The fourth experiment underscored the difficulty in distinguishing between observations of deficiencies in the design of the algorithm and observations of software faults for real-time process control software. These experiments are a part of a program of serial experiments being pursued by the System Validation Methods of NASA-Langley Research Center to find a means of credibly performing reliability evaluations of flight control software. © 1986 IEEE</v>
      </c>
      <c r="H174" s="8" t="str">
        <f>IFERROR(__xludf.DUMMYFUNCTION("""COMPUTED_VALUE"""),"experiments; Life-critical software; real-time software; software; software modeling and measurement; software reliability")</f>
        <v>experiments; Life-critical software; real-time software; software; software modeling and measurement; software reliability</v>
      </c>
      <c r="I174" s="10" t="b">
        <v>0</v>
      </c>
      <c r="J174" s="10" t="b">
        <v>0</v>
      </c>
      <c r="K174" s="10" t="b">
        <v>0</v>
      </c>
      <c r="L174" s="10" t="b">
        <v>0</v>
      </c>
      <c r="M174" s="10" t="b">
        <v>0</v>
      </c>
      <c r="N174" s="10" t="b">
        <v>0</v>
      </c>
      <c r="O174" s="11" t="b">
        <f t="shared" si="1"/>
        <v>0</v>
      </c>
      <c r="P174" s="16" t="b">
        <v>0</v>
      </c>
      <c r="Q174" s="7"/>
    </row>
    <row r="175">
      <c r="A175" s="5" t="b">
        <v>1</v>
      </c>
      <c r="B175" s="5" t="s">
        <v>210</v>
      </c>
      <c r="C175" s="6" t="str">
        <f>IFERROR(__xludf.DUMMYFUNCTION("""COMPUTED_VALUE"""),"10.1109/TSE.1986.6312924")</f>
        <v>10.1109/TSE.1986.6312924</v>
      </c>
      <c r="D175" s="7" t="str">
        <f>IFERROR(__xludf.DUMMYFUNCTION("""COMPUTED_VALUE"""),"Knight J.C.; Leveson N.G.")</f>
        <v>Knight J.C.; Leveson N.G.</v>
      </c>
      <c r="E175" s="7" t="str">
        <f>IFERROR(__xludf.DUMMYFUNCTION("""COMPUTED_VALUE"""),"An Experimental Evaluation of the Assumption of Independence in Multiversion Programming")</f>
        <v>An Experimental Evaluation of the Assumption of Independence in Multiversion Programming</v>
      </c>
      <c r="F175" s="7" t="str">
        <f>IFERROR(__xludf.DUMMYFUNCTION("""COMPUTED_VALUE"""),"TSE")</f>
        <v>TSE</v>
      </c>
      <c r="G175" s="7" t="str">
        <f>IFERROR(__xludf.DUMMYFUNCTION("""COMPUTED_VALUE"""),"N-version programming has been proposed as a method of incorporating fault tolerance into software. Multiple versions of a program (i.e., “N”) are prepared and executed in parallel. Their outputs are collected and examined by a voter, and, if they are not"&amp;" identical, it is assumed that the majority is correct. This method depends for its reliability improvement on the assumption that programs that have been developed independently will fail independently. In this paper an experiment is described in which t"&amp;"he fundamental axiom is tested. A total of 27 versions of a program were prepared independently from the same specification at two universities and then subjected to one million tests. The results of the tests revealed that the programs were individually "&amp;"extremely reliable but that the number of tests in which more than one program failed was substantially more than expected. The results of these tests are presented along with an analysis of some of the faults that were found in the programs. Background i"&amp;"nformation on the programmers used is also summarized. The conclusion from this experiment is that N-version programming must be used with care and that analysis of its reliability must include the effect of dependent errors. © 1986 IEEE")</f>
        <v>N-version programming has been proposed as a method of incorporating fault tolerance into software. Multiple versions of a program (i.e., “N”) are prepared and executed in parallel. Their outputs are collected and examined by a voter, and, if they are not identical, it is assumed that the majority is correct. This method depends for its reliability improvement on the assumption that programs that have been developed independently will fail independently. In this paper an experiment is described in which the fundamental axiom is tested. A total of 27 versions of a program were prepared independently from the same specification at two universities and then subjected to one million tests. The results of the tests revealed that the programs were individually extremely reliable but that the number of tests in which more than one program failed was substantially more than expected. The results of these tests are presented along with an analysis of some of the faults that were found in the programs. Background information on the programmers used is also summarized. The conclusion from this experiment is that N-version programming must be used with care and that analysis of its reliability must include the effect of dependent errors. © 1986 IEEE</v>
      </c>
      <c r="H175" s="8" t="str">
        <f>IFERROR(__xludf.DUMMYFUNCTION("""COMPUTED_VALUE"""),"Design diversity; fault-tolerant software; multiversion; N-version programming; programming; software reliability")</f>
        <v>Design diversity; fault-tolerant software; multiversion; N-version programming; programming; software reliability</v>
      </c>
      <c r="I175" s="9" t="b">
        <v>1</v>
      </c>
      <c r="J175" s="9" t="b">
        <v>1</v>
      </c>
      <c r="K175" s="9" t="b">
        <v>1</v>
      </c>
      <c r="L175" s="10" t="b">
        <v>0</v>
      </c>
      <c r="M175" s="10" t="b">
        <v>0</v>
      </c>
      <c r="N175" s="9" t="b">
        <v>1</v>
      </c>
      <c r="O175" s="11" t="b">
        <f t="shared" si="1"/>
        <v>0</v>
      </c>
      <c r="P175" s="16" t="b">
        <v>0</v>
      </c>
      <c r="Q175" s="13" t="s">
        <v>211</v>
      </c>
    </row>
    <row r="176">
      <c r="A176" s="5" t="b">
        <v>1</v>
      </c>
      <c r="B176" s="5" t="s">
        <v>212</v>
      </c>
      <c r="C176" s="6" t="str">
        <f>IFERROR(__xludf.DUMMYFUNCTION("""COMPUTED_VALUE"""),"10.1109/32.385970")</f>
        <v>10.1109/32.385970</v>
      </c>
      <c r="D176" s="7" t="str">
        <f>IFERROR(__xludf.DUMMYFUNCTION("""COMPUTED_VALUE"""),"Shaw M.; DeLine R.; Zelesnik G.; Klein D.V.; Ross T.L.; Young D.M.")</f>
        <v>Shaw M.; DeLine R.; Zelesnik G.; Klein D.V.; Ross T.L.; Young D.M.</v>
      </c>
      <c r="E176" s="7" t="str">
        <f>IFERROR(__xludf.DUMMYFUNCTION("""COMPUTED_VALUE"""),"Abstractions for Software Architecture and Tools to Support Them")</f>
        <v>Abstractions for Software Architecture and Tools to Support Them</v>
      </c>
      <c r="F176" s="7" t="str">
        <f>IFERROR(__xludf.DUMMYFUNCTION("""COMPUTED_VALUE"""),"TSE")</f>
        <v>TSE</v>
      </c>
      <c r="G176" s="7" t="str">
        <f>IFERROR(__xludf.DUMMYFUNCTION("""COMPUTED_VALUE"""),"Architectures for software use rich abstractions and idioms to describe system components, the nature of interactions among the components, and the patterns that guide the composition of components into systems. These abstractions are higher level than th"&amp;"e elements usually supported by programming languages and tools. They capture packaging and interaction issues as well as computational functionality. Well-established (if informal) patterns guide architectural design of systems. We sketch a model for def"&amp;"ining architectures and present an implementation of the basic level of that model. Our purpose is to support the abstractions used in practice by software designers. The implementation provides a testbed for experiments with a variety of system construct"&amp;"ion mechanisms. It distinguishes among different types of components and different ways these components can interact. It supports abstract interactions such as data flow and scheduling on the same footing as simple procedure call. It can express and chec"&amp;"k appropriate compatibility restrictions and configuration constraints. It accepts existing code as components, incurring no runtime overhead after initialization. It allows easy incorporation of specifications and associated analysis tools developed else"&amp;"where. The implementation provides a base for extending the notation and validating the model. © 1995 IEEE")</f>
        <v>Architectures for software use rich abstractions and idioms to describe system components, the nature of interactions among the components, and the patterns that guide the composition of components into systems. These abstractions are higher level than the elements usually supported by programming languages and tools. They capture packaging and interaction issues as well as computational functionality. Well-established (if informal) patterns guide architectural design of systems. We sketch a model for defining architectures and present an implementation of the basic level of that model. Our purpose is to support the abstractions used in practice by software designers. The implementation provides a testbed for experiments with a variety of system construction mechanisms. It distinguishes among different types of components and different ways these components can interact. It supports abstract interactions such as data flow and scheduling on the same footing as simple procedure call. It can express and check appropriate compatibility restrictions and configuration constraints. It accepts existing code as components, incurring no runtime overhead after initialization. It allows easy incorporation of specifications and associated analysis tools developed elsewhere. The implementation provides a base for extending the notation and validating the model. © 1995 IEEE</v>
      </c>
      <c r="H176" s="8" t="str">
        <f>IFERROR(__xludf.DUMMYFUNCTION("""COMPUTED_VALUE"""),"architectural abstraction; architecture description language; Software architecture; software engineering; software system organization")</f>
        <v>architectural abstraction; architecture description language; Software architecture; software engineering; software system organization</v>
      </c>
      <c r="I176" s="10" t="b">
        <v>0</v>
      </c>
      <c r="J176" s="10" t="b">
        <v>0</v>
      </c>
      <c r="K176" s="10" t="b">
        <v>0</v>
      </c>
      <c r="L176" s="10" t="b">
        <v>0</v>
      </c>
      <c r="M176" s="10" t="b">
        <v>0</v>
      </c>
      <c r="N176" s="10" t="b">
        <v>0</v>
      </c>
      <c r="O176" s="11" t="b">
        <f t="shared" si="1"/>
        <v>0</v>
      </c>
      <c r="P176" s="16" t="b">
        <v>0</v>
      </c>
      <c r="Q176" s="7"/>
    </row>
    <row r="177">
      <c r="A177" s="5" t="b">
        <v>1</v>
      </c>
      <c r="B177" s="5" t="s">
        <v>213</v>
      </c>
      <c r="C177" s="6" t="str">
        <f>IFERROR(__xludf.DUMMYFUNCTION("""COMPUTED_VALUE"""),"10.1109/32.60292")</f>
        <v>10.1109/32.60292</v>
      </c>
      <c r="D177" s="7" t="str">
        <f>IFERROR(__xludf.DUMMYFUNCTION("""COMPUTED_VALUE"""),"Rubin R.V.; Walker J., II; Golin E.J.")</f>
        <v>Rubin R.V.; Walker J., II; Golin E.J.</v>
      </c>
      <c r="E177" s="7" t="str">
        <f>IFERROR(__xludf.DUMMYFUNCTION("""COMPUTED_VALUE"""),"Early Experience with the Visual Programmer’s WorkBench")</f>
        <v>Early Experience with the Visual Programmer’s WorkBench</v>
      </c>
      <c r="F177" s="7" t="str">
        <f>IFERROR(__xludf.DUMMYFUNCTION("""COMPUTED_VALUE"""),"TSE")</f>
        <v>TSE</v>
      </c>
      <c r="G177" s="7" t="str">
        <f>IFERROR(__xludf.DUMMYFUNCTION("""COMPUTED_VALUE"""),"Diagrams play a central role in software engineering. They are used for specifying design elements such as requirements, concurrent systems, database models and interactive systems. Families of diagrams form visual languages, and creating such diagrams co"&amp;"nstitutes visual programming. The Visual Programmer’s WorkBench (VPW) addresses the rapid synthesis of programming environments for the specification, analysis, and execution of visual programs. A language-based environment for a specific visual language "&amp;"is generated in VPW from a specification of the syntactic structure, the abstract structure, the static semantics and the dynamic semantics of the language. VPW is built around a model of distributed processing based on shared distributed memory. This fra"&amp;"mework is used both in defining the architecture of the environment and for the execution model of visual languages. The Visual Programmer’s WorkBench has been used to experiment with visual programming environments for several visual languages. This pape"&amp;"r describes the design of the Visual Programmer’s Work-Bench and our experience using it to generate a distributed programming environment for a concurrent visual language. © 1990 IEEE")</f>
        <v>Diagrams play a central role in software engineering. They are used for specifying design elements such as requirements, concurrent systems, database models and interactive systems. Families of diagrams form visual languages, and creating such diagrams constitutes visual programming. The Visual Programmer’s WorkBench (VPW) addresses the rapid synthesis of programming environments for the specification, analysis, and execution of visual programs. A language-based environment for a specific visual language is generated in VPW from a specification of the syntactic structure, the abstract structure, the static semantics and the dynamic semantics of the language. VPW is built around a model of distributed processing based on shared distributed memory. This framework is used both in defining the architecture of the environment and for the execution model of visual languages. The Visual Programmer’s WorkBench has been used to experiment with visual programming environments for several visual languages. This paper describes the design of the Visual Programmer’s Work-Bench and our experience using it to generate a distributed programming environment for a concurrent visual language. © 1990 IEEE</v>
      </c>
      <c r="H177" s="8" t="str">
        <f>IFERROR(__xludf.DUMMYFUNCTION("""COMPUTED_VALUE"""),"Distributed programming; program specification; programming environments; visual languages and semantics")</f>
        <v>Distributed programming; program specification; programming environments; visual languages and semantics</v>
      </c>
      <c r="I177" s="10" t="b">
        <v>0</v>
      </c>
      <c r="J177" s="10" t="b">
        <v>0</v>
      </c>
      <c r="K177" s="10" t="b">
        <v>0</v>
      </c>
      <c r="L177" s="10" t="b">
        <v>0</v>
      </c>
      <c r="M177" s="10" t="b">
        <v>0</v>
      </c>
      <c r="N177" s="10" t="b">
        <v>0</v>
      </c>
      <c r="O177" s="11" t="b">
        <f t="shared" si="1"/>
        <v>0</v>
      </c>
      <c r="P177" s="16" t="b">
        <v>0</v>
      </c>
      <c r="Q177" s="7"/>
    </row>
    <row r="178">
      <c r="A178" s="5" t="b">
        <v>1</v>
      </c>
      <c r="B178" s="5" t="s">
        <v>214</v>
      </c>
      <c r="C178" s="6" t="str">
        <f>IFERROR(__xludf.DUMMYFUNCTION("""COMPUTED_VALUE"""),"10.1109/TSE.1981.231114")</f>
        <v>10.1109/TSE.1981.231114</v>
      </c>
      <c r="D178" s="7" t="str">
        <f>IFERROR(__xludf.DUMMYFUNCTION("""COMPUTED_VALUE"""),"Blikle A.J.")</f>
        <v>Blikle A.J.</v>
      </c>
      <c r="E178" s="7" t="str">
        <f>IFERROR(__xludf.DUMMYFUNCTION("""COMPUTED_VALUE"""),"On the Development of Correct Specified Programs")</f>
        <v>On the Development of Correct Specified Programs</v>
      </c>
      <c r="F178" s="7" t="str">
        <f>IFERROR(__xludf.DUMMYFUNCTION("""COMPUTED_VALUE"""),"TSE")</f>
        <v>TSE</v>
      </c>
      <c r="G178" s="7" t="str">
        <f>IFERROR(__xludf.DUMMYFUNCTION("""COMPUTED_VALUE"""),"The paper describes a method of program development which guarantees correctness. Our programs consist of an operational part, called instruction, and a specification. Both these parts aresubject to the development and the refinement process. The specific"&amp;"ation consists of a pre- and postcondition called global specification and a set of assertions called local specification. A specified program is called correct if: 1) the operational part is totally correct w.r.t the pre- and postcondition, 2) the precon"&amp;"dition guarantees nonabortion, 3) local assertions are adequate for the proof of 1) and 2). The requirement of nonabortion leads to the use of a three-valued predicate calculus. We use McCarthy's calculus in that place. The paper contains a description of"&amp;" an experimental programming language PROMET-1 designed for our style of programming. The method is illustrated by the derivation of a bubblesort procedure. Copyright © 1981 by The Institute of Electrical and Electronics Engineers, Inc.")</f>
        <v>The paper describes a method of program development which guarantees correctness. Our programs consist of an operational part, called instruction, and a specification. Both these parts aresubject to the development and the refinement process. The specification consists of a pre- and postcondition called global specification and a set of assertions called local specification. A specified program is called correct if: 1) the operational part is totally correct w.r.t the pre- and postcondition, 2) the precondition guarantees nonabortion, 3) local assertions are adequate for the proof of 1) and 2). The requirement of nonabortion leads to the use of a three-valued predicate calculus. We use McCarthy's calculus in that place. The paper contains a description of an experimental programming language PROMET-1 designed for our style of programming. The method is illustrated by the derivation of a bubblesort procedure. Copyright © 1981 by The Institute of Electrical and Electronics Engineers, Inc.</v>
      </c>
      <c r="H178" s="8" t="str">
        <f>IFERROR(__xludf.DUMMYFUNCTION("""COMPUTED_VALUE"""),"Assertion-specified programs; bubblesort procedures; program correctness; program development; PROMET-1; sorting")</f>
        <v>Assertion-specified programs; bubblesort procedures; program correctness; program development; PROMET-1; sorting</v>
      </c>
      <c r="I178" s="10" t="b">
        <v>0</v>
      </c>
      <c r="J178" s="10" t="b">
        <v>0</v>
      </c>
      <c r="K178" s="10" t="b">
        <v>0</v>
      </c>
      <c r="L178" s="10" t="b">
        <v>0</v>
      </c>
      <c r="M178" s="10" t="b">
        <v>0</v>
      </c>
      <c r="N178" s="10" t="b">
        <v>0</v>
      </c>
      <c r="O178" s="11" t="b">
        <f t="shared" si="1"/>
        <v>0</v>
      </c>
      <c r="P178" s="16" t="b">
        <v>0</v>
      </c>
      <c r="Q178" s="7"/>
    </row>
    <row r="179">
      <c r="A179" s="5" t="b">
        <v>1</v>
      </c>
      <c r="B179" s="5" t="s">
        <v>215</v>
      </c>
      <c r="C179" s="6" t="str">
        <f>IFERROR(__xludf.DUMMYFUNCTION("""COMPUTED_VALUE"""),"10.1109/32.9045")</f>
        <v>10.1109/32.9045</v>
      </c>
      <c r="D179" s="7" t="str">
        <f>IFERROR(__xludf.DUMMYFUNCTION("""COMPUTED_VALUE"""),"Sidhu D.P.; Aristizabal J.")</f>
        <v>Sidhu D.P.; Aristizabal J.</v>
      </c>
      <c r="E179" s="7" t="str">
        <f>IFERROR(__xludf.DUMMYFUNCTION("""COMPUTED_VALUE"""),"Constructing Submodule Specifications and Network Protocols")</f>
        <v>Constructing Submodule Specifications and Network Protocols</v>
      </c>
      <c r="F179" s="7" t="str">
        <f>IFERROR(__xludf.DUMMYFUNCTION("""COMPUTED_VALUE"""),"TSE")</f>
        <v>TSE</v>
      </c>
      <c r="G179" s="7" t="str">
        <f>IFERROR(__xludf.DUMMYFUNCTION("""COMPUTED_VALUE"""),"This paper presents applications of an Automated Tool for Module Specification (ATMS) that finds the specification for a submodule of a system. Given the specification of a system, together with the specifications for n - 1 submodules, the ATMS constructs"&amp;" the specification for the nth additional submodule such that the interaction among the n submodules is equivalent to the specification of the system. The implementation of the automated submodule construction technique is based on an approach proposed by"&amp;" Merlin and Bochmann. The specification of a system and its submodules consists of all possible execution sequences of their individual operations. The ATMS uses finite-state machine concepts to represent the specifications and interactions of the system "&amp;"and its submodules. The specification found by ATMS for a missing module of a system is the most general one, if one exists. It may contain unnecessary transitions and states that decrease the efficiency of the module or lead the entire system to a deadlo"&amp;"ck state. Other methods are needed for detecting unnecessary transitions in the constructed module and for detecting system deadlocks. The unnecessary states and transitions in the constructed module can be avoided by placing sufficient constraints on the"&amp;" specifications of the given submodules, as was found to be the case for the so-called fat transitions in the receiver module of the alternating bit protocol example discussed in the paper by Merlin and Bochmann. Using the ATMS, it was possible to show th"&amp;"at these unnecessary transitions were a direct result of a less constrained specification for the medium module chosen in that paper. One possible application of the ATMS is in the area of communication protocols. The tool, when applied to the alternating"&amp;" bit protocol example discussed in the paper by Merlin and Bochmann, found a specification for the receiver module that is more general than the one presented in that paper. The receiver module has some additional states and transitions which can lead the"&amp;" protocol system to deadlock states for some ordering of events. The existence of deadlock states for this example can be demonstrated by a reachability type analysis. A manual process to find the specification for the missing module using the Merlin-Boch"&amp;"mann technique is time-consuming and prone to errors. As the number of states in the DFA's increase, it becomes difficult to apply the formula to find the specification for the missing module. The automated tool presented in this paper provides a reliable"&amp;" method for constructing a missing module of a system. Such a tool provides the user with the capability to experiment with the submodule construction by changing the specifications of the given modules. Several examples of module construction using ATMS "&amp;"are discussed in this paper. © 1988, IEEE. All rights reserved.")</f>
        <v>This paper presents applications of an Automated Tool for Module Specification (ATMS) that finds the specification for a submodule of a system. Given the specification of a system, together with the specifications for n - 1 submodules, the ATMS constructs the specification for the nth additional submodule such that the interaction among the n submodules is equivalent to the specification of the system. The implementation of the automated submodule construction technique is based on an approach proposed by Merlin and Bochmann. The specification of a system and its submodules consists of all possible execution sequences of their individual operations. The ATMS uses finite-state machine concepts to represent the specifications and interactions of the system and its submodules. The specification found by ATMS for a missing module of a system is the most general one, if one exists. It may contain unnecessary transitions and states that decrease the efficiency of the module or lead the entire system to a deadlock state. Other methods are needed for detecting unnecessary transitions in the constructed module and for detecting system deadlocks. The unnecessary states and transitions in the constructed module can be avoided by placing sufficient constraints on the specifications of the given submodules, as was found to be the case for the so-called fat transitions in the receiver module of the alternating bit protocol example discussed in the paper by Merlin and Bochmann. Using the ATMS, it was possible to show that these unnecessary transitions were a direct result of a less constrained specification for the medium module chosen in that paper. One possible application of the ATMS is in the area of communication protocols. The tool, when applied to the alternating bit protocol example discussed in the paper by Merlin and Bochmann, found a specification for the receiver module that is more general than the one presented in that paper. The receiver module has some additional states and transitions which can lead the protocol system to deadlock states for some ordering of events. The existence of deadlock states for this example can be demonstrated by a reachability type analysis. A manual process to find the specification for the missing module using the Merlin-Bochmann technique is time-consuming and prone to errors. As the number of states in the DFA's increase, it becomes difficult to apply the formula to find the specification for the missing module. The automated tool presented in this paper provides a reliable method for constructing a missing module of a system. Such a tool provides the user with the capability to experiment with the submodule construction by changing the specifications of the given modules. Several examples of module construction using ATMS are discussed in this paper. © 1988, IEEE. All rights reserved.</v>
      </c>
      <c r="H179" s="8" t="str">
        <f>IFERROR(__xludf.DUMMYFUNCTION("""COMPUTED_VALUE"""),"Automaton; formal modeling; protocol development tools; protocol entities; protocol properties; protocol service; protocol verification; state transition")</f>
        <v>Automaton; formal modeling; protocol development tools; protocol entities; protocol properties; protocol service; protocol verification; state transition</v>
      </c>
      <c r="I179" s="10" t="b">
        <v>0</v>
      </c>
      <c r="J179" s="10" t="b">
        <v>0</v>
      </c>
      <c r="K179" s="10" t="b">
        <v>0</v>
      </c>
      <c r="L179" s="10" t="b">
        <v>0</v>
      </c>
      <c r="M179" s="10" t="b">
        <v>0</v>
      </c>
      <c r="N179" s="10" t="b">
        <v>0</v>
      </c>
      <c r="O179" s="11" t="b">
        <f t="shared" si="1"/>
        <v>0</v>
      </c>
      <c r="P179" s="16" t="b">
        <v>0</v>
      </c>
      <c r="Q179" s="7"/>
    </row>
    <row r="180">
      <c r="A180" s="5" t="b">
        <v>1</v>
      </c>
      <c r="B180" s="5" t="s">
        <v>216</v>
      </c>
      <c r="C180" s="6" t="str">
        <f>IFERROR(__xludf.DUMMYFUNCTION("""COMPUTED_VALUE"""),"10.1109/TSE.1977.231144")</f>
        <v>10.1109/TSE.1977.231144</v>
      </c>
      <c r="D180" s="7" t="str">
        <f>IFERROR(__xludf.DUMMYFUNCTION("""COMPUTED_VALUE"""),"Howden W.E.")</f>
        <v>Howden W.E.</v>
      </c>
      <c r="E180" s="7" t="str">
        <f>IFERROR(__xludf.DUMMYFUNCTION("""COMPUTED_VALUE"""),"Symbolic Testing and the DISSECT Symbolic Evaluation Systerm")</f>
        <v>Symbolic Testing and the DISSECT Symbolic Evaluation Systerm</v>
      </c>
      <c r="F180" s="7" t="str">
        <f>IFERROR(__xludf.DUMMYFUNCTION("""COMPUTED_VALUE"""),"TSE")</f>
        <v>TSE</v>
      </c>
      <c r="G180" s="7" t="str">
        <f>IFERROR(__xludf.DUMMYFUNCTION("""COMPUTED_VALUE"""),"Symbolic testing and a symbolic evaluation system called DISSECT are described. The principle features of DISSECT are out-lined. The results of two classes of experiments in the use of symbolic evalualion are summarized. Several classes of program errors "&amp;"are defined and the reliability of symbolic testing in finding bugs is related to the classes of errors. The relationship of symbolic evaluation systems like DISSECT to classes of program errors and to other kinds of program testing and program analysis t"&amp;"ools is also discussed. Desirable improvements in DISSECT, whose importance was revealed by the experiments, are mentioned. Copyright © 1977 by The Institute of Electrical and Electronics Engineers, Inc.")</f>
        <v>Symbolic testing and a symbolic evaluation system called DISSECT are described. The principle features of DISSECT are out-lined. The results of two classes of experiments in the use of symbolic evalualion are summarized. Several classes of program errors are defined and the reliability of symbolic testing in finding bugs is related to the classes of errors. The relationship of symbolic evaluation systems like DISSECT to classes of program errors and to other kinds of program testing and program analysis tools is also discussed. Desirable improvements in DISSECT, whose importance was revealed by the experiments, are mentioned. Copyright © 1977 by The Institute of Electrical and Electronics Engineers, Inc.</v>
      </c>
      <c r="H180" s="8" t="str">
        <f>IFERROR(__xludf.DUMMYFUNCTION("""COMPUTED_VALUE"""),"Automated aids; data flow analysis; ness; program correct; program specifications; program testing; software errors; software reliability; symbolic evaluation; test data generation")</f>
        <v>Automated aids; data flow analysis; ness; program correct; program specifications; program testing; software errors; software reliability; symbolic evaluation; test data generation</v>
      </c>
      <c r="I180" s="10" t="b">
        <v>0</v>
      </c>
      <c r="J180" s="10" t="b">
        <v>0</v>
      </c>
      <c r="K180" s="10" t="b">
        <v>0</v>
      </c>
      <c r="L180" s="10" t="b">
        <v>0</v>
      </c>
      <c r="M180" s="10" t="b">
        <v>0</v>
      </c>
      <c r="N180" s="10" t="b">
        <v>0</v>
      </c>
      <c r="O180" s="11" t="b">
        <f t="shared" si="1"/>
        <v>0</v>
      </c>
      <c r="P180" s="16" t="b">
        <v>0</v>
      </c>
      <c r="Q180" s="7"/>
    </row>
    <row r="181">
      <c r="A181" s="5" t="b">
        <v>1</v>
      </c>
      <c r="B181" s="5" t="s">
        <v>217</v>
      </c>
      <c r="C181" s="6" t="str">
        <f>IFERROR(__xludf.DUMMYFUNCTION("""COMPUTED_VALUE"""),"10.1109/32.544351")</f>
        <v>10.1109/32.544351</v>
      </c>
      <c r="D181" s="7" t="str">
        <f>IFERROR(__xludf.DUMMYFUNCTION("""COMPUTED_VALUE"""),"Ferrucci F.; Tortora G.; Tucci M.; Vitiello G.")</f>
        <v>Ferrucci F.; Tortora G.; Tucci M.; Vitiello G.</v>
      </c>
      <c r="E181" s="7" t="str">
        <f>IFERROR(__xludf.DUMMYFUNCTION("""COMPUTED_VALUE"""),"Semantics-based inference algorithms for adaptive visual environments")</f>
        <v>Semantics-based inference algorithms for adaptive visual environments</v>
      </c>
      <c r="F181" s="7" t="str">
        <f>IFERROR(__xludf.DUMMYFUNCTION("""COMPUTED_VALUE"""),"TSE")</f>
        <v>TSE</v>
      </c>
      <c r="G181" s="7" t="str">
        <f>IFERROR(__xludf.DUMMYFUNCTION("""COMPUTED_VALUE"""),"The paper presents a grammatical inference methodology for the generation of visual languages, that benefits from the availability of semantic information about the sample sentences. Several well-known syntactic inference algorithms are shown to obey a ge"&amp;"neral inference scheme, that we call Gen-Inf scheme. Then, all the algorithms of the Gen-Inf scheme are modified in agreement with the introduced semantics-based inference methodology. The use of grammatical inference techniques in the design of adaptive "&amp;"user interfaces was previously experimented with the VLG system for visual language generation. The system is a powerful tool for specifying, designing, and interpreting customized visual languages for different applications. In the paper we enhance the a"&amp;"daptivity of the VLG system to any visual environment by exploiting the proposed semantics-based inference methodology. As a matter of fact, a more general model of visual language generation is achieved, based on the Gen-Inf scheme, where the end-user is"&amp;" allowed to choose the algorithm which best fits his/her requirements within the particular application environment. © 1996 IEEE.")</f>
        <v>The paper presents a grammatical inference methodology for the generation of visual languages, that benefits from the availability of semantic information about the sample sentences. Several well-known syntactic inference algorithms are shown to obey a general inference scheme, that we call Gen-Inf scheme. Then, all the algorithms of the Gen-Inf scheme are modified in agreement with the introduced semantics-based inference methodology. The use of grammatical inference techniques in the design of adaptive user interfaces was previously experimented with the VLG system for visual language generation. The system is a powerful tool for specifying, designing, and interpreting customized visual languages for different applications. In the paper we enhance the adaptivity of the VLG system to any visual environment by exploiting the proposed semantics-based inference methodology. As a matter of fact, a more general model of visual language generation is achieved, based on the Gen-Inf scheme, where the end-user is allowed to choose the algorithm which best fits his/her requirements within the particular application environment. © 1996 IEEE.</v>
      </c>
      <c r="H181" s="8" t="str">
        <f>IFERROR(__xludf.DUMMYFUNCTION("""COMPUTED_VALUE"""),"Adaptive user interfaces; Grammatical inference; Semantic similarity; Visual language design")</f>
        <v>Adaptive user interfaces; Grammatical inference; Semantic similarity; Visual language design</v>
      </c>
      <c r="I181" s="10" t="b">
        <v>0</v>
      </c>
      <c r="J181" s="10" t="b">
        <v>0</v>
      </c>
      <c r="K181" s="10" t="b">
        <v>0</v>
      </c>
      <c r="L181" s="10" t="b">
        <v>0</v>
      </c>
      <c r="M181" s="10" t="b">
        <v>0</v>
      </c>
      <c r="N181" s="10" t="b">
        <v>0</v>
      </c>
      <c r="O181" s="11" t="b">
        <f t="shared" si="1"/>
        <v>0</v>
      </c>
      <c r="P181" s="16" t="b">
        <v>0</v>
      </c>
      <c r="Q181" s="7"/>
    </row>
    <row r="182">
      <c r="A182" s="5" t="b">
        <v>1</v>
      </c>
      <c r="B182" s="5" t="s">
        <v>218</v>
      </c>
      <c r="C182" s="6" t="str">
        <f>IFERROR(__xludf.DUMMYFUNCTION("""COMPUTED_VALUE"""),"10.1109/32.58792")</f>
        <v>10.1109/32.58792</v>
      </c>
      <c r="D182" s="7" t="str">
        <f>IFERROR(__xludf.DUMMYFUNCTION("""COMPUTED_VALUE"""),"Narayana K.T.; Dharap S.")</f>
        <v>Narayana K.T.; Dharap S.</v>
      </c>
      <c r="E182" s="7" t="str">
        <f>IFERROR(__xludf.DUMMYFUNCTION("""COMPUTED_VALUE"""),"Formal Specification of a Look Manager")</f>
        <v>Formal Specification of a Look Manager</v>
      </c>
      <c r="F182" s="7" t="str">
        <f>IFERROR(__xludf.DUMMYFUNCTION("""COMPUTED_VALUE"""),"TSE")</f>
        <v>TSE</v>
      </c>
      <c r="G182" s="7" t="str">
        <f>IFERROR(__xludf.DUMMYFUNCTION("""COMPUTED_VALUE"""),"We give a formal specification of the look manager of a dialog system. The look manager deals with the presentation of visual aspects of objects and the editing of those visual aspects. We provide a formal model for specifying the look of objects. The mod"&amp;"el is based on the notion of texturing objects. The texturing model is built from the observed real life use of overlays of slides. The shape to be textured is cut out from the overlaid slides. The specification takes as a given hypothesis an invariant re"&amp;"lation between the logical display of objects and their layout on the physical screen. The look of the screen is characterized as an invariant ideal show relation. The formalization achieves modularity for the look manager. The specifications are written "&amp;"using the Z notation. The experiment is an integral part of a larger effort in the formal design of a dialog system. It shows that the state based specification methodology of Z is very well suited for description of graphical interface software. Further "&amp;"the formal specification yields insight into the inherent complexity of building graphical interfaces and their associated displays. © 1990 IEEE")</f>
        <v>We give a formal specification of the look manager of a dialog system. The look manager deals with the presentation of visual aspects of objects and the editing of those visual aspects. We provide a formal model for specifying the look of objects. The model is based on the notion of texturing objects. The texturing model is built from the observed real life use of overlays of slides. The shape to be textured is cut out from the overlaid slides. The specification takes as a given hypothesis an invariant relation between the logical display of objects and their layout on the physical screen. The look of the screen is characterized as an invariant ideal show relation. The formalization achieves modularity for the look manager. The specifications are written using the Z notation. The experiment is an integral part of a larger effort in the formal design of a dialog system. It shows that the state based specification methodology of Z is very well suited for description of graphical interface software. Further the formal specification yields insight into the inherent complexity of building graphical interfaces and their associated displays. © 1990 IEEE</v>
      </c>
      <c r="H182" s="8" t="str">
        <f>IFERROR(__xludf.DUMMYFUNCTION("""COMPUTED_VALUE"""),"Dialog systems; formal methods; formal specifications; graphical interfaces; state based specifications; user interfaces; VDM; window systems; Z-notation")</f>
        <v>Dialog systems; formal methods; formal specifications; graphical interfaces; state based specifications; user interfaces; VDM; window systems; Z-notation</v>
      </c>
      <c r="I182" s="10" t="b">
        <v>0</v>
      </c>
      <c r="J182" s="10" t="b">
        <v>0</v>
      </c>
      <c r="K182" s="10" t="b">
        <v>0</v>
      </c>
      <c r="L182" s="10" t="b">
        <v>0</v>
      </c>
      <c r="M182" s="10" t="b">
        <v>0</v>
      </c>
      <c r="N182" s="10" t="b">
        <v>0</v>
      </c>
      <c r="O182" s="11" t="b">
        <f t="shared" si="1"/>
        <v>0</v>
      </c>
      <c r="P182" s="16" t="b">
        <v>0</v>
      </c>
      <c r="Q182" s="7"/>
    </row>
    <row r="183">
      <c r="A183" s="5" t="b">
        <v>1</v>
      </c>
      <c r="B183" s="5" t="s">
        <v>219</v>
      </c>
      <c r="C183" s="6" t="str">
        <f>IFERROR(__xludf.DUMMYFUNCTION("""COMPUTED_VALUE"""),"10.1109/32.54294")</f>
        <v>10.1109/32.54294</v>
      </c>
      <c r="D183" s="7" t="str">
        <f>IFERROR(__xludf.DUMMYFUNCTION("""COMPUTED_VALUE"""),"Gupta R.; Soffa M.L.")</f>
        <v>Gupta R.; Soffa M.L.</v>
      </c>
      <c r="E183" s="7" t="str">
        <f>IFERROR(__xludf.DUMMYFUNCTION("""COMPUTED_VALUE"""),"Region Scheduling: An Approach for Detecting and Redistributing Parallelism")</f>
        <v>Region Scheduling: An Approach for Detecting and Redistributing Parallelism</v>
      </c>
      <c r="F183" s="7" t="str">
        <f>IFERROR(__xludf.DUMMYFUNCTION("""COMPUTED_VALUE"""),"TSE")</f>
        <v>TSE</v>
      </c>
      <c r="G183" s="7" t="str">
        <f>IFERROR(__xludf.DUMMYFUNCTION("""COMPUTED_VALUE"""),"In developing compiler techniques for programs targeted for parallel execution, it is imperative that a program representation be utilized that not only facilitates the detection and scheduling of parallelism but also easily enables program transformation"&amp;"s that increase opportunities for parallelism. These requirements are the driving force behind region scheduling, a technique applicable to both tine grain and coarse grain parallelism. This technique employs a program representation that divides a progra"&amp;"m into regions consisting of source and intermediate level statements and enables the expression of both data and control dependencies. Guided by estimates of the parallelism present in regions, the region scheduler redistributes code, thus providing oppo"&amp;"rtunities for parallelism in those regions containing insufficient parallelism compared to the capabilities of the executing architecture. The program representation and the transformations are applicable to both structured and unstructured programs, maki"&amp;"ng region scheduling useful for a wide range of applications. The results of experiments conducted using the technique in the generation of code for a reconfigurable long instruction word architecture are presented. The advantages of region scheduling ove"&amp;"r trace scheduling, another technique for transforming and detecting fine grain parallelism in programs, are discussed. © 1990 IEEE")</f>
        <v>In developing compiler techniques for programs targeted for parallel execution, it is imperative that a program representation be utilized that not only facilitates the detection and scheduling of parallelism but also easily enables program transformations that increase opportunities for parallelism. These requirements are the driving force behind region scheduling, a technique applicable to both tine grain and coarse grain parallelism. This technique employs a program representation that divides a program into regions consisting of source and intermediate level statements and enables the expression of both data and control dependencies. Guided by estimates of the parallelism present in regions, the region scheduler redistributes code, thus providing opportunities for parallelism in those regions containing insufficient parallelism compared to the capabilities of the executing architecture. The program representation and the transformations are applicable to both structured and unstructured programs, making region scheduling useful for a wide range of applications. The results of experiments conducted using the technique in the generation of code for a reconfigurable long instruction word architecture are presented. The advantages of region scheduling over trace scheduling, another technique for transforming and detecting fine grain parallelism in programs, are discussed. © 1990 IEEE</v>
      </c>
      <c r="H183" s="8" t="str">
        <f>IFERROR(__xludf.DUMMYFUNCTION("""COMPUTED_VALUE"""),"Code optimimtions; code scheduling; parallelisni detection; program dependence graph; program transformations; trace scheduling")</f>
        <v>Code optimimtions; code scheduling; parallelisni detection; program dependence graph; program transformations; trace scheduling</v>
      </c>
      <c r="I183" s="10" t="b">
        <v>0</v>
      </c>
      <c r="J183" s="10" t="b">
        <v>0</v>
      </c>
      <c r="K183" s="10" t="b">
        <v>0</v>
      </c>
      <c r="L183" s="10" t="b">
        <v>0</v>
      </c>
      <c r="M183" s="10" t="b">
        <v>0</v>
      </c>
      <c r="N183" s="10" t="b">
        <v>0</v>
      </c>
      <c r="O183" s="11" t="b">
        <f t="shared" si="1"/>
        <v>0</v>
      </c>
      <c r="P183" s="16" t="b">
        <v>0</v>
      </c>
      <c r="Q183" s="7"/>
    </row>
    <row r="184">
      <c r="A184" s="5" t="b">
        <v>1</v>
      </c>
      <c r="B184" s="5" t="s">
        <v>220</v>
      </c>
      <c r="C184" s="6" t="str">
        <f>IFERROR(__xludf.DUMMYFUNCTION("""COMPUTED_VALUE"""),"10.1109/TSE.1982.235255")</f>
        <v>10.1109/TSE.1982.235255</v>
      </c>
      <c r="D184" s="7" t="str">
        <f>IFERROR(__xludf.DUMMYFUNCTION("""COMPUTED_VALUE"""),"Basili V.R.; Mills H.D.")</f>
        <v>Basili V.R.; Mills H.D.</v>
      </c>
      <c r="E184" s="7" t="str">
        <f>IFERROR(__xludf.DUMMYFUNCTION("""COMPUTED_VALUE"""),"Understanding and Documenting Programs")</f>
        <v>Understanding and Documenting Programs</v>
      </c>
      <c r="F184" s="7" t="str">
        <f>IFERROR(__xludf.DUMMYFUNCTION("""COMPUTED_VALUE"""),"TSE")</f>
        <v>TSE</v>
      </c>
      <c r="G184" s="7" t="str">
        <f>IFERROR(__xludf.DUMMYFUNCTION("""COMPUTED_VALUE"""),"This paper reports on an experiment in trying to understand an unfamiliar program of some complexity and to record the authors' understanding of it. The goal was to simulate a practicing programmer in a program maintenance environment using the techniques"&amp;" of program design adapted to program understanding and documentation; that is, given a program, a specification and correctness proof were developed for the program. The approach points out the value of correctness proof ideas in guiding the discovery pr"&amp;"ocess. Toward this end, a variety of techniques were used: direct cognition for smaller parts, discovering and verifying loop invariants for larger program parts, and functions determined by additional analysis for larger program parts. An indeterminate b"&amp;"ounded variable was introduced into the program documentation to summarize the effect of several program variables and simplify the proof of correctness. Copyright © 1982 by The Institute of Electrical and Electronics Engineers, Inc.")</f>
        <v>This paper reports on an experiment in trying to understand an unfamiliar program of some complexity and to record the authors' understanding of it. The goal was to simulate a practicing programmer in a program maintenance environment using the techniques of program design adapted to program understanding and documentation; that is, given a program, a specification and correctness proof were developed for the program. The approach points out the value of correctness proof ideas in guiding the discovery process. Toward this end, a variety of techniques were used: direct cognition for smaller parts, discovering and verifying loop invariants for larger program parts, and functions determined by additional analysis for larger program parts. An indeterminate bounded variable was introduced into the program documentation to summarize the effect of several program variables and simplify the proof of correctness. Copyright © 1982 by The Institute of Electrical and Electronics Engineers, Inc.</v>
      </c>
      <c r="H184" s="8" t="str">
        <f>IFERROR(__xludf.DUMMYFUNCTION("""COMPUTED_VALUE"""),"Program analysis; program correctness; program documentation; proof techniques; software maintenance")</f>
        <v>Program analysis; program correctness; program documentation; proof techniques; software maintenance</v>
      </c>
      <c r="I184" s="9" t="b">
        <v>1</v>
      </c>
      <c r="J184" s="10" t="b">
        <v>0</v>
      </c>
      <c r="K184" s="9" t="b">
        <v>1</v>
      </c>
      <c r="L184" s="10" t="b">
        <v>0</v>
      </c>
      <c r="M184" s="10" t="b">
        <v>0</v>
      </c>
      <c r="N184" s="10" t="b">
        <v>0</v>
      </c>
      <c r="O184" s="11" t="b">
        <f t="shared" si="1"/>
        <v>0</v>
      </c>
      <c r="P184" s="16" t="b">
        <v>0</v>
      </c>
      <c r="Q184" s="7"/>
    </row>
    <row r="185">
      <c r="A185" s="5" t="b">
        <v>1</v>
      </c>
      <c r="B185" s="5" t="s">
        <v>221</v>
      </c>
      <c r="C185" s="6" t="str">
        <f>IFERROR(__xludf.DUMMYFUNCTION("""COMPUTED_VALUE"""),"10.1109/TSE.1984.5010222")</f>
        <v>10.1109/TSE.1984.5010222</v>
      </c>
      <c r="D185" s="7" t="str">
        <f>IFERROR(__xludf.DUMMYFUNCTION("""COMPUTED_VALUE"""),"Katz R.H.; Lehman T.J.")</f>
        <v>Katz R.H.; Lehman T.J.</v>
      </c>
      <c r="E185" s="7" t="str">
        <f>IFERROR(__xludf.DUMMYFUNCTION("""COMPUTED_VALUE"""),"Database Support for Versions and Alternatives of Large Design Files")</f>
        <v>Database Support for Versions and Alternatives of Large Design Files</v>
      </c>
      <c r="F185" s="7" t="str">
        <f>IFERROR(__xludf.DUMMYFUNCTION("""COMPUTED_VALUE"""),"TSE")</f>
        <v>TSE</v>
      </c>
      <c r="G185" s="7" t="str">
        <f>IFERROR(__xludf.DUMMYFUNCTION("""COMPUTED_VALUE"""),"We identify the roles played by design versions and alternatives in an engineering database. The obvious way to implement versions is to maintain each in a separate collection of files. Because several versions must be kept on line in a design environment"&amp;", the approach leads to large disk requirements. We develop B-tree-based storage structures to encode versions as “negative” differential files. Our objective is to keep the disk requirements small. We discuss the effect of enormous amounts of cheap archi"&amp;"val storage (write-once optical digital disks) on the proposed structures. We have implemented versions in the Wisconsin storage system (WiSS), an experimental database component developed at the University of Wisconsin-Madison. © 1984 IEEE.")</f>
        <v>We identify the roles played by design versions and alternatives in an engineering database. The obvious way to implement versions is to maintain each in a separate collection of files. Because several versions must be kept on line in a design environment, the approach leads to large disk requirements. We develop B-tree-based storage structures to encode versions as “negative” differential files. Our objective is to keep the disk requirements small. We discuss the effect of enormous amounts of cheap archival storage (write-once optical digital disks) on the proposed structures. We have implemented versions in the Wisconsin storage system (WiSS), an experimental database component developed at the University of Wisconsin-Madison. © 1984 IEEE.</v>
      </c>
      <c r="H185" s="8"/>
      <c r="I185" s="10" t="b">
        <v>0</v>
      </c>
      <c r="J185" s="10" t="b">
        <v>0</v>
      </c>
      <c r="K185" s="10" t="b">
        <v>0</v>
      </c>
      <c r="L185" s="10" t="b">
        <v>0</v>
      </c>
      <c r="M185" s="10" t="b">
        <v>0</v>
      </c>
      <c r="N185" s="10" t="b">
        <v>0</v>
      </c>
      <c r="O185" s="11" t="b">
        <f t="shared" si="1"/>
        <v>0</v>
      </c>
      <c r="P185" s="16" t="b">
        <v>0</v>
      </c>
      <c r="Q185" s="7"/>
    </row>
    <row r="186">
      <c r="A186" s="5" t="b">
        <v>1</v>
      </c>
      <c r="B186" s="5" t="s">
        <v>222</v>
      </c>
      <c r="C186" s="6" t="str">
        <f>IFERROR(__xludf.DUMMYFUNCTION("""COMPUTED_VALUE"""),"10.1109/32.42741")</f>
        <v>10.1109/32.42741</v>
      </c>
      <c r="D186" s="7" t="str">
        <f>IFERROR(__xludf.DUMMYFUNCTION("""COMPUTED_VALUE"""),"Lam H.; Su S.Y.W.; Koganti N.R.")</f>
        <v>Lam H.; Su S.Y.W.; Koganti N.R.</v>
      </c>
      <c r="E186" s="7" t="str">
        <f>IFERROR(__xludf.DUMMYFUNCTION("""COMPUTED_VALUE"""),"A Physical Database Design Evaluation System COD for ASYL Databases")</f>
        <v>A Physical Database Design Evaluation System COD for ASYL Databases</v>
      </c>
      <c r="F186" s="7" t="str">
        <f>IFERROR(__xludf.DUMMYFUNCTION("""COMPUTED_VALUE"""),"TSE")</f>
        <v>TSE</v>
      </c>
      <c r="G186" s="7" t="str">
        <f>IFERROR(__xludf.DUMMYFUNCTION("""COMPUTED_VALUE"""),"This paper describes a physical database design evaluation system which is an interactive design tool for designing CODASYL databases. The system is composed of three main modules: a user interface, a transaction analyzer, and a core module. The user inte"&amp;"rface allows a designer to interactively enter information concerning a database design which is to be evaluated. The transaction analyzer allows the designer to specify the processing requirements in terms of typical logical transactions to be executed a"&amp;"gainst the database and translates these logical transactions into physical transactions which access and manipulate the physical databases. The core module is the implementation of a set of analytical models and cost formulas developed for the manipulati"&amp;"on of indexed sequential and hash-based files and CODASYL sets. These models and formulas account for the situation in which occurrences of multiple record types are stored in the same area. The paper also presents the results of a series of experiments i"&amp;"n which key design parameters are varied. A design example is also given to demonstrate the manner in which the evaluation system can be used to aid a designer in making design decisions. The system is implemented in UCSD Pascal running on IBM PC's. It is"&amp;" presently being used by the Navy Ships Supply Control Center and the National Bureau of Standards in their database design efforts. © 1988 IEEE")</f>
        <v>This paper describes a physical database design evaluation system which is an interactive design tool for designing CODASYL databases. The system is composed of three main modules: a user interface, a transaction analyzer, and a core module. The user interface allows a designer to interactively enter information concerning a database design which is to be evaluated. The transaction analyzer allows the designer to specify the processing requirements in terms of typical logical transactions to be executed against the database and translates these logical transactions into physical transactions which access and manipulate the physical databases. The core module is the implementation of a set of analytical models and cost formulas developed for the manipulation of indexed sequential and hash-based files and CODASYL sets. These models and formulas account for the situation in which occurrences of multiple record types are stored in the same area. The paper also presents the results of a series of experiments in which key design parameters are varied. A design example is also given to demonstrate the manner in which the evaluation system can be used to aid a designer in making design decisions. The system is implemented in UCSD Pascal running on IBM PC's. It is presently being used by the Navy Ships Supply Control Center and the National Bureau of Standards in their database design efforts. © 1988 IEEE</v>
      </c>
      <c r="H186" s="8" t="str">
        <f>IFERROR(__xludf.DUMMYFUNCTION("""COMPUTED_VALUE"""),"CODASYL database; evaluation system; physical database design")</f>
        <v>CODASYL database; evaluation system; physical database design</v>
      </c>
      <c r="I186" s="10" t="b">
        <v>0</v>
      </c>
      <c r="J186" s="10" t="b">
        <v>0</v>
      </c>
      <c r="K186" s="10" t="b">
        <v>0</v>
      </c>
      <c r="L186" s="10" t="b">
        <v>0</v>
      </c>
      <c r="M186" s="10" t="b">
        <v>0</v>
      </c>
      <c r="N186" s="10" t="b">
        <v>0</v>
      </c>
      <c r="O186" s="11" t="b">
        <f t="shared" si="1"/>
        <v>0</v>
      </c>
      <c r="P186" s="16" t="b">
        <v>0</v>
      </c>
      <c r="Q186" s="7"/>
    </row>
    <row r="187">
      <c r="A187" s="5" t="b">
        <v>1</v>
      </c>
      <c r="B187" s="5" t="s">
        <v>223</v>
      </c>
      <c r="C187" s="6" t="str">
        <f>IFERROR(__xludf.DUMMYFUNCTION("""COMPUTED_VALUE"""),"10.1109/32.485225")</f>
        <v>10.1109/32.485225</v>
      </c>
      <c r="D187" s="7" t="str">
        <f>IFERROR(__xludf.DUMMYFUNCTION("""COMPUTED_VALUE"""),"Finney K.")</f>
        <v>Finney K.</v>
      </c>
      <c r="E187" s="7" t="str">
        <f>IFERROR(__xludf.DUMMYFUNCTION("""COMPUTED_VALUE"""),"Mathematical notation in formal specification: Too difficult for the masses?")</f>
        <v>Mathematical notation in formal specification: Too difficult for the masses?</v>
      </c>
      <c r="F187" s="7" t="str">
        <f>IFERROR(__xludf.DUMMYFUNCTION("""COMPUTED_VALUE"""),"TSE")</f>
        <v>TSE</v>
      </c>
      <c r="G187" s="7" t="str">
        <f>IFERROR(__xludf.DUMMYFUNCTION("""COMPUTED_VALUE"""),"The phrase ""not much mathematics required"" can imply a variety of skill levels. When this phrase is applied to computer scientists, software engineers, and clients in the area of formal specification, the word ""much"" can be widely misinterpreted with "&amp;"disastrous consequences. A small experiment in reading specifications revealed that students already trained in discrete mathematics and the specification notation performed very poorly; much worse than could reasonably be expected if formal methods propo"&amp;"nents are to be believed. © 1996 IEEE.")</f>
        <v>The phrase "not much mathematics required" can imply a variety of skill levels. When this phrase is applied to computer scientists, software engineers, and clients in the area of formal specification, the word "much" can be widely misinterpreted with disastrous consequences. A small experiment in reading specifications revealed that students already trained in discrete mathematics and the specification notation performed very poorly; much worse than could reasonably be expected if formal methods proponents are to be believed. © 1996 IEEE.</v>
      </c>
      <c r="H187" s="8" t="str">
        <f>IFERROR(__xludf.DUMMYFUNCTION("""COMPUTED_VALUE"""),"Formal specification; Mathematics; Reading Z")</f>
        <v>Formal specification; Mathematics; Reading Z</v>
      </c>
      <c r="I187" s="9" t="b">
        <v>1</v>
      </c>
      <c r="J187" s="9" t="b">
        <v>1</v>
      </c>
      <c r="K187" s="9" t="b">
        <v>1</v>
      </c>
      <c r="L187" s="10" t="b">
        <v>0</v>
      </c>
      <c r="M187" s="10" t="b">
        <v>0</v>
      </c>
      <c r="N187" s="10" t="b">
        <v>0</v>
      </c>
      <c r="O187" s="11" t="b">
        <f t="shared" si="1"/>
        <v>1</v>
      </c>
      <c r="P187" s="16" t="b">
        <v>0</v>
      </c>
      <c r="Q187" s="7"/>
    </row>
    <row r="188">
      <c r="A188" s="5" t="b">
        <v>1</v>
      </c>
      <c r="B188" s="5" t="s">
        <v>224</v>
      </c>
      <c r="C188" s="6" t="str">
        <f>IFERROR(__xludf.DUMMYFUNCTION("""COMPUTED_VALUE"""),"10.1109/32.21758")</f>
        <v>10.1109/32.21758</v>
      </c>
      <c r="D188" s="7" t="str">
        <f>IFERROR(__xludf.DUMMYFUNCTION("""COMPUTED_VALUE"""),"Feldman M.B.; Moran M.L.")</f>
        <v>Feldman M.B.; Moran M.L.</v>
      </c>
      <c r="E188" s="7" t="str">
        <f>IFERROR(__xludf.DUMMYFUNCTION("""COMPUTED_VALUE"""),"Validating a Demonstration Tool for Graphics-Assisted Debugging of Ada Concurrent Programs")</f>
        <v>Validating a Demonstration Tool for Graphics-Assisted Debugging of Ada Concurrent Programs</v>
      </c>
      <c r="F188" s="7" t="str">
        <f>IFERROR(__xludf.DUMMYFUNCTION("""COMPUTED_VALUE"""),"TSE")</f>
        <v>TSE</v>
      </c>
      <c r="G188" s="7" t="str">
        <f>IFERROR(__xludf.DUMMYFUNCTION("""COMPUTED_VALUE"""),"The advent of high-resolution graphics workstations at reasonable cost offers great potential in the development of highlevel, graphics-oriented debugging tools. The advent of programming languages, Ada, in particular, which support concurrency with highl"&amp;"evel primitives, affords the opportunity to develop new models of debugging for programs incorporating concurrent tasks. The marriage of graphics and concurrency-oriented debugging can provide powerful tools indeed. We have developed a demonstration-quali"&amp;"ty graphics-assisted debugger for intertask communication in Ada. Based on the static task-specification diagrams of Booch, the debugger animates the activity of a collection of communicating tasks, and runs on a DEC GIGI terminal connected to a VAX 11-78"&amp;"0 under TeleSoft's Ada compiler. The model has been subjected to empirical validation, using undergraduate students as experimental subjects. Subjects were required to debug erroneous tasking programs using both the graphical debugger and a textual one. ©"&amp;" 1989 IEEE")</f>
        <v>The advent of high-resolution graphics workstations at reasonable cost offers great potential in the development of highlevel, graphics-oriented debugging tools. The advent of programming languages, Ada, in particular, which support concurrency with highlevel primitives, affords the opportunity to develop new models of debugging for programs incorporating concurrent tasks. The marriage of graphics and concurrency-oriented debugging can provide powerful tools indeed. We have developed a demonstration-quality graphics-assisted debugger for intertask communication in Ada. Based on the static task-specification diagrams of Booch, the debugger animates the activity of a collection of communicating tasks, and runs on a DEC GIGI terminal connected to a VAX 11-780 under TeleSoft's Ada compiler. The model has been subjected to empirical validation, using undergraduate students as experimental subjects. Subjects were required to debug erroneous tasking programs using both the graphical debugger and a textual one. © 1989 IEEE</v>
      </c>
      <c r="H188" s="8"/>
      <c r="I188" s="10" t="b">
        <v>0</v>
      </c>
      <c r="J188" s="10" t="b">
        <v>0</v>
      </c>
      <c r="K188" s="10" t="b">
        <v>0</v>
      </c>
      <c r="L188" s="10" t="b">
        <v>0</v>
      </c>
      <c r="M188" s="10" t="b">
        <v>0</v>
      </c>
      <c r="N188" s="10" t="b">
        <v>0</v>
      </c>
      <c r="O188" s="11" t="b">
        <f t="shared" si="1"/>
        <v>0</v>
      </c>
      <c r="P188" s="16" t="b">
        <v>0</v>
      </c>
      <c r="Q188" s="7"/>
    </row>
    <row r="189">
      <c r="A189" s="5" t="b">
        <v>1</v>
      </c>
      <c r="B189" s="5" t="s">
        <v>225</v>
      </c>
      <c r="C189" s="6" t="str">
        <f>IFERROR(__xludf.DUMMYFUNCTION("""COMPUTED_VALUE"""),"10.1109/TSE.1984.5010231")</f>
        <v>10.1109/TSE.1984.5010231</v>
      </c>
      <c r="D189" s="7" t="str">
        <f>IFERROR(__xludf.DUMMYFUNCTION("""COMPUTED_VALUE"""),"Mckendry M.S.; Campbell R.H.")</f>
        <v>Mckendry M.S.; Campbell R.H.</v>
      </c>
      <c r="E189" s="7" t="str">
        <f>IFERROR(__xludf.DUMMYFUNCTION("""COMPUTED_VALUE"""),"Implementing Language Support in High-Level Languages")</f>
        <v>Implementing Language Support in High-Level Languages</v>
      </c>
      <c r="F189" s="7" t="str">
        <f>IFERROR(__xludf.DUMMYFUNCTION("""COMPUTED_VALUE"""),"TSE")</f>
        <v>TSE</v>
      </c>
      <c r="G189" s="7" t="str">
        <f>IFERROR(__xludf.DUMMYFUNCTION("""COMPUTED_VALUE"""),"One of the requirements for building an operating system in a high-level operating system language, such as Ada, Concurrent Pascal, or Modula, is the construction of a language support system, or kernel. This paper presents a model that generalizes the co"&amp;"ncept of a kernel, and defines a kernel and the processes it supports to be at different levels of abstraction. A high-level language mechanism, the Execute statement, is then proposed as the basis of the interface between a kernel and the processes it su"&amp;"pports. Software capabilities control access between levels and the Execute statement controls processor context switching between levels. The mechanisms rely on data typing for reliability and protection. They encourage systems that are well protected an"&amp;"d exhibit an explicit hierarchical structure. Software capabilities and the Execute statement are illustrated with a pilot implementation on the Prime 650. An experimental operating system that encompasses their use is discussed Extensions are presented w"&amp;"hich manage interrupts, timeslicing and preemption, and hardware protection mechanisms. © 1984, IEEE.")</f>
        <v>One of the requirements for building an operating system in a high-level operating system language, such as Ada, Concurrent Pascal, or Modula, is the construction of a language support system, or kernel. This paper presents a model that generalizes the concept of a kernel, and defines a kernel and the processes it supports to be at different levels of abstraction. A high-level language mechanism, the Execute statement, is then proposed as the basis of the interface between a kernel and the processes it supports. Software capabilities control access between levels and the Execute statement controls processor context switching between levels. The mechanisms rely on data typing for reliability and protection. They encourage systems that are well protected and exhibit an explicit hierarchical structure. Software capabilities and the Execute statement are illustrated with a pilot implementation on the Prime 650. An experimental operating system that encompasses their use is discussed Extensions are presented which manage interrupts, timeslicing and preemption, and hardware protection mechanisms. © 1984, IEEE.</v>
      </c>
      <c r="H189" s="8" t="str">
        <f>IFERROR(__xludf.DUMMYFUNCTION("""COMPUTED_VALUE"""),"Capabilities; context switching; high-level languages; operating systems; Pascal run-time kernel")</f>
        <v>Capabilities; context switching; high-level languages; operating systems; Pascal run-time kernel</v>
      </c>
      <c r="I189" s="10" t="b">
        <v>0</v>
      </c>
      <c r="J189" s="10" t="b">
        <v>0</v>
      </c>
      <c r="K189" s="10" t="b">
        <v>0</v>
      </c>
      <c r="L189" s="10" t="b">
        <v>0</v>
      </c>
      <c r="M189" s="10" t="b">
        <v>0</v>
      </c>
      <c r="N189" s="10" t="b">
        <v>0</v>
      </c>
      <c r="O189" s="11" t="b">
        <f t="shared" si="1"/>
        <v>0</v>
      </c>
      <c r="P189" s="16" t="b">
        <v>0</v>
      </c>
      <c r="Q189" s="7"/>
    </row>
    <row r="190">
      <c r="A190" s="5" t="b">
        <v>1</v>
      </c>
      <c r="B190" s="5" t="s">
        <v>226</v>
      </c>
      <c r="C190" s="6" t="str">
        <f>IFERROR(__xludf.DUMMYFUNCTION("""COMPUTED_VALUE"""),"10.1109/32.142869")</f>
        <v>10.1109/32.142869</v>
      </c>
      <c r="D190" s="7" t="str">
        <f>IFERROR(__xludf.DUMMYFUNCTION("""COMPUTED_VALUE"""),"Rich C.; Feldman Y.A.")</f>
        <v>Rich C.; Feldman Y.A.</v>
      </c>
      <c r="E190" s="7" t="str">
        <f>IFERROR(__xludf.DUMMYFUNCTION("""COMPUTED_VALUE"""),"Seven layers of knowledge representation and reasoning in support of software development")</f>
        <v>Seven layers of knowledge representation and reasoning in support of software development</v>
      </c>
      <c r="F190" s="7" t="str">
        <f>IFERROR(__xludf.DUMMYFUNCTION("""COMPUTED_VALUE"""),"TSE")</f>
        <v>TSE</v>
      </c>
      <c r="G190" s="7" t="str">
        <f>IFERROR(__xludf.DUMMYFUNCTION("""COMPUTED_VALUE"""),"This paper summarizes our experience in the Programmer’s Apprentice project in applying knowledge representation and automated reasoning to support software development. We describe a system, called Cake, that comprises seven layers layers of knowledge re"&amp;"presentation and reasoning facilities: truth maintenance, Boolean constraint propagation, equality, types algebra, frames, and Plan Calculus. We also include sessions with two experimental software development tools implemented using Cake: the Requirement"&amp;"s Apprentice and the Debugging Assistant. © 1992 IEEE")</f>
        <v>This paper summarizes our experience in the Programmer’s Apprentice project in applying knowledge representation and automated reasoning to support software development. We describe a system, called Cake, that comprises seven layers layers of knowledge representation and reasoning facilities: truth maintenance, Boolean constraint propagation, equality, types algebra, frames, and Plan Calculus. We also include sessions with two experimental software development tools implemented using Cake: the Requirements Apprentice and the Debugging Assistant. © 1992 IEEE</v>
      </c>
      <c r="H190" s="8" t="str">
        <f>IFERROR(__xludf.DUMMYFUNCTION("""COMPUTED_VALUE"""),"Automated reasoning; constraint propagation; debugging; equality; knowledge representation; Plan Calculus requirements; software development; truth maintenance")</f>
        <v>Automated reasoning; constraint propagation; debugging; equality; knowledge representation; Plan Calculus requirements; software development; truth maintenance</v>
      </c>
      <c r="I190" s="10" t="b">
        <v>0</v>
      </c>
      <c r="J190" s="10" t="b">
        <v>0</v>
      </c>
      <c r="K190" s="10" t="b">
        <v>0</v>
      </c>
      <c r="L190" s="10" t="b">
        <v>0</v>
      </c>
      <c r="M190" s="10" t="b">
        <v>0</v>
      </c>
      <c r="N190" s="10" t="b">
        <v>0</v>
      </c>
      <c r="O190" s="11" t="b">
        <f t="shared" si="1"/>
        <v>0</v>
      </c>
      <c r="P190" s="16" t="b">
        <v>0</v>
      </c>
      <c r="Q190" s="7"/>
    </row>
    <row r="191">
      <c r="A191" s="5" t="b">
        <v>1</v>
      </c>
      <c r="B191" s="5" t="s">
        <v>227</v>
      </c>
      <c r="C191" s="6" t="str">
        <f>IFERROR(__xludf.DUMMYFUNCTION("""COMPUTED_VALUE"""),"10.1109/TSE.1984.5010304")</f>
        <v>10.1109/TSE.1984.5010304</v>
      </c>
      <c r="D191" s="7" t="str">
        <f>IFERROR(__xludf.DUMMYFUNCTION("""COMPUTED_VALUE"""),"Plattner B.")</f>
        <v>Plattner B.</v>
      </c>
      <c r="E191" s="7" t="str">
        <f>IFERROR(__xludf.DUMMYFUNCTION("""COMPUTED_VALUE"""),"Real-Time Execution Monitoring")</f>
        <v>Real-Time Execution Monitoring</v>
      </c>
      <c r="F191" s="7" t="str">
        <f>IFERROR(__xludf.DUMMYFUNCTION("""COMPUTED_VALUE"""),"TSE")</f>
        <v>TSE</v>
      </c>
      <c r="G191" s="7" t="str">
        <f>IFERROR(__xludf.DUMMYFUNCTION("""COMPUTED_VALUE"""),"Today's programming methodology emphasizes the study of static aspects of programs. In practice, however, monitoring a program in execution, i.e., monitoring a process, is routinely done by any programmer whose task it is to produce a reliable piece of so"&amp;"ftware. There are two reasons why one might want to examine the dynamic aspects of a program: first, to evaluate the performance of a program, and hence to assess its overall behavior; and second, to demonstrate the presence of programming errors, isolate"&amp;" erroneous program code, and correct it. This latter task is commonly called “debugging a program” and requires a detailed insight into the innards of a program being executed. Today, many computer systems are being used to measure and control real-world "&amp;"processes. The pace of execution of these systems and their control programs is therefore bound to timing constraints imposed by the real-world process. As a step towards solving the problems associated with execution monitoring of real-time programs, we "&amp;"develop a set of appropriate concepts and define the basic requirements for a real-time monitoring facility. As a test case for the theoretical treatment of the topic, we design hardware and software for an experimental real-time monitoring system and des"&amp;"cribe its implementation. © 1984 IEEE")</f>
        <v>Today's programming methodology emphasizes the study of static aspects of programs. In practice, however, monitoring a program in execution, i.e., monitoring a process, is routinely done by any programmer whose task it is to produce a reliable piece of software. There are two reasons why one might want to examine the dynamic aspects of a program: first, to evaluate the performance of a program, and hence to assess its overall behavior; and second, to demonstrate the presence of programming errors, isolate erroneous program code, and correct it. This latter task is commonly called “debugging a program” and requires a detailed insight into the innards of a program being executed. Today, many computer systems are being used to measure and control real-world processes. The pace of execution of these systems and their control programs is therefore bound to timing constraints imposed by the real-world process. As a step towards solving the problems associated with execution monitoring of real-time programs, we develop a set of appropriate concepts and define the basic requirements for a real-time monitoring facility. As a test case for the theoretical treatment of the topic, we design hardware and software for an experimental real-time monitoring system and describe its implementation. © 1984 IEEE</v>
      </c>
      <c r="H191" s="8" t="str">
        <f>IFERROR(__xludf.DUMMYFUNCTION("""COMPUTED_VALUE"""),"Debugging; monitor; performance evaluation; process interaction; process monitor; real-time monitoring; timing")</f>
        <v>Debugging; monitor; performance evaluation; process interaction; process monitor; real-time monitoring; timing</v>
      </c>
      <c r="I191" s="10" t="b">
        <v>0</v>
      </c>
      <c r="J191" s="10" t="b">
        <v>0</v>
      </c>
      <c r="K191" s="10" t="b">
        <v>0</v>
      </c>
      <c r="L191" s="10" t="b">
        <v>0</v>
      </c>
      <c r="M191" s="10" t="b">
        <v>0</v>
      </c>
      <c r="N191" s="10" t="b">
        <v>0</v>
      </c>
      <c r="O191" s="11" t="b">
        <f t="shared" si="1"/>
        <v>0</v>
      </c>
      <c r="P191" s="16" t="b">
        <v>0</v>
      </c>
      <c r="Q191" s="7"/>
    </row>
    <row r="192">
      <c r="A192" s="5" t="b">
        <v>1</v>
      </c>
      <c r="B192" s="5" t="s">
        <v>228</v>
      </c>
      <c r="C192" s="6" t="str">
        <f>IFERROR(__xludf.DUMMYFUNCTION("""COMPUTED_VALUE"""),"10.1109/TSE.1987.233474")</f>
        <v>10.1109/TSE.1987.233474</v>
      </c>
      <c r="D192" s="7" t="str">
        <f>IFERROR(__xludf.DUMMYFUNCTION("""COMPUTED_VALUE"""),"Burton F.W.; Maurer D.; Oberhauser H.G.; Wilhelm R.")</f>
        <v>Burton F.W.; Maurer D.; Oberhauser H.G.; Wilhelm R.</v>
      </c>
      <c r="E192" s="7" t="str">
        <f>IFERROR(__xludf.DUMMYFUNCTION("""COMPUTED_VALUE"""),"A Space-Efficient Optimization of Call-by-Need-")</f>
        <v>A Space-Efficient Optimization of Call-by-Need-</v>
      </c>
      <c r="F192" s="7" t="str">
        <f>IFERROR(__xludf.DUMMYFUNCTION("""COMPUTED_VALUE"""),"TSE")</f>
        <v>TSE</v>
      </c>
      <c r="G192" s="7" t="str">
        <f>IFERROR(__xludf.DUMMYFUNCTION("""COMPUTED_VALUE"""),"Call-by-need is widely regarded as an optimal (to within a constant factor) parameter passing mechanism for functional programming languages. Except for certain special cases involving higher order functions, call-by-need is optimal with respect to time. "&amp;"However, call-by-need is far from optimal with respect to space. We examine some of the space problems which can arise with call-by-need and other parameter passing mechanisms. A simple optimizing technique, based on work by Mycroft [1], is proposed. If i"&amp;"t can be determined both that an expression must be evaluated eventually and that the evaluation of the expression is likely to reduce the space required by the program, then the evaluation is performed as soon as possible. This optimization does not resu"&amp;"lt in optimal space performance in all cases. However, in most of the common cases where call-by-need causes a problem the proposed optimization avoids the problem. Since our technique is not always optimal, it is likely to be of greatest advantage in sit"&amp;"uations where efficiency is important but not critical. For example, functional languages with call-by-name semantics are increasingly being used as specification languages. Since such a specification is runnable, it may be used as a prototype. This makes"&amp;" it possible to experiment with a program and refine the specification before the implementation in the target language is started. Copyright © 1987 by The Institute of Electrical and Electronics Engineers, Inc.")</f>
        <v>Call-by-need is widely regarded as an optimal (to within a constant factor) parameter passing mechanism for functional programming languages. Except for certain special cases involving higher order functions, call-by-need is optimal with respect to time. However, call-by-need is far from optimal with respect to space. We examine some of the space problems which can arise with call-by-need and other parameter passing mechanisms. A simple optimizing technique, based on work by Mycroft [1], is proposed. If it can be determined both that an expression must be evaluated eventually and that the evaluation of the expression is likely to reduce the space required by the program, then the evaluation is performed as soon as possible. This optimization does not result in optimal space performance in all cases. However, in most of the common cases where call-by-need causes a problem the proposed optimization avoids the problem. Since our technique is not always optimal, it is likely to be of greatest advantage in situations where efficiency is important but not critical. For example, functional languages with call-by-name semantics are increasingly being used as specification languages. Since such a specification is runnable, it may be used as a prototype. This makes it possible to experiment with a program and refine the specification before the implementation in the target language is started. Copyright © 1987 by The Institute of Electrical and Electronics Engineers, Inc.</v>
      </c>
      <c r="H192" s="8" t="str">
        <f>IFERROR(__xludf.DUMMYFUNCTION("""COMPUTED_VALUE"""),"Call-by-need; functional programming; optimization; space; strictness")</f>
        <v>Call-by-need; functional programming; optimization; space; strictness</v>
      </c>
      <c r="I192" s="10" t="b">
        <v>0</v>
      </c>
      <c r="J192" s="10" t="b">
        <v>0</v>
      </c>
      <c r="K192" s="10" t="b">
        <v>0</v>
      </c>
      <c r="L192" s="10" t="b">
        <v>0</v>
      </c>
      <c r="M192" s="10" t="b">
        <v>0</v>
      </c>
      <c r="N192" s="10" t="b">
        <v>0</v>
      </c>
      <c r="O192" s="11" t="b">
        <f t="shared" si="1"/>
        <v>0</v>
      </c>
      <c r="P192" s="16" t="b">
        <v>0</v>
      </c>
      <c r="Q192" s="7"/>
    </row>
    <row r="193">
      <c r="A193" s="5" t="b">
        <v>1</v>
      </c>
      <c r="B193" s="5" t="s">
        <v>229</v>
      </c>
      <c r="C193" s="6" t="str">
        <f>IFERROR(__xludf.DUMMYFUNCTION("""COMPUTED_VALUE"""),"10.1109/32.126767")</f>
        <v>10.1109/32.126767</v>
      </c>
      <c r="D193" s="7" t="str">
        <f>IFERROR(__xludf.DUMMYFUNCTION("""COMPUTED_VALUE"""),"Paulson D.; Wand Y.")</f>
        <v>Paulson D.; Wand Y.</v>
      </c>
      <c r="E193" s="7" t="str">
        <f>IFERROR(__xludf.DUMMYFUNCTION("""COMPUTED_VALUE"""),"An Automated Approach to Information Systems Decomposition")</f>
        <v>An Automated Approach to Information Systems Decomposition</v>
      </c>
      <c r="F193" s="7" t="str">
        <f>IFERROR(__xludf.DUMMYFUNCTION("""COMPUTED_VALUE"""),"TSE")</f>
        <v>TSE</v>
      </c>
      <c r="G193" s="7" t="str">
        <f>IFERROR(__xludf.DUMMYFUNCTION("""COMPUTED_VALUE"""),"Decomposition is the breakdown of a complex system into smaller, relatively independent units. It is the main tool available to simplify the construction of complex man-made systems. System decomposition is an essential part of the systems analysis and de"&amp;"sign process. However, despite the importance of system decomposition, there is no general approach for accomplishing it. Rather, decomposition relies on an analyst’s experience and expertise. In this paper we describe a method for automating the process "&amp;"of system decomposition. The method is based on a formal specification scheme, formal definition of good decomposition, heuristic rules governing the search for good candidate decompositions, and a measure of complexity that allows ranking of the candidat"&amp;"e decompositions. The decomposition method has been implemented as a set of experimental computerized systems analysis tools and applied to a standard problem for which other designs already exist. The results are encouraging, in that decompositions gener"&amp;"ated using other methodologies map easily into those suggested by the computerized tools. Additionally, the use of the method indicates that when more than one “good” decomposition is suggested by the system, the specifications might have been incomplete."&amp;" That is, the computerized tools can identify areas where more information should be sought by analysts. © 1992 IEEE")</f>
        <v>Decomposition is the breakdown of a complex system into smaller, relatively independent units. It is the main tool available to simplify the construction of complex man-made systems. System decomposition is an essential part of the systems analysis and design process. However, despite the importance of system decomposition, there is no general approach for accomplishing it. Rather, decomposition relies on an analyst’s experience and expertise. In this paper we describe a method for automating the process of system decomposition. The method is based on a formal specification scheme, formal definition of good decomposition, heuristic rules governing the search for good candidate decompositions, and a measure of complexity that allows ranking of the candidate decompositions. The decomposition method has been implemented as a set of experimental computerized systems analysis tools and applied to a standard problem for which other designs already exist. The results are encouraging, in that decompositions generated using other methodologies map easily into those suggested by the computerized tools. Additionally, the use of the method indicates that when more than one “good” decomposition is suggested by the system, the specifications might have been incomplete. That is, the computerized tools can identify areas where more information should be sought by analysts. © 1992 IEEE</v>
      </c>
      <c r="H193" s="8" t="str">
        <f>IFERROR(__xludf.DUMMYFUNCTION("""COMPUTED_VALUE"""),"Information hiding; system analysis; system complexity; system decomposition; system design; system modeling")</f>
        <v>Information hiding; system analysis; system complexity; system decomposition; system design; system modeling</v>
      </c>
      <c r="I193" s="10" t="b">
        <v>0</v>
      </c>
      <c r="J193" s="10" t="b">
        <v>0</v>
      </c>
      <c r="K193" s="10" t="b">
        <v>0</v>
      </c>
      <c r="L193" s="10" t="b">
        <v>0</v>
      </c>
      <c r="M193" s="10" t="b">
        <v>0</v>
      </c>
      <c r="N193" s="10" t="b">
        <v>0</v>
      </c>
      <c r="O193" s="11" t="b">
        <f t="shared" si="1"/>
        <v>0</v>
      </c>
      <c r="P193" s="16" t="b">
        <v>0</v>
      </c>
      <c r="Q193" s="7"/>
    </row>
    <row r="194">
      <c r="A194" s="5" t="b">
        <v>1</v>
      </c>
      <c r="B194" s="5" t="s">
        <v>230</v>
      </c>
      <c r="C194" s="6" t="str">
        <f>IFERROR(__xludf.DUMMYFUNCTION("""COMPUTED_VALUE"""),"10.1109/TSE.1981.234518")</f>
        <v>10.1109/TSE.1981.234518</v>
      </c>
      <c r="D194" s="7" t="str">
        <f>IFERROR(__xludf.DUMMYFUNCTION("""COMPUTED_VALUE"""),"Dershowitz N.")</f>
        <v>Dershowitz N.</v>
      </c>
      <c r="E194" s="7" t="str">
        <f>IFERROR(__xludf.DUMMYFUNCTION("""COMPUTED_VALUE"""),"Inference Rules for Program Annotation")</f>
        <v>Inference Rules for Program Annotation</v>
      </c>
      <c r="F194" s="7" t="str">
        <f>IFERROR(__xludf.DUMMYFUNCTION("""COMPUTED_VALUE"""),"TSE")</f>
        <v>TSE</v>
      </c>
      <c r="G194" s="7" t="str">
        <f>IFERROR(__xludf.DUMMYFUNCTION("""COMPUTED_VALUE"""),"Methods are presented whereby an Algol-like program given together with its specifications can be documented automatically. The program is incrementally annotated with invariant relations that hold between program variables at intermediate points in the p"&amp;"rogram text and explain the actual workings of the program regardless of whether it is correct. Thus, this documentation can be used for proving correctness of programs or may serve as an aid in debugging incorrect programs. The annotation techniques are "&amp;"formulated as Hoare-like inference rules that derive invariants from the assignment statements, from the control structure of the program, or, heuristically, from suggested invariants. The application of these rules is demonstrated by examples that have r"&amp;"un on an experimental implementation. Copyright © 1981 by The Institute of Electrical and Electronics Engineers, Inc.")</f>
        <v>Methods are presented whereby an Algol-like program given together with its specifications can be documented automatically. The program is incrementally annotated with invariant relations that hold between program variables at intermediate points in the program text and explain the actual workings of the program regardless of whether it is correct. Thus, this documentation can be used for proving correctness of programs or may serve as an aid in debugging incorrect programs. The annotation techniques are formulated as Hoare-like inference rules that derive invariants from the assignment statements, from the control structure of the program, or, heuristically, from suggested invariants. The application of these rules is demonstrated by examples that have run on an experimental implementation. Copyright © 1981 by The Institute of Electrical and Electronics Engineers, Inc.</v>
      </c>
      <c r="H194" s="8" t="str">
        <f>IFERROR(__xludf.DUMMYFUNCTION("""COMPUTED_VALUE"""),"Inference rules; invariant assertions; program annotation; program correctness; verification")</f>
        <v>Inference rules; invariant assertions; program annotation; program correctness; verification</v>
      </c>
      <c r="I194" s="10" t="b">
        <v>0</v>
      </c>
      <c r="J194" s="10" t="b">
        <v>0</v>
      </c>
      <c r="K194" s="10" t="b">
        <v>0</v>
      </c>
      <c r="L194" s="10" t="b">
        <v>0</v>
      </c>
      <c r="M194" s="10" t="b">
        <v>0</v>
      </c>
      <c r="N194" s="10" t="b">
        <v>0</v>
      </c>
      <c r="O194" s="11" t="b">
        <f t="shared" si="1"/>
        <v>0</v>
      </c>
      <c r="P194" s="16" t="b">
        <v>0</v>
      </c>
      <c r="Q194" s="7"/>
    </row>
    <row r="195">
      <c r="A195" s="5" t="b">
        <v>1</v>
      </c>
      <c r="B195" s="5" t="s">
        <v>231</v>
      </c>
      <c r="C195" s="6" t="str">
        <f>IFERROR(__xludf.DUMMYFUNCTION("""COMPUTED_VALUE"""),"10.1109/TSE.1983.236864")</f>
        <v>10.1109/TSE.1983.236864</v>
      </c>
      <c r="D195" s="7" t="str">
        <f>IFERROR(__xludf.DUMMYFUNCTION("""COMPUTED_VALUE"""),"Macewen G.H.")</f>
        <v>Macewen G.H.</v>
      </c>
      <c r="E195" s="7" t="str">
        <f>IFERROR(__xludf.DUMMYFUNCTION("""COMPUTED_VALUE"""),"The Design for a Secure System Based on Program Analysis")</f>
        <v>The Design for a Secure System Based on Program Analysis</v>
      </c>
      <c r="F195" s="7" t="str">
        <f>IFERROR(__xludf.DUMMYFUNCTION("""COMPUTED_VALUE"""),"TSE")</f>
        <v>TSE</v>
      </c>
      <c r="G195" s="7" t="str">
        <f>IFERROR(__xludf.DUMMYFUNCTION("""COMPUTED_VALUE"""),"This paper describes the design of a prototype experimental secure operating system kernel called xsl that supports compile-time enforcement of an information flow policy. The security model chosen is an extension of Feiertag’s model modified to state req"&amp;"uirements in terms of program analysis functions. A prototype flow analyzer for Pascal programs, based on Denning’s model, has been designed and implemented for incorporation into xsl. In addition, a flow analyzer, based on London’s model, has also been d"&amp;"esigned and implemented. Both kinds of enforcement are supported in xsl. Both program anal-lyzers use an intermediate code program representation, originally designed for code optimization. Implementation of the flow analyzers is in Euclid with the remain"&amp;"der of xsl in Pascal. Copyright © 1983 by The Institute of Electrical and Electronics Engineers, Inc.")</f>
        <v>This paper describes the design of a prototype experimental secure operating system kernel called xsl that supports compile-time enforcement of an information flow policy. The security model chosen is an extension of Feiertag’s model modified to state requirements in terms of program analysis functions. A prototype flow analyzer for Pascal programs, based on Denning’s model, has been designed and implemented for incorporation into xsl. In addition, a flow analyzer, based on London’s model, has also been designed and implemented. Both kinds of enforcement are supported in xsl. Both program anal-lyzers use an intermediate code program representation, originally designed for code optimization. Implementation of the flow analyzers is in Euclid with the remainder of xsl in Pascal. Copyright © 1983 by The Institute of Electrical and Electronics Engineers, Inc.</v>
      </c>
      <c r="H195" s="8" t="str">
        <f>IFERROR(__xludf.DUMMYFUNCTION("""COMPUTED_VALUE"""),"Access control; information flow; modularization; operating systems; security; software engineering; system design")</f>
        <v>Access control; information flow; modularization; operating systems; security; software engineering; system design</v>
      </c>
      <c r="I195" s="10" t="b">
        <v>0</v>
      </c>
      <c r="J195" s="10" t="b">
        <v>0</v>
      </c>
      <c r="K195" s="10" t="b">
        <v>0</v>
      </c>
      <c r="L195" s="10" t="b">
        <v>0</v>
      </c>
      <c r="M195" s="10" t="b">
        <v>0</v>
      </c>
      <c r="N195" s="10" t="b">
        <v>0</v>
      </c>
      <c r="O195" s="11" t="b">
        <f t="shared" si="1"/>
        <v>0</v>
      </c>
      <c r="P195" s="16" t="b">
        <v>0</v>
      </c>
      <c r="Q195" s="7"/>
    </row>
    <row r="196">
      <c r="A196" s="5" t="b">
        <v>1</v>
      </c>
      <c r="B196" s="5" t="s">
        <v>232</v>
      </c>
      <c r="C196" s="6" t="str">
        <f>IFERROR(__xludf.DUMMYFUNCTION("""COMPUTED_VALUE"""),"10.1109/TSE.1984.5010238")</f>
        <v>10.1109/TSE.1984.5010238</v>
      </c>
      <c r="D196" s="7" t="str">
        <f>IFERROR(__xludf.DUMMYFUNCTION("""COMPUTED_VALUE"""),"Boehm B.W.; Gray T.E.; Seewaldt T.")</f>
        <v>Boehm B.W.; Gray T.E.; Seewaldt T.</v>
      </c>
      <c r="E196" s="7" t="str">
        <f>IFERROR(__xludf.DUMMYFUNCTION("""COMPUTED_VALUE"""),"Prototyping Versus Specifying: A Multiproject Experiment")</f>
        <v>Prototyping Versus Specifying: A Multiproject Experiment</v>
      </c>
      <c r="F196" s="7" t="str">
        <f>IFERROR(__xludf.DUMMYFUNCTION("""COMPUTED_VALUE"""),"TSE")</f>
        <v>TSE</v>
      </c>
      <c r="G196" s="7" t="str">
        <f>IFERROR(__xludf.DUMMYFUNCTION("""COMPUTED_VALUE"""),"In this experiment, seven software teams developed versions of the same small-size (2000–4000 source instruction) application software product. Four teams used the Specifying approach. Three teams used the Prototyping approach. The main results of the exp"&amp;"eriment were the following. 1) Prototyping yielded products with roughly equivalent performance, but with about 40 percent less code and 45 percent less effort. 2) The prototyped products rated somewhat lower on functionality and robustness, but higher on"&amp;" ease of use and ease of learning. 3) Specifying produced more coherent designs and software that was easier to integrate. The paper presents the experimental data supporting these and a number of additional conclusions. © 1984, IEEE.")</f>
        <v>In this experiment, seven software teams developed versions of the same small-size (2000–4000 source instruction) application software product. Four teams used the Specifying approach. Three teams used the Prototyping approach. The main results of the experiment were the following. 1) Prototyping yielded products with roughly equivalent performance, but with about 40 percent less code and 45 percent less effort. 2) The prototyped products rated somewhat lower on functionality and robustness, but higher on ease of use and ease of learning. 3) Specifying produced more coherent designs and software that was easier to integrate. The paper presents the experimental data supporting these and a number of additional conclusions. © 1984, IEEE.</v>
      </c>
      <c r="H196" s="8" t="str">
        <f>IFERROR(__xludf.DUMMYFUNCTION("""COMPUTED_VALUE"""),"Prototypes requirements analysis; software engineering; software engineering education; software management; software metrics; specifications")</f>
        <v>Prototypes requirements analysis; software engineering; software engineering education; software management; software metrics; specifications</v>
      </c>
      <c r="I196" s="9" t="b">
        <v>1</v>
      </c>
      <c r="J196" s="9" t="b">
        <v>1</v>
      </c>
      <c r="K196" s="9" t="b">
        <v>1</v>
      </c>
      <c r="L196" s="10" t="b">
        <v>0</v>
      </c>
      <c r="M196" s="10" t="b">
        <v>0</v>
      </c>
      <c r="N196" s="10" t="b">
        <v>0</v>
      </c>
      <c r="O196" s="11" t="b">
        <f t="shared" si="1"/>
        <v>1</v>
      </c>
      <c r="P196" s="12" t="b">
        <v>0</v>
      </c>
      <c r="Q196" s="13"/>
    </row>
    <row r="197">
      <c r="A197" s="5" t="b">
        <v>1</v>
      </c>
      <c r="B197" s="5" t="s">
        <v>233</v>
      </c>
      <c r="C197" s="6" t="str">
        <f>IFERROR(__xludf.DUMMYFUNCTION("""COMPUTED_VALUE"""),"10.1109/TSE.1983.235432")</f>
        <v>10.1109/TSE.1983.235432</v>
      </c>
      <c r="D197" s="7" t="str">
        <f>IFERROR(__xludf.DUMMYFUNCTION("""COMPUTED_VALUE"""),"Osterweil L.J.")</f>
        <v>Osterweil L.J.</v>
      </c>
      <c r="E197" s="7" t="str">
        <f>IFERROR(__xludf.DUMMYFUNCTION("""COMPUTED_VALUE"""),"Toolpack—An Experimental Software Development Environment Research Project")</f>
        <v>Toolpack—An Experimental Software Development Environment Research Project</v>
      </c>
      <c r="F197" s="7" t="str">
        <f>IFERROR(__xludf.DUMMYFUNCTION("""COMPUTED_VALUE"""),"TSE")</f>
        <v>TSE</v>
      </c>
      <c r="G197" s="7" t="str">
        <f>IFERROR(__xludf.DUMMYFUNCTION("""COMPUTED_VALUE"""),"This paper discusses the goals and methods of the Toolpack project and in this context discusses the architecture and design of the software system being produced as the focus of the project. Toolpack is presented as an experimental activity in which a la"&amp;"rge software tool environment is being created for the purpose of general distribution and then careful study and analysis. The paper begins by explaining the motivation for building integrated tool sets. It then proceeds to explain the basic requirements"&amp;" that an integrated system of tools must satisfy in order to be successful and to remain useful both in practice and as an experimental object. The paper then summarizes the tool capabilities that will be incorporated into the environment. It then goes on"&amp;" to present a careful description of the actual architecture of the Toolpack integrated tool system. Finally the Toolpack project experimental plan is presented, and future plans and directions are summarized. Copyright © 1983 by The Institute of Electric"&amp;"al and Electronics Engineers, Inc.")</f>
        <v>This paper discusses the goals and methods of the Toolpack project and in this context discusses the architecture and design of the software system being produced as the focus of the project. Toolpack is presented as an experimental activity in which a large software tool environment is being created for the purpose of general distribution and then careful study and analysis. The paper begins by explaining the motivation for building integrated tool sets. It then proceeds to explain the basic requirements that an integrated system of tools must satisfy in order to be successful and to remain useful both in practice and as an experimental object. The paper then summarizes the tool capabilities that will be incorporated into the environment. It then goes on to present a careful description of the actual architecture of the Toolpack integrated tool system. Finally the Toolpack project experimental plan is presented, and future plans and directions are summarized. Copyright © 1983 by The Institute of Electrical and Electronics Engineers, Inc.</v>
      </c>
      <c r="H197" s="8" t="str">
        <f>IFERROR(__xludf.DUMMYFUNCTION("""COMPUTED_VALUE"""),"Experimentation with prototypes; Fortran; portable software; programming environments; software tools; virtual file system")</f>
        <v>Experimentation with prototypes; Fortran; portable software; programming environments; software tools; virtual file system</v>
      </c>
      <c r="I197" s="10" t="b">
        <v>0</v>
      </c>
      <c r="J197" s="10" t="b">
        <v>0</v>
      </c>
      <c r="K197" s="10" t="b">
        <v>0</v>
      </c>
      <c r="L197" s="10" t="b">
        <v>0</v>
      </c>
      <c r="M197" s="10" t="b">
        <v>0</v>
      </c>
      <c r="N197" s="10" t="b">
        <v>0</v>
      </c>
      <c r="O197" s="11" t="b">
        <f t="shared" si="1"/>
        <v>0</v>
      </c>
      <c r="P197" s="16" t="b">
        <v>0</v>
      </c>
      <c r="Q197" s="7"/>
    </row>
    <row r="198">
      <c r="A198" s="5" t="b">
        <v>1</v>
      </c>
      <c r="B198" s="5" t="s">
        <v>234</v>
      </c>
      <c r="C198" s="6" t="str">
        <f>IFERROR(__xludf.DUMMYFUNCTION("""COMPUTED_VALUE"""),"10.1109/TSE.1986.6313048")</f>
        <v>10.1109/TSE.1986.6313048</v>
      </c>
      <c r="D198" s="7" t="str">
        <f>IFERROR(__xludf.DUMMYFUNCTION("""COMPUTED_VALUE"""),"Bishop P.G.; Esp D.G.; Barnes M.; Humphreys P.; Dahll G.; Lahti J.")</f>
        <v>Bishop P.G.; Esp D.G.; Barnes M.; Humphreys P.; Dahll G.; Lahti J.</v>
      </c>
      <c r="E198" s="7" t="str">
        <f>IFERROR(__xludf.DUMMYFUNCTION("""COMPUTED_VALUE"""),"PODS—A Project on Diverse Software")</f>
        <v>PODS—A Project on Diverse Software</v>
      </c>
      <c r="F198" s="7" t="str">
        <f>IFERROR(__xludf.DUMMYFUNCTION("""COMPUTED_VALUE"""),"TSE")</f>
        <v>TSE</v>
      </c>
      <c r="G198" s="7" t="str">
        <f>IFERROR(__xludf.DUMMYFUNCTION("""COMPUTED_VALUE"""),"The Project On Diverse Software (PODS) was a collaborative software reliability research project whose main objectives were: To evaluate the merits of using diverse (or n-version) software. • To evaluate the computer-based specification language “X”. • To"&amp;" compare the effects of representative high-level and low-level languages on productivity and reliability. In addition, there was a secondary objective to monitor the software development process, with particular reference to the creation and detection of"&amp;" software faults. To achieve these objectives, an experiment was mounted which simulated a normal software development process to produce three diverse programs to the same requirement. The requirement was for a reactor over-power protection (trip) system"&amp;". Diversity was ensured by having three independent teams to produce the software, using different specification methods (formal and informal) and different implementation languages (assembly language and Fortran). This also allowed the comparison of spec"&amp;"ification methods and programming languages to be made. After careful independent development and testing, the three programs were tested against each other in a special test harness to locate residual faults. All phases of the project were carefully docu"&amp;"mented for subsequent analysis. The major conclusions for this particular project were that: Diverse software with majority voting failed less frequently than any individual program, but some common faults did exist at the end of normal software developme"&amp;"nt. • Testing diverse programs “back-to-back” proved to be a powerful method of detecting residual faults. • The residual faults were all related to the specification of requirements, and hence, the requirement specification was the only known cause of co"&amp;"mmon mode failure. © 1986 IEEE")</f>
        <v>The Project On Diverse Software (PODS) was a collaborative software reliability research project whose main objectives were: To evaluate the merits of using diverse (or n-version) software. • To evaluate the computer-based specification language “X”. • To compare the effects of representative high-level and low-level languages on productivity and reliability. In addition, there was a secondary objective to monitor the software development process, with particular reference to the creation and detection of software faults. To achieve these objectives, an experiment was mounted which simulated a normal software development process to produce three diverse programs to the same requirement. The requirement was for a reactor over-power protection (trip) system. Diversity was ensured by having three independent teams to produce the software, using different specification methods (formal and informal) and different implementation languages (assembly language and Fortran). This also allowed the comparison of specification methods and programming languages to be made. After careful independent development and testing, the three programs were tested against each other in a special test harness to locate residual faults. All phases of the project were carefully documented for subsequent analysis. The major conclusions for this particular project were that: Diverse software with majority voting failed less frequently than any individual program, but some common faults did exist at the end of normal software development. • Testing diverse programs “back-to-back” proved to be a powerful method of detecting residual faults. • The residual faults were all related to the specification of requirements, and hence, the requirement specification was the only known cause of common mode failure. © 1986 IEEE</v>
      </c>
      <c r="H198" s="8" t="str">
        <f>IFERROR(__xludf.DUMMYFUNCTION("""COMPUTED_VALUE"""),"Fault classification; n-version programming; PODS programming languages; reactor protection; software diversity; software faults; software reliability; specification languages X")</f>
        <v>Fault classification; n-version programming; PODS programming languages; reactor protection; software diversity; software faults; software reliability; specification languages X</v>
      </c>
      <c r="I198" s="9" t="b">
        <v>1</v>
      </c>
      <c r="J198" s="9" t="b">
        <v>1</v>
      </c>
      <c r="K198" s="9" t="b">
        <v>1</v>
      </c>
      <c r="L198" s="10" t="b">
        <v>0</v>
      </c>
      <c r="M198" s="10" t="b">
        <v>0</v>
      </c>
      <c r="N198" s="10" t="b">
        <v>0</v>
      </c>
      <c r="O198" s="11" t="b">
        <f t="shared" si="1"/>
        <v>1</v>
      </c>
      <c r="P198" s="16" t="b">
        <v>0</v>
      </c>
      <c r="Q198" s="7"/>
    </row>
    <row r="199">
      <c r="A199" s="5" t="b">
        <v>1</v>
      </c>
      <c r="B199" s="5" t="s">
        <v>235</v>
      </c>
      <c r="C199" s="6" t="str">
        <f>IFERROR(__xludf.DUMMYFUNCTION("""COMPUTED_VALUE"""),"10.1109/32.328993")</f>
        <v>10.1109/32.328993</v>
      </c>
      <c r="D199" s="7" t="str">
        <f>IFERROR(__xludf.DUMMYFUNCTION("""COMPUTED_VALUE"""),"Hatton L.")</f>
        <v>Hatton L.</v>
      </c>
      <c r="E199" s="7" t="str">
        <f>IFERROR(__xludf.DUMMYFUNCTION("""COMPUTED_VALUE"""),"How Accurate Is Scientific Software?")</f>
        <v>How Accurate Is Scientific Software?</v>
      </c>
      <c r="F199" s="7" t="str">
        <f>IFERROR(__xludf.DUMMYFUNCTION("""COMPUTED_VALUE"""),"TSE")</f>
        <v>TSE</v>
      </c>
      <c r="G199" s="7" t="str">
        <f>IFERROR(__xludf.DUMMYFUNCTION("""COMPUTED_VALUE"""),"This paper describes some results of what, to the authors' knowledge, is the largest N-version programming experiment ever performed. The object of this ongoing four-year study is to attemjtl to determine just how consistent the results of scientific comp"&amp;"utation really are, and, from this, to estimate accuracy. The experiment is being carried out in a branch of the earth sciences known as seismic data processing, where 15 or so independently developed large commercial packages that implement mathematical "&amp;"algorithms from the same or similar published specifications in the same programming language (Fortran) have been developed over the last 20 years. The results of processing the same input dataset, using the same user-specified parameters, for nine of the"&amp;"se packages is reported in this paper. Finally, feedback of obvious flaws was attemjtled to reduce the overall disagreement. The results are deeply disturbing. Whereas scientists like to think that their code is accurate to the precision of the arithmetic"&amp;" used, in this study, numerical disagreement grows at around the rate of 1 % in average absolute difference per 4000 lines of implemented code, and, even worse, the nature of the disagreement is nonrandom. Furthermore, the seismic data processing industry"&amp;" has better than average quality standards for its software development with both identifiable quality assurance functions and substantial test datasets. Comparing the results reported here with other work by Hatton showing broadly similar statically dete"&amp;"ctable fault rates in software from different disciplines gives strong indications that the software realisations of work in other scientific fields may be a great deal less accurate than many would believe, Against this backdrop, the authors believe that"&amp;" little progress will be made in some sciences until the problem is reduced, particularly in remote sensing, where the answer is generally inaccessible to direct measurement. To this end, the feedback experiments that formed part of the study proved valua"&amp;"ble, resulting in significant reductions in disagreement. © 1994, IEEE.")</f>
        <v>This paper describes some results of what, to the authors' knowledge, is the largest N-version programming experiment ever performed. The object of this ongoing four-year study is to attemjtl to determine just how consistent the results of scientific computation really are, and, from this, to estimate accuracy. The experiment is being carried out in a branch of the earth sciences known as seismic data processing, where 15 or so independently developed large commercial packages that implement mathematical algorithms from the same or similar published specifications in the same programming language (Fortran) have been developed over the last 20 years. The results of processing the same input dataset, using the same user-specified parameters, for nine of these packages is reported in this paper. Finally, feedback of obvious flaws was attemjtled to reduce the overall disagreement. The results are deeply disturbing. Whereas scientists like to think that their code is accurate to the precision of the arithmetic used, in this study, numerical disagreement grows at around the rate of 1 % in average absolute difference per 4000 lines of implemented code, and, even worse, the nature of the disagreement is nonrandom. Furthermore, the seismic data processing industry has better than average quality standards for its software development with both identifiable quality assurance functions and substantial test datasets. Comparing the results reported here with other work by Hatton showing broadly similar statically detectable fault rates in software from different disciplines gives strong indications that the software realisations of work in other scientific fields may be a great deal less accurate than many would believe, Against this backdrop, the authors believe that little progress will be made in some sciences until the problem is reduced, particularly in remote sensing, where the answer is generally inaccessible to direct measurement. To this end, the feedback experiments that formed part of the study proved valuable, resulting in significant reductions in disagreement. © 1994, IEEE.</v>
      </c>
      <c r="H199" s="8" t="str">
        <f>IFERROR(__xludf.DUMMYFUNCTION("""COMPUTED_VALUE"""),"Accuracy; fault visualization; N-version")</f>
        <v>Accuracy; fault visualization; N-version</v>
      </c>
      <c r="I199" s="10" t="b">
        <v>0</v>
      </c>
      <c r="J199" s="10" t="b">
        <v>0</v>
      </c>
      <c r="K199" s="10" t="b">
        <v>0</v>
      </c>
      <c r="L199" s="10" t="b">
        <v>0</v>
      </c>
      <c r="M199" s="10" t="b">
        <v>0</v>
      </c>
      <c r="N199" s="10" t="b">
        <v>0</v>
      </c>
      <c r="O199" s="11" t="b">
        <f t="shared" si="1"/>
        <v>0</v>
      </c>
      <c r="P199" s="16" t="b">
        <v>0</v>
      </c>
      <c r="Q199" s="7"/>
    </row>
    <row r="200">
      <c r="A200" s="5" t="b">
        <v>1</v>
      </c>
      <c r="B200" s="5" t="s">
        <v>236</v>
      </c>
      <c r="C200" s="6" t="str">
        <f>IFERROR(__xludf.DUMMYFUNCTION("""COMPUTED_VALUE"""),"10.1109/32.214834")</f>
        <v>10.1109/32.214834</v>
      </c>
      <c r="D200" s="7" t="str">
        <f>IFERROR(__xludf.DUMMYFUNCTION("""COMPUTED_VALUE"""),"Venkat Rangan P.")</f>
        <v>Venkat Rangan P.</v>
      </c>
      <c r="E200" s="7" t="str">
        <f>IFERROR(__xludf.DUMMYFUNCTION("""COMPUTED_VALUE"""),"Trust Requirements and Performance of a Fast Subtransport-Level Protocol for Secure Communication")</f>
        <v>Trust Requirements and Performance of a Fast Subtransport-Level Protocol for Secure Communication</v>
      </c>
      <c r="F200" s="7" t="str">
        <f>IFERROR(__xludf.DUMMYFUNCTION("""COMPUTED_VALUE"""),"TSE")</f>
        <v>TSE</v>
      </c>
      <c r="G200" s="7" t="str">
        <f>IFERROR(__xludf.DUMMYFUNCTION("""COMPUTED_VALUE"""),"Computing systems are evolving into very large global networks that interconnect competing individuals, organizations, and even countries. We present a secure network protocol called Authenticated Datagram Protocol (ADP) that optimizes performance by esta"&amp;"blishing host-to-host secure channels and building agent-to-agent channels on top of host-to-host channels. However, the performance advantages of ADP come with an accompanying set of trust requirements that are noticeably stringent for a network spanning"&amp;" mutually distrustful organizations. We identify the cause for this stringency to be propagation of trust relationships in ADP and present methods to break their propagation, thereby accomplishing a significant reduction in ADP’s trust requirements. ADP, "&amp;"being a protocol for establishing host-to-host channels, can be handled at the subtransport level of the protocol hierarchy. A prototype of ADP has been implemented on Sun workstations connected by an Ethernet. Experimental measurements confirm that both "&amp;"the average latency of messages and the maximum throughput are substantially better than other secure protocols. © 1993 IEEE")</f>
        <v>Computing systems are evolving into very large global networks that interconnect competing individuals, organizations, and even countries. We present a secure network protocol called Authenticated Datagram Protocol (ADP) that optimizes performance by establishing host-to-host secure channels and building agent-to-agent channels on top of host-to-host channels. However, the performance advantages of ADP come with an accompanying set of trust requirements that are noticeably stringent for a network spanning mutually distrustful organizations. We identify the cause for this stringency to be propagation of trust relationships in ADP and present methods to break their propagation, thereby accomplishing a significant reduction in ADP’s trust requirements. ADP, being a protocol for establishing host-to-host channels, can be handled at the subtransport level of the protocol hierarchy. A prototype of ADP has been implemented on Sun workstations connected by an Ethernet. Experimental measurements confirm that both the average latency of messages and the maximum throughput are substantially better than other secure protocols. © 1993 IEEE</v>
      </c>
      <c r="H200" s="8" t="str">
        <f>IFERROR(__xludf.DUMMYFUNCTION("""COMPUTED_VALUE"""),"PKE-based authentication; secure communication protocols; trust relationships")</f>
        <v>PKE-based authentication; secure communication protocols; trust relationships</v>
      </c>
      <c r="I200" s="10" t="b">
        <v>0</v>
      </c>
      <c r="J200" s="10" t="b">
        <v>0</v>
      </c>
      <c r="K200" s="10" t="b">
        <v>0</v>
      </c>
      <c r="L200" s="10" t="b">
        <v>0</v>
      </c>
      <c r="M200" s="10" t="b">
        <v>0</v>
      </c>
      <c r="N200" s="10" t="b">
        <v>0</v>
      </c>
      <c r="O200" s="11" t="b">
        <f t="shared" si="1"/>
        <v>0</v>
      </c>
      <c r="P200" s="16" t="b">
        <v>0</v>
      </c>
      <c r="Q200" s="7"/>
    </row>
    <row r="201">
      <c r="A201" s="5" t="b">
        <v>1</v>
      </c>
      <c r="B201" s="5" t="s">
        <v>237</v>
      </c>
      <c r="C201" s="6" t="str">
        <f>IFERROR(__xludf.DUMMYFUNCTION("""COMPUTED_VALUE"""),"10.1109/32.87281")</f>
        <v>10.1109/32.87281</v>
      </c>
      <c r="D201" s="7" t="str">
        <f>IFERROR(__xludf.DUMMYFUNCTION("""COMPUTED_VALUE"""),"Freedman Roy S.")</f>
        <v>Freedman Roy S.</v>
      </c>
      <c r="E201" s="7" t="str">
        <f>IFERROR(__xludf.DUMMYFUNCTION("""COMPUTED_VALUE"""),"Testability of software components")</f>
        <v>Testability of software components</v>
      </c>
      <c r="F201" s="7" t="str">
        <f>IFERROR(__xludf.DUMMYFUNCTION("""COMPUTED_VALUE"""),"TSE")</f>
        <v>TSE</v>
      </c>
      <c r="G201" s="7" t="str">
        <f>IFERROR(__xludf.DUMMYFUNCTION("""COMPUTED_VALUE"""),"The concept of domain testability of software is defined by applying the concepts of observability and controllability to software. It is shown that a domain-testable program does not exhibit any input-output inconsistencies and supports small test sets i"&amp;"n which test outputs are easily understood. Metrics that can be used to assess the level of effort required in order to modify a program so that it is domain-testable are discussed. Assessing testability from program specifications and an experiment which"&amp;" shows that it takes less time to build and test a program developed from a domain-testable specification than a similar program developed from a nondomain-testable specification are also discussed.")</f>
        <v>The concept of domain testability of software is defined by applying the concepts of observability and controllability to software. It is shown that a domain-testable program does not exhibit any input-output inconsistencies and supports small test sets in which test outputs are easily understood. Metrics that can be used to assess the level of effort required in order to modify a program so that it is domain-testable are discussed. Assessing testability from program specifications and an experiment which shows that it takes less time to build and test a program developed from a domain-testable specification than a similar program developed from a nondomain-testable specification are also discussed.</v>
      </c>
      <c r="H201" s="8"/>
      <c r="I201" s="9" t="b">
        <v>0</v>
      </c>
      <c r="J201" s="9" t="b">
        <v>0</v>
      </c>
      <c r="K201" s="9" t="b">
        <v>0</v>
      </c>
      <c r="L201" s="10" t="b">
        <v>0</v>
      </c>
      <c r="M201" s="10" t="b">
        <v>0</v>
      </c>
      <c r="N201" s="10" t="b">
        <v>0</v>
      </c>
      <c r="O201" s="11" t="b">
        <f t="shared" si="1"/>
        <v>0</v>
      </c>
      <c r="P201" s="12" t="b">
        <v>0</v>
      </c>
      <c r="Q201" s="13"/>
    </row>
    <row r="202">
      <c r="A202" s="5" t="b">
        <v>1</v>
      </c>
      <c r="B202" s="5" t="s">
        <v>238</v>
      </c>
      <c r="C202" s="6" t="str">
        <f>IFERROR(__xludf.DUMMYFUNCTION("""COMPUTED_VALUE"""),"10.1109/TSE.1984.5010255")</f>
        <v>10.1109/TSE.1984.5010255</v>
      </c>
      <c r="D202" s="7" t="str">
        <f>IFERROR(__xludf.DUMMYFUNCTION("""COMPUTED_VALUE"""),"Alanko T.O.; Erkio H.H.A.; Haikala I.J.")</f>
        <v>Alanko T.O.; Erkio H.H.A.; Haikala I.J.</v>
      </c>
      <c r="E202" s="7" t="str">
        <f>IFERROR(__xludf.DUMMYFUNCTION("""COMPUTED_VALUE"""),"Virtual Memory Behavior of Some Sorting Algorithms")</f>
        <v>Virtual Memory Behavior of Some Sorting Algorithms</v>
      </c>
      <c r="F202" s="7" t="str">
        <f>IFERROR(__xludf.DUMMYFUNCTION("""COMPUTED_VALUE"""),"TSE")</f>
        <v>TSE</v>
      </c>
      <c r="G202" s="7" t="str">
        <f>IFERROR(__xludf.DUMMYFUNCTION("""COMPUTED_VALUE"""),"Experimental results are given about the performance of six sorting algorithms in a virtual memory based on the working set principle. With one exception, the algorithms are general internal sorting algorithms and not especially tuned for virtual memory. "&amp;"Algorithms are compared in terms of their time requirements, space requirements, and space-time integrals. The relative performances of the algorithms vary from one measure to the other. Especially in terms of a space-time integral, quicksort turns out to"&amp;" be the best algorithm, also in a working set virtual memory environment. © 1984 IEEE.")</f>
        <v>Experimental results are given about the performance of six sorting algorithms in a virtual memory based on the working set principle. With one exception, the algorithms are general internal sorting algorithms and not especially tuned for virtual memory. Algorithms are compared in terms of their time requirements, space requirements, and space-time integrals. The relative performances of the algorithms vary from one measure to the other. Especially in terms of a space-time integral, quicksort turns out to be the best algorithm, also in a working set virtual memory environment. © 1984 IEEE.</v>
      </c>
      <c r="H202" s="8" t="str">
        <f>IFERROR(__xludf.DUMMYFUNCTION("""COMPUTED_VALUE"""),"Index Terms; Locality; performance; sorting algorithms; virtual memory; working set")</f>
        <v>Index Terms; Locality; performance; sorting algorithms; virtual memory; working set</v>
      </c>
      <c r="I202" s="10" t="b">
        <v>0</v>
      </c>
      <c r="J202" s="10" t="b">
        <v>0</v>
      </c>
      <c r="K202" s="10" t="b">
        <v>0</v>
      </c>
      <c r="L202" s="10" t="b">
        <v>0</v>
      </c>
      <c r="M202" s="10" t="b">
        <v>0</v>
      </c>
      <c r="N202" s="10" t="b">
        <v>0</v>
      </c>
      <c r="O202" s="11" t="b">
        <f t="shared" si="1"/>
        <v>0</v>
      </c>
      <c r="P202" s="16" t="b">
        <v>0</v>
      </c>
      <c r="Q202" s="7"/>
    </row>
    <row r="203">
      <c r="A203" s="5" t="b">
        <v>1</v>
      </c>
      <c r="B203" s="5" t="s">
        <v>239</v>
      </c>
      <c r="C203" s="6" t="str">
        <f>IFERROR(__xludf.DUMMYFUNCTION("""COMPUTED_VALUE"""),"10.1109/32.328992")</f>
        <v>10.1109/32.328992</v>
      </c>
      <c r="D203" s="7" t="str">
        <f>IFERROR(__xludf.DUMMYFUNCTION("""COMPUTED_VALUE"""),"Kiskis D.L.")</f>
        <v>Kiskis D.L.</v>
      </c>
      <c r="E203" s="7" t="str">
        <f>IFERROR(__xludf.DUMMYFUNCTION("""COMPUTED_VALUE"""),"SWSL: A Synthetic Workload Specification Language for Real-Time Systems")</f>
        <v>SWSL: A Synthetic Workload Specification Language for Real-Time Systems</v>
      </c>
      <c r="F203" s="7" t="str">
        <f>IFERROR(__xludf.DUMMYFUNCTION("""COMPUTED_VALUE"""),"TSE")</f>
        <v>TSE</v>
      </c>
      <c r="G203" s="7" t="str">
        <f>IFERROR(__xludf.DUMMYFUNCTION("""COMPUTED_VALUE"""),"In this paper, we discuss the issues that must be addressed in the specification and generation of synthetic workloads for distributed real-time systems. We describe a synthetic workload specification language (SWSL) that defines a workload in a form that"&amp;" can be compiled by a synthetic workload generator (SWG) to produce an executable synthetic workload. The synthetic workload is then downloaded to the target machine and executed while performance and dependability measurements are made. SWSL defines the "&amp;"workload at the task level using a data flow graph, and at the operation level using control constructs and synthetic operations taken from a library. It is intended to be easy to use, flexible, and capable of creating synthetic workloads that are represe"&amp;"ntative of real-time workloads. It provides a compact, parameterized notation. It supports automatic replication of objects to facilitate the specification of large workloads for distributed real-time systems. It also provides extensive support for the ex"&amp;"perimentation process. © 1994, IEEE.")</f>
        <v>In this paper, we discuss the issues that must be addressed in the specification and generation of synthetic workloads for distributed real-time systems. We describe a synthetic workload specification language (SWSL) that defines a workload in a form that can be compiled by a synthetic workload generator (SWG) to produce an executable synthetic workload. The synthetic workload is then downloaded to the target machine and executed while performance and dependability measurements are made. SWSL defines the workload at the task level using a data flow graph, and at the operation level using control constructs and synthetic operations taken from a library. It is intended to be easy to use, flexible, and capable of creating synthetic workloads that are representative of real-time workloads. It provides a compact, parameterized notation. It supports automatic replication of objects to facilitate the specification of large workloads for distributed real-time systems. It also provides extensive support for the experimentation process. © 1994, IEEE.</v>
      </c>
      <c r="H203" s="8" t="str">
        <f>IFERROR(__xludf.DUMMYFUNCTION("""COMPUTED_VALUE"""),"distributed real-time systems; performance and dependability measurement experiments; real-time workloads; Synthetic workloads")</f>
        <v>distributed real-time systems; performance and dependability measurement experiments; real-time workloads; Synthetic workloads</v>
      </c>
      <c r="I203" s="10" t="b">
        <v>0</v>
      </c>
      <c r="J203" s="10" t="b">
        <v>0</v>
      </c>
      <c r="K203" s="10" t="b">
        <v>0</v>
      </c>
      <c r="L203" s="10" t="b">
        <v>0</v>
      </c>
      <c r="M203" s="10" t="b">
        <v>0</v>
      </c>
      <c r="N203" s="10" t="b">
        <v>0</v>
      </c>
      <c r="O203" s="11" t="b">
        <f t="shared" si="1"/>
        <v>0</v>
      </c>
      <c r="P203" s="16" t="b">
        <v>0</v>
      </c>
      <c r="Q203" s="7"/>
    </row>
    <row r="204">
      <c r="A204" s="5" t="b">
        <v>1</v>
      </c>
      <c r="B204" s="5" t="s">
        <v>240</v>
      </c>
      <c r="C204" s="6" t="str">
        <f>IFERROR(__xludf.DUMMYFUNCTION("""COMPUTED_VALUE"""),"10.1109/32.238582")</f>
        <v>10.1109/32.238582</v>
      </c>
      <c r="D204" s="7" t="str">
        <f>IFERROR(__xludf.DUMMYFUNCTION("""COMPUTED_VALUE"""),"Hamidzadeh B.; Shekhar S.")</f>
        <v>Hamidzadeh B.; Shekhar S.</v>
      </c>
      <c r="E204" s="7" t="str">
        <f>IFERROR(__xludf.DUMMYFUNCTION("""COMPUTED_VALUE"""),"Specification and Analysis of Real-time Problem Solvers")</f>
        <v>Specification and Analysis of Real-time Problem Solvers</v>
      </c>
      <c r="F204" s="7" t="str">
        <f>IFERROR(__xludf.DUMMYFUNCTION("""COMPUTED_VALUE"""),"TSE")</f>
        <v>TSE</v>
      </c>
      <c r="G204" s="7" t="str">
        <f>IFERROR(__xludf.DUMMYFUNCTION("""COMPUTED_VALUE"""),"There has been a recent rise in research on real- time problem solving algorithms in artificial intelligence (AI). A real-time AI problem solver performs a task or a set of tasks in two phases. During the first phase, the problem solver searches for a sol"&amp;"ution that, once executed, will satisfy the requirements of the task. We refer to this phase as the planning phase or the search phase. During the next phase, the problem solver executes the planned solution to achieve the desired results of the task. Thi"&amp;"s phase is referred to as the execution phase. Under time constraints, a real-time AI problem solver must balance planning and execution to minimize total response times and to comply with deadlines. This paper provides a methodology for the specification"&amp;" of real-time AI problem solvers. Using this methodology, we provide a formal specification of a real-time problem. In addition, the paper presents a methodology for analyzing real-time AI problem solvers. This methodology is demonstrated via a case study"&amp;" of two real-time problem solvers, namely DYNORAII and RTA* [1], for the real-time path planning problem. We provide new results on worst-case and average-case complexity of the problem, and of the algorithms that solve it We also provide experimental eva"&amp;"luation of DYNORAII and RTA* for deadline compliance and response-time minimization. © 1993 IEEE")</f>
        <v>There has been a recent rise in research on real- time problem solving algorithms in artificial intelligence (AI). A real-time AI problem solver performs a task or a set of tasks in two phases. During the first phase, the problem solver searches for a solution that, once executed, will satisfy the requirements of the task. We refer to this phase as the planning phase or the search phase. During the next phase, the problem solver executes the planned solution to achieve the desired results of the task. This phase is referred to as the execution phase. Under time constraints, a real-time AI problem solver must balance planning and execution to minimize total response times and to comply with deadlines. This paper provides a methodology for the specification of real-time AI problem solvers. Using this methodology, we provide a formal specification of a real-time problem. In addition, the paper presents a methodology for analyzing real-time AI problem solvers. This methodology is demonstrated via a case study of two real-time problem solvers, namely DYNORAII and RTA* [1], for the real-time path planning problem. We provide new results on worst-case and average-case complexity of the problem, and of the algorithms that solve it We also provide experimental evaluation of DYNORAII and RTA* for deadline compliance and response-time minimization. © 1993 IEEE</v>
      </c>
      <c r="H204" s="8" t="str">
        <f>IFERROR(__xludf.DUMMYFUNCTION("""COMPUTED_VALUE"""),"Problem solving; real time search")</f>
        <v>Problem solving; real time search</v>
      </c>
      <c r="I204" s="10" t="b">
        <v>0</v>
      </c>
      <c r="J204" s="10" t="b">
        <v>0</v>
      </c>
      <c r="K204" s="10" t="b">
        <v>0</v>
      </c>
      <c r="L204" s="10" t="b">
        <v>0</v>
      </c>
      <c r="M204" s="10" t="b">
        <v>0</v>
      </c>
      <c r="N204" s="10" t="b">
        <v>0</v>
      </c>
      <c r="O204" s="11" t="b">
        <f t="shared" si="1"/>
        <v>0</v>
      </c>
      <c r="P204" s="16" t="b">
        <v>0</v>
      </c>
      <c r="Q204" s="7"/>
    </row>
    <row r="205">
      <c r="A205" s="5" t="b">
        <v>1</v>
      </c>
      <c r="B205" s="5" t="s">
        <v>241</v>
      </c>
      <c r="C205" s="6" t="str">
        <f>IFERROR(__xludf.DUMMYFUNCTION("""COMPUTED_VALUE"""),"10.1109/32.163603")</f>
        <v>10.1109/32.163603</v>
      </c>
      <c r="D205" s="7" t="str">
        <f>IFERROR(__xludf.DUMMYFUNCTION("""COMPUTED_VALUE"""),"Johnson W.L.; Feather M.S.; Harris D.R.")</f>
        <v>Johnson W.L.; Feather M.S.; Harris D.R.</v>
      </c>
      <c r="E205" s="7" t="str">
        <f>IFERROR(__xludf.DUMMYFUNCTION("""COMPUTED_VALUE"""),"Representation and Presentation of Requirements Knowledge")</f>
        <v>Representation and Presentation of Requirements Knowledge</v>
      </c>
      <c r="F205" s="7" t="str">
        <f>IFERROR(__xludf.DUMMYFUNCTION("""COMPUTED_VALUE"""),"TSE")</f>
        <v>TSE</v>
      </c>
      <c r="G205" s="7" t="str">
        <f>IFERROR(__xludf.DUMMYFUNCTION("""COMPUTED_VALUE"""),"This paper describes the approach to representation and presentation of knowledge used in ARIES, an environment to experiment with support for analysts in modeling target domains and in entering and formalizing system requirements. To effectively do this,"&amp;" ARIES must manage a variety of notations so that analysts can enter information in a natural manner, and aries can present it back in different notations and from different viewpoints. To provide this functionality we use a single, highly expressive, int"&amp;"ernal representation for all information in the system. Our system architecture separates representation and presentation, in order to localize consistency and propagation issues. The presentation architecture is tailored to be flexible enough so that we "&amp;"can easily introduce new notations on top of the underlying representation. We have coupled presentation knowledge to specification evolution knowledge, thereby leveraging common representations for both in order to provide automated focusing support to u"&amp;"sers who need informative guidance in creating and modifying specifications. © 1992 IEEE")</f>
        <v>This paper describes the approach to representation and presentation of knowledge used in ARIES, an environment to experiment with support for analysts in modeling target domains and in entering and formalizing system requirements. To effectively do this, ARIES must manage a variety of notations so that analysts can enter information in a natural manner, and aries can present it back in different notations and from different viewpoints. To provide this functionality we use a single, highly expressive, internal representation for all information in the system. Our system architecture separates representation and presentation, in order to localize consistency and propagation issues. The presentation architecture is tailored to be flexible enough so that we can easily introduce new notations on top of the underlying representation. We have coupled presentation knowledge to specification evolution knowledge, thereby leveraging common representations for both in order to provide automated focusing support to users who need informative guidance in creating and modifying specifications. © 1992 IEEE</v>
      </c>
      <c r="H205" s="8" t="str">
        <f>IFERROR(__xludf.DUMMYFUNCTION("""COMPUTED_VALUE"""),"Knowledge-based software engineering; ments analysis; require-; software presentation; software reuse; software specification; transformations")</f>
        <v>Knowledge-based software engineering; ments analysis; require-; software presentation; software reuse; software specification; transformations</v>
      </c>
      <c r="I205" s="10" t="b">
        <v>0</v>
      </c>
      <c r="J205" s="10" t="b">
        <v>0</v>
      </c>
      <c r="K205" s="10" t="b">
        <v>0</v>
      </c>
      <c r="L205" s="10" t="b">
        <v>0</v>
      </c>
      <c r="M205" s="10" t="b">
        <v>0</v>
      </c>
      <c r="N205" s="10" t="b">
        <v>0</v>
      </c>
      <c r="O205" s="11" t="b">
        <f t="shared" si="1"/>
        <v>0</v>
      </c>
      <c r="P205" s="16" t="b">
        <v>0</v>
      </c>
      <c r="Q205" s="7"/>
    </row>
    <row r="206">
      <c r="A206" s="5" t="b">
        <v>1</v>
      </c>
      <c r="B206" s="5" t="s">
        <v>242</v>
      </c>
      <c r="C206" s="6" t="str">
        <f>IFERROR(__xludf.DUMMYFUNCTION("""COMPUTED_VALUE"""),"10.1109/TSE.1984.5010279")</f>
        <v>10.1109/TSE.1984.5010279</v>
      </c>
      <c r="D206" s="7" t="str">
        <f>IFERROR(__xludf.DUMMYFUNCTION("""COMPUTED_VALUE"""),"Cheng T.T.; Lock E.D.; Prywes N.S.")</f>
        <v>Cheng T.T.; Lock E.D.; Prywes N.S.</v>
      </c>
      <c r="E206" s="7" t="str">
        <f>IFERROR(__xludf.DUMMYFUNCTION("""COMPUTED_VALUE"""),"Use of Very High Level Languages and Program Generation by Management Professionals")</f>
        <v>Use of Very High Level Languages and Program Generation by Management Professionals</v>
      </c>
      <c r="F206" s="7" t="str">
        <f>IFERROR(__xludf.DUMMYFUNCTION("""COMPUTED_VALUE"""),"TSE")</f>
        <v>TSE</v>
      </c>
      <c r="G206" s="7" t="str">
        <f>IFERROR(__xludf.DUMMYFUNCTION("""COMPUTED_VALUE"""),"The introduction of very high level languages (VHLL) and automatic program generation are expected to reduce significantly the needed programming skills and considerably increase software development productivity. The paper explores the hypothesis that th"&amp;"e preferred mode of developing management systems will be for the management professional to directly specify,generate, and debug the needed software without involvement of professional programmers. The investigation is experimental, by having an accounta"&amp;"nt develop an accounting system, using the equational type model vhlland program generator, and by monitoring carefully the times that it takes to perform certain steps or debug certain types of errors. The investigation consisted of progressive developme"&amp;"nt of an accounting system in three stages: first a general ledger, extended for inventory management, and concluding with a major modification to incorporate reporting for the effects of changing prices in accordance with Financial Accounting Standard 33"&amp;" (FAS 33). In this way the work pattern in modifying and maintaining a system was investigated as well. The developer was an M.B.A. candidate majoring in accounting with a limited computer background who determined the requirements of the accounting syste"&amp;"m and used model to generate the programs, along with their extensions and modifications. A description of the accounting system design is presented first. Next, a sample model specification is discussed in order to communicate generally the style of spec"&amp;"ifying computations in model. This sample is used also to demonstrate the incorporation of FAS 33. Various statistics are reported from the development and modification stages, in order to evaluate the experiment. The statistics also show an increase in p"&amp;"roductivity over producing manually the generated program by professional programmers. This is partly attributed to model's comprehensive global analysis and checking which detected many errors before running the program, thus saving significant debugging"&amp;" time. Incorporating F AS 33 into the model specifications was found to be easier than modifying conventional high level language programs because of model'snonprocedural aspect and the specification's smaller size. © 1984 IEEE.")</f>
        <v>The introduction of very high level languages (VHLL) and automatic program generation are expected to reduce significantly the needed programming skills and considerably increase software development productivity. The paper explores the hypothesis that the preferred mode of developing management systems will be for the management professional to directly specify,generate, and debug the needed software without involvement of professional programmers. The investigation is experimental, by having an accountant develop an accounting system, using the equational type model vhlland program generator, and by monitoring carefully the times that it takes to perform certain steps or debug certain types of errors. The investigation consisted of progressive development of an accounting system in three stages: first a general ledger, extended for inventory management, and concluding with a major modification to incorporate reporting for the effects of changing prices in accordance with Financial Accounting Standard 33 (FAS 33). In this way the work pattern in modifying and maintaining a system was investigated as well. The developer was an M.B.A. candidate majoring in accounting with a limited computer background who determined the requirements of the accounting system and used model to generate the programs, along with their extensions and modifications. A description of the accounting system design is presented first. Next, a sample model specification is discussed in order to communicate generally the style of specifying computations in model. This sample is used also to demonstrate the incorporation of FAS 33. Various statistics are reported from the development and modification stages, in order to evaluate the experiment. The statistics also show an increase in productivity over producing manually the generated program by professional programmers. This is partly attributed to model's comprehensive global analysis and checking which detected many errors before running the program, thus saving significant debugging time. Incorporating F AS 33 into the model specifications was found to be easier than modifying conventional high level language programs because of model'snonprocedural aspect and the specification's smaller size. © 1984 IEEE.</v>
      </c>
      <c r="H206" s="8" t="str">
        <f>IFERROR(__xludf.DUMMYFUNCTION("""COMPUTED_VALUE"""),"Equational language; Index Terms; MODEL; nonprocedural language; program generation; software development productivity")</f>
        <v>Equational language; Index Terms; MODEL; nonprocedural language; program generation; software development productivity</v>
      </c>
      <c r="I206" s="9" t="b">
        <v>0</v>
      </c>
      <c r="J206" s="9" t="b">
        <v>0</v>
      </c>
      <c r="K206" s="9" t="b">
        <v>0</v>
      </c>
      <c r="L206" s="10" t="b">
        <v>0</v>
      </c>
      <c r="M206" s="10" t="b">
        <v>0</v>
      </c>
      <c r="N206" s="10" t="b">
        <v>0</v>
      </c>
      <c r="O206" s="11" t="b">
        <f t="shared" si="1"/>
        <v>0</v>
      </c>
      <c r="P206" s="12" t="b">
        <v>0</v>
      </c>
      <c r="Q206" s="13"/>
    </row>
    <row r="207">
      <c r="A207" s="5" t="b">
        <v>1</v>
      </c>
      <c r="B207" s="5" t="s">
        <v>243</v>
      </c>
      <c r="C207" s="6" t="str">
        <f>IFERROR(__xludf.DUMMYFUNCTION("""COMPUTED_VALUE"""),"10.1109/TSE.1985.232207")</f>
        <v>10.1109/TSE.1985.232207</v>
      </c>
      <c r="D207" s="7" t="str">
        <f>IFERROR(__xludf.DUMMYFUNCTION("""COMPUTED_VALUE"""),"Bidoit M.; Biebow B.; Gaudel M.-C.; Gresse C.; Guiho G.D.")</f>
        <v>Bidoit M.; Biebow B.; Gaudel M.-C.; Gresse C.; Guiho G.D.</v>
      </c>
      <c r="E207" s="7" t="str">
        <f>IFERROR(__xludf.DUMMYFUNCTION("""COMPUTED_VALUE"""),"Exception Handling: Formal Specification and Systematic Program Construction")</f>
        <v>Exception Handling: Formal Specification and Systematic Program Construction</v>
      </c>
      <c r="F207" s="7" t="str">
        <f>IFERROR(__xludf.DUMMYFUNCTION("""COMPUTED_VALUE"""),"TSE")</f>
        <v>TSE</v>
      </c>
      <c r="G207" s="7" t="str">
        <f>IFERROR(__xludf.DUMMYFUNCTION("""COMPUTED_VALUE"""),"We present an algebraic specification language (PLUSS) and a program construction method. Programs are built systematically from an algebraic specification of the data they deal with. The method was tested on a realistic problem (part of a telephone switc"&amp;"hing system). In these experiments, it turned out that error handling was the difficult part to specify and to program. This paper shows how to cope with this problem at the specification level and during the program development process. Copyright © 1985 "&amp;"by The Institute of Electrical and Electronics Engineers, Inc.")</f>
        <v>We present an algebraic specification language (PLUSS) and a program construction method. Programs are built systematically from an algebraic specification of the data they deal with. The method was tested on a realistic problem (part of a telephone switching system). In these experiments, it turned out that error handling was the difficult part to specify and to program. This paper shows how to cope with this problem at the specification level and during the program development process. Copyright © 1985 by The Institute of Electrical and Electronics Engineers, Inc.</v>
      </c>
      <c r="H207" s="8" t="str">
        <f>IFERROR(__xludf.DUMMYFUNCTION("""COMPUTED_VALUE"""),"Abstract data types; algebraic specification; decomposition schemes; error handling; industrial experiment; program construction")</f>
        <v>Abstract data types; algebraic specification; decomposition schemes; error handling; industrial experiment; program construction</v>
      </c>
      <c r="I207" s="10" t="b">
        <v>0</v>
      </c>
      <c r="J207" s="10" t="b">
        <v>0</v>
      </c>
      <c r="K207" s="10" t="b">
        <v>0</v>
      </c>
      <c r="L207" s="10" t="b">
        <v>0</v>
      </c>
      <c r="M207" s="10" t="b">
        <v>0</v>
      </c>
      <c r="N207" s="10" t="b">
        <v>0</v>
      </c>
      <c r="O207" s="11" t="b">
        <f t="shared" si="1"/>
        <v>0</v>
      </c>
      <c r="P207" s="16" t="b">
        <v>0</v>
      </c>
      <c r="Q207" s="7"/>
    </row>
    <row r="208">
      <c r="A208" s="5" t="b">
        <v>1</v>
      </c>
      <c r="B208" s="5" t="s">
        <v>244</v>
      </c>
      <c r="C208" s="6" t="str">
        <f>IFERROR(__xludf.DUMMYFUNCTION("""COMPUTED_VALUE"""),"10.1109/TSE.1981.231110")</f>
        <v>10.1109/TSE.1981.231110</v>
      </c>
      <c r="D208" s="7" t="str">
        <f>IFERROR(__xludf.DUMMYFUNCTION("""COMPUTED_VALUE"""),"Boehm B.W.")</f>
        <v>Boehm B.W.</v>
      </c>
      <c r="E208" s="7" t="str">
        <f>IFERROR(__xludf.DUMMYFUNCTION("""COMPUTED_VALUE"""),"An Experiment in Small-Scale Application Software Engineering")</f>
        <v>An Experiment in Small-Scale Application Software Engineering</v>
      </c>
      <c r="F208" s="7" t="str">
        <f>IFERROR(__xludf.DUMMYFUNCTION("""COMPUTED_VALUE"""),"TSE")</f>
        <v>TSE</v>
      </c>
      <c r="G208" s="7" t="str">
        <f>IFERROR(__xludf.DUMMYFUNCTION("""COMPUTED_VALUE"""),"This paper reports the results of an experiment in applying large-scale software engineering procedures to small software projects. Two USC student teams developed a small, interactive application software product to the same specification, one using Fort"&amp;"ran and one using Pascal. Several hypotheses were tested, and extensive experimenal data collected. The major conclusions were as follows. • Large-project software engineering procedures can be cost-effectively tailored to small projects. • The choice of "&amp;"programming language is not the dominant factor in small application software product development. • Programming is not the dominant activity in small software product development. • The “deadline effect” holds on small software projects, and can be used "&amp;"to help manage software development. Most of the code in a small application software product is devoted to “housekeeping.” The paper presents the experimental data supporting these conclusions, and discusses their context and implications. Copyright © 19"&amp;"81 by The Institute of Electrical and Electronics Engineers, Inc.")</f>
        <v>This paper reports the results of an experiment in applying large-scale software engineering procedures to small software projects. Two USC student teams developed a small, interactive application software product to the same specification, one using Fortran and one using Pascal. Several hypotheses were tested, and extensive experimenal data collected. The major conclusions were as follows. • Large-project software engineering procedures can be cost-effectively tailored to small projects. • The choice of programming language is not the dominant factor in small application software product development. • Programming is not the dominant activity in small software product development. • The “deadline effect” holds on small software projects, and can be used to help manage software development. Most of the code in a small application software product is devoted to “housekeeping.” The paper presents the experimental data supporting these conclusions, and discusses their context and implications. Copyright © 1981 by The Institute of Electrical and Electronics Engineers, Inc.</v>
      </c>
      <c r="H208" s="8" t="str">
        <f>IFERROR(__xludf.DUMMYFUNCTION("""COMPUTED_VALUE"""),"programming methodology; Programming Programming languages; software engineering; software management; software project data")</f>
        <v>programming methodology; Programming Programming languages; software engineering; software management; software project data</v>
      </c>
      <c r="I208" s="9" t="b">
        <v>1</v>
      </c>
      <c r="J208" s="9" t="b">
        <v>1</v>
      </c>
      <c r="K208" s="9" t="b">
        <v>1</v>
      </c>
      <c r="L208" s="10" t="b">
        <v>0</v>
      </c>
      <c r="M208" s="10" t="b">
        <v>0</v>
      </c>
      <c r="N208" s="10" t="b">
        <v>0</v>
      </c>
      <c r="O208" s="11" t="b">
        <f t="shared" si="1"/>
        <v>1</v>
      </c>
      <c r="P208" s="16" t="b">
        <v>0</v>
      </c>
      <c r="Q208" s="7"/>
    </row>
    <row r="209">
      <c r="A209" s="5" t="b">
        <v>1</v>
      </c>
      <c r="B209" s="5" t="s">
        <v>245</v>
      </c>
      <c r="C209" s="6" t="str">
        <f>IFERROR(__xludf.DUMMYFUNCTION("""COMPUTED_VALUE"""),"10.1109/TSE.1985.231892")</f>
        <v>10.1109/TSE.1985.231892</v>
      </c>
      <c r="D209" s="7" t="str">
        <f>IFERROR(__xludf.DUMMYFUNCTION("""COMPUTED_VALUE"""),"Richardson D.J.; Clarke L.A.")</f>
        <v>Richardson D.J.; Clarke L.A.</v>
      </c>
      <c r="E209" s="7" t="str">
        <f>IFERROR(__xludf.DUMMYFUNCTION("""COMPUTED_VALUE"""),"Partition Analysis: A Method Combining Testing and Verification")</f>
        <v>Partition Analysis: A Method Combining Testing and Verification</v>
      </c>
      <c r="F209" s="7" t="str">
        <f>IFERROR(__xludf.DUMMYFUNCTION("""COMPUTED_VALUE"""),"TSE")</f>
        <v>TSE</v>
      </c>
      <c r="G209" s="7" t="str">
        <f>IFERROR(__xludf.DUMMYFUNCTION("""COMPUTED_VALUE"""),"The partition analysis method compares a procedure's implementation to its specification, both to verify consistency between the two and to derive test data. Unlike most verification methods, partition analysis is applicable to a number of different types"&amp;" of specification languages, including both procedural and nonprocedural languages. It is thus applicable to high-level descriptions as well as to low-level designs. Partition analysis also improves upon existing testing criteria. These criteria usually c"&amp;"onsider only the implementation, but partition analysis selects test data that exercise both a procedure's intended behavior (as described in the specifications) and the structure of its implementation. To accomplish these goals, partition analysis divide"&amp;"s or partitions a procedure's domain into subdomains in which all elements of each subdomain are treated uniformly by the specification and processed uniformly by the implementation. This partition divides the procedure domain into more manageable units. "&amp;"Information related to each subdomain is used to guide in the selection of test data and to verify consistency between the specification and the implementation. Moreover, the testing and verification processes are designed to enhance each other. Initial e"&amp;"xperimentation has shown that through the integration of testing and verification, as well as through the use of information derived from both the implementation and the specification, the partition analysis method is effective for evaluating program reli"&amp;"ability. This paper describes the partition analysis method and reports the results obtained from an evaluation of its effectiveness. Copyright © 1985 by The Institute of Electrical and Electronics Engineers, Inc.")</f>
        <v>The partition analysis method compares a procedure's implementation to its specification, both to verify consistency between the two and to derive test data. Unlike most verification methods, partition analysis is applicable to a number of different types of specification languages, including both procedural and nonprocedural languages. It is thus applicable to high-level descriptions as well as to low-level designs. Partition analysis also improves upon existing testing criteria. These criteria usually consider only the implementation, but partition analysis selects test data that exercise both a procedure's intended behavior (as described in the specifications) and the structure of its implementation. To accomplish these goals, partition analysis divides or partitions a procedure's domain into subdomains in which all elements of each subdomain are treated uniformly by the specification and processed uniformly by the implementation. This partition divides the procedure domain into more manageable units. Information related to each subdomain is used to guide in the selection of test data and to verify consistency between the specification and the implementation. Moreover, the testing and verification processes are designed to enhance each other. Initial experimentation has shown that through the integration of testing and verification, as well as through the use of information derived from both the implementation and the specification, the partition analysis method is effective for evaluating program reliability. This paper describes the partition analysis method and reports the results obtained from an evaluation of its effectiveness. Copyright © 1985 by The Institute of Electrical and Electronics Engineers, Inc.</v>
      </c>
      <c r="H209" s="8" t="str">
        <f>IFERROR(__xludf.DUMMYFUNCTION("""COMPUTED_VALUE"""),"Software testing; software verification; symbolic evaluation")</f>
        <v>Software testing; software verification; symbolic evaluation</v>
      </c>
      <c r="I209" s="10" t="b">
        <v>0</v>
      </c>
      <c r="J209" s="10" t="b">
        <v>0</v>
      </c>
      <c r="K209" s="10" t="b">
        <v>0</v>
      </c>
      <c r="L209" s="10" t="b">
        <v>0</v>
      </c>
      <c r="M209" s="10" t="b">
        <v>0</v>
      </c>
      <c r="N209" s="10" t="b">
        <v>0</v>
      </c>
      <c r="O209" s="11" t="b">
        <f t="shared" si="1"/>
        <v>0</v>
      </c>
      <c r="P209" s="16" t="b">
        <v>0</v>
      </c>
      <c r="Q209" s="7"/>
    </row>
    <row r="210">
      <c r="A210" s="5" t="b">
        <v>1</v>
      </c>
      <c r="B210" s="5" t="s">
        <v>246</v>
      </c>
      <c r="C210" s="6" t="str">
        <f>IFERROR(__xludf.DUMMYFUNCTION("""COMPUTED_VALUE"""),"10.1007/s10664-018-9596-7")</f>
        <v>10.1007/s10664-018-9596-7</v>
      </c>
      <c r="D210" s="7" t="str">
        <f>IFERROR(__xludf.DUMMYFUNCTION("""COMPUTED_VALUE"""),"Ferrari A.; Gori G.; Rosadini B.; Trotta I.; Bacherini S.; Fantechi A.; Gnesi S.")</f>
        <v>Ferrari A.; Gori G.; Rosadini B.; Trotta I.; Bacherini S.; Fantechi A.; Gnesi S.</v>
      </c>
      <c r="E210" s="7" t="str">
        <f>IFERROR(__xludf.DUMMYFUNCTION("""COMPUTED_VALUE"""),"Detecting requirements defects with NLP patterns: an industrial experience in the railway domain")</f>
        <v>Detecting requirements defects with NLP patterns: an industrial experience in the railway domain</v>
      </c>
      <c r="F210" s="7" t="str">
        <f>IFERROR(__xludf.DUMMYFUNCTION("""COMPUTED_VALUE"""),"EMSE")</f>
        <v>EMSE</v>
      </c>
      <c r="G210" s="7" t="str">
        <f>IFERROR(__xludf.DUMMYFUNCTION("""COMPUTED_VALUE"""),"In the railway safety-critical domain requirements documents have to abide to strict quality criteria. Rule-based natural language processing (NLP) techniques have been developed to automatically identify quality defects in natural language requirements. "&amp;"However, the literature is lacking empirical studies on the application of these techniques in industrial settings. Our goal is to investigate to which extent NLP can be practically applied to detect defects in the requirements documents of a railway sign"&amp;"alling manufacturer. To address this goal, we first identified a set of typical defects classes, and, for each class, an engineer of the company implemented a set of defect-detection patterns by means of the GATE tool for text processing. After a prelimin"&amp;"ary analysis, we applied the patterns to a large set of 1866 requirements previously annotated for defects. The output of the patterns was further inspected by two domain experts to check the false positive cases. Additional discard-patterns were defined "&amp;"to automatically remove these cases. Finally, SREE, a tool that searches for typically ambiguous terms, was applied to the requirements. The experiments show that SREE and our patterns may play complementary roles in the detection of requirements defects."&amp;" This is one of the first works in which defect detection NLP techniques are applied on a very large set of industrial requirements annotated by domain experts. We contribute with a comparison between traditional manual techniques used in industry for req"&amp;"uirements analysis, and analysis performed with NLP. Our experience shows that several discrepancies can be observed between the two approaches. The analysis of the discrepancies offers hints to improve the capabilities of NLP techniques with company spec"&amp;"ific solutions, and suggests that also company practices need to be modified to effectively exploit NLP tools. © 2018, Springer Science+Business Media, LLC, part of Springer Nature.")</f>
        <v>In the railway safety-critical domain requirements documents have to abide to strict quality criteria. Rule-based natural language processing (NLP) techniques have been developed to automatically identify quality defects in natural language requirements. However, the literature is lacking empirical studies on the application of these techniques in industrial settings. Our goal is to investigate to which extent NLP can be practically applied to detect defects in the requirements documents of a railway signalling manufacturer. To address this goal, we first identified a set of typical defects classes, and, for each class, an engineer of the company implemented a set of defect-detection patterns by means of the GATE tool for text processing. After a preliminary analysis, we applied the patterns to a large set of 1866 requirements previously annotated for defects. The output of the patterns was further inspected by two domain experts to check the false positive cases. Additional discard-patterns were defined to automatically remove these cases. Finally, SREE, a tool that searches for typically ambiguous terms, was applied to the requirements. The experiments show that SREE and our patterns may play complementary roles in the detection of requirements defects. This is one of the first works in which defect detection NLP techniques are applied on a very large set of industrial requirements annotated by domain experts. We contribute with a comparison between traditional manual techniques used in industry for requirements analysis, and analysis performed with NLP. Our experience shows that several discrepancies can be observed between the two approaches. The analysis of the discrepancies offers hints to improve the capabilities of NLP techniques with company specific solutions, and suggests that also company practices need to be modified to effectively exploit NLP tools. © 2018, Springer Science+Business Media, LLC, part of Springer Nature.</v>
      </c>
      <c r="H210" s="8" t="str">
        <f>IFERROR(__xludf.DUMMYFUNCTION("""COMPUTED_VALUE"""),"Ambiguity; Defect detection; Industrial case study; Natural language processing; Natural language requirements; Precision; Railway; Recall; Requirements analysis; Requirements engineering")</f>
        <v>Ambiguity; Defect detection; Industrial case study; Natural language processing; Natural language requirements; Precision; Railway; Recall; Requirements analysis; Requirements engineering</v>
      </c>
      <c r="I210" s="9" t="b">
        <v>1</v>
      </c>
      <c r="J210" s="9" t="b">
        <v>1</v>
      </c>
      <c r="K210" s="10" t="b">
        <v>0</v>
      </c>
      <c r="L210" s="10" t="b">
        <v>0</v>
      </c>
      <c r="M210" s="10" t="b">
        <v>0</v>
      </c>
      <c r="N210" s="10" t="b">
        <v>0</v>
      </c>
      <c r="O210" s="11" t="b">
        <f t="shared" si="1"/>
        <v>0</v>
      </c>
      <c r="P210" s="16" t="b">
        <v>0</v>
      </c>
      <c r="Q210" s="7"/>
    </row>
    <row r="211">
      <c r="A211" s="5" t="b">
        <v>1</v>
      </c>
      <c r="B211" s="5" t="s">
        <v>247</v>
      </c>
      <c r="C211" s="6" t="str">
        <f>IFERROR(__xludf.DUMMYFUNCTION("""COMPUTED_VALUE"""),"10.1007/s10664-013-9299-z")</f>
        <v>10.1007/s10664-013-9299-z</v>
      </c>
      <c r="D211" s="7" t="str">
        <f>IFERROR(__xludf.DUMMYFUNCTION("""COMPUTED_VALUE"""),"Fraser G.; Arcuri A.")</f>
        <v>Fraser G.; Arcuri A.</v>
      </c>
      <c r="E211" s="7" t="str">
        <f>IFERROR(__xludf.DUMMYFUNCTION("""COMPUTED_VALUE"""),"Achieving scalable mutation-based generation of whole test suites")</f>
        <v>Achieving scalable mutation-based generation of whole test suites</v>
      </c>
      <c r="F211" s="7" t="str">
        <f>IFERROR(__xludf.DUMMYFUNCTION("""COMPUTED_VALUE"""),"EMSE")</f>
        <v>EMSE</v>
      </c>
      <c r="G211" s="7" t="str">
        <f>IFERROR(__xludf.DUMMYFUNCTION("""COMPUTED_VALUE"""),"Without complete formal specification, automatically generated software tests need to be manually checked in order to detect faults. This makes it desirable to produce the strongest possible test set while keeping the number of tests as small as possible."&amp;" As commonly applied coverage criteria like branch coverage are potentially weak, mutation testing has been proposed as a stronger criterion. However, mutation based test generation is hampered because usually there are simply too many mutants, and too ma"&amp;"ny of these are either trivially killed or equivalent. On such mutants, any effort spent on test generation would per definition be wasted. To overcome this problem, our search-based EvoSuite test generation tool integrates two novel optimizations: First,"&amp;" we avoid redundant test executions on mutants by monitoring state infection conditions, and second we use whole test suite generation to optimize test suites towards killing the highest number of mutants, rather than selecting individual mutants. These o"&amp;"ptimizations allowed us to apply EvoSuite to a random sample of 100 open source projects, consisting of a total of 8,963 classes and more than two million lines of code, leading to a total of 1,380,302 mutants. The experiment demonstrates that our approac"&amp;"h scales well, making mutation testing a viable test criterion for automated test case generation tools, and allowing us to analyze the relationship of branch coverage and mutation testing in detail. © 2014, Springer Science+Business Media New York.")</f>
        <v>Without complete formal specification, automatically generated software tests need to be manually checked in order to detect faults. This makes it desirable to produce the strongest possible test set while keeping the number of tests as small as possible. As commonly applied coverage criteria like branch coverage are potentially weak, mutation testing has been proposed as a stronger criterion. However, mutation based test generation is hampered because usually there are simply too many mutants, and too many of these are either trivially killed or equivalent. On such mutants, any effort spent on test generation would per definition be wasted. To overcome this problem, our search-based EvoSuite test generation tool integrates two novel optimizations: First, we avoid redundant test executions on mutants by monitoring state infection conditions, and second we use whole test suite generation to optimize test suites towards killing the highest number of mutants, rather than selecting individual mutants. These optimizations allowed us to apply EvoSuite to a random sample of 100 open source projects, consisting of a total of 8,963 classes and more than two million lines of code, leading to a total of 1,380,302 mutants. The experiment demonstrates that our approach scales well, making mutation testing a viable test criterion for automated test case generation tools, and allowing us to analyze the relationship of branch coverage and mutation testing in detail. © 2014, Springer Science+Business Media New York.</v>
      </c>
      <c r="H211" s="8" t="str">
        <f>IFERROR(__xludf.DUMMYFUNCTION("""COMPUTED_VALUE"""),"Mutation testing; Search-based testing; Test case generation; Testing classes; Unit testing")</f>
        <v>Mutation testing; Search-based testing; Test case generation; Testing classes; Unit testing</v>
      </c>
      <c r="I211" s="10" t="b">
        <v>0</v>
      </c>
      <c r="J211" s="10" t="b">
        <v>0</v>
      </c>
      <c r="K211" s="10" t="b">
        <v>0</v>
      </c>
      <c r="L211" s="10" t="b">
        <v>0</v>
      </c>
      <c r="M211" s="10" t="b">
        <v>0</v>
      </c>
      <c r="N211" s="10" t="b">
        <v>0</v>
      </c>
      <c r="O211" s="11" t="b">
        <f t="shared" si="1"/>
        <v>0</v>
      </c>
      <c r="P211" s="16" t="b">
        <v>0</v>
      </c>
      <c r="Q211" s="7"/>
    </row>
    <row r="212">
      <c r="A212" s="5" t="b">
        <v>1</v>
      </c>
      <c r="B212" s="5" t="s">
        <v>248</v>
      </c>
      <c r="C212" s="6" t="str">
        <f>IFERROR(__xludf.DUMMYFUNCTION("""COMPUTED_VALUE"""),"10.1007/s10664-022-10270-y")</f>
        <v>10.1007/s10664-022-10270-y</v>
      </c>
      <c r="D212" s="7" t="str">
        <f>IFERROR(__xludf.DUMMYFUNCTION("""COMPUTED_VALUE"""),"Meidani M.; Lamothe M.; McIntosh S.")</f>
        <v>Meidani M.; Lamothe M.; McIntosh S.</v>
      </c>
      <c r="E212" s="7" t="str">
        <f>IFERROR(__xludf.DUMMYFUNCTION("""COMPUTED_VALUE"""),"Assessing the exposure of software changes: The DiPiDi approach")</f>
        <v>Assessing the exposure of software changes: The DiPiDi approach</v>
      </c>
      <c r="F212" s="7" t="str">
        <f>IFERROR(__xludf.DUMMYFUNCTION("""COMPUTED_VALUE"""),"EMSE")</f>
        <v>EMSE</v>
      </c>
      <c r="G212" s="7" t="str">
        <f>IFERROR(__xludf.DUMMYFUNCTION("""COMPUTED_VALUE"""),"Changing a software application with many build-time configuration settings may introduce unexpected side effects. For example, a change intended to be specific to a platform (e.g., Windows) or product configuration (e.g., community editions) might impact"&amp;" other platforms or configurations. Moreover, a change intended to apply to a set of platforms or configurations may be unintentionally limited to a subset. Indeed, understanding the exposure of source code changes is an important risk mitigation step in "&amp;"change-based development approaches. In this paper, we present DiPiDi, a new approach to assess the exposure of source code changes under different build-time configuration settings by statically analyzing build specifications. To evaluate our approach, w"&amp;"e produce a prototype implementation of DiPiDi for the CMake build system. We measure the effectiveness and efficiency of developers when performing five tasks in which they must identify the deliverable(s) and conditions under which a source code change "&amp;"will propagate. We assign participants into three groups: without explicit tool support, supported by existing impact analysis tools, and supported by DiPiDi. While our study does not have the statistical power to make generalized quantitative claims, we "&amp;"manually analyze the full distribution of our study’s results and show that DiPiDi results in a net benefit for its users. Through our experimental evaluation, we show that DiPiDi results in a 36 average percentage points improvement in F1-score when iden"&amp;"tifying impacted deliverables and a reduction of 0.62 units of distance when ranking impacted patches. Furthermore, DiPiDi results in a 42% average task time reduction for our participants when compared to a competing impact analysis approach. DiPiDi’s im"&amp;"provements to both effectiveness and efficiency are especially prevalent in complex programs with many compile-time configurations. © 2023, The Author(s), under exclusive licence to Springer Science+Business Media, LLC, part of Springer Nature.")</f>
        <v>Changing a software application with many build-time configuration settings may introduce unexpected side effects. For example, a change intended to be specific to a platform (e.g., Windows) or product configuration (e.g., community editions) might impact other platforms or configurations. Moreover, a change intended to apply to a set of platforms or configurations may be unintentionally limited to a subset. Indeed, understanding the exposure of source code changes is an important risk mitigation step in change-based development approaches. In this paper, we present DiPiDi, a new approach to assess the exposure of source code changes under different build-time configuration settings by statically analyzing build specifications. To evaluate our approach, we produce a prototype implementation of DiPiDi for the CMake build system. We measure the effectiveness and efficiency of developers when performing five tasks in which they must identify the deliverable(s) and conditions under which a source code change will propagate. We assign participants into three groups: without explicit tool support, supported by existing impact analysis tools, and supported by DiPiDi. While our study does not have the statistical power to make generalized quantitative claims, we manually analyze the full distribution of our study’s results and show that DiPiDi results in a net benefit for its users. Through our experimental evaluation, we show that DiPiDi results in a 36 average percentage points improvement in F1-score when identifying impacted deliverables and a reduction of 0.62 units of distance when ranking impacted patches. Furthermore, DiPiDi results in a 42% average task time reduction for our participants when compared to a competing impact analysis approach. DiPiDi’s improvements to both effectiveness and efficiency are especially prevalent in complex programs with many compile-time configurations. © 2023, The Author(s), under exclusive licence to Springer Science+Business Media, LLC, part of Springer Nature.</v>
      </c>
      <c r="H212" s="8" t="str">
        <f>IFERROR(__xludf.DUMMYFUNCTION("""COMPUTED_VALUE"""),"Build dependency graph; Build systems; Exposure of a change")</f>
        <v>Build dependency graph; Build systems; Exposure of a change</v>
      </c>
      <c r="I212" s="9" t="b">
        <v>1</v>
      </c>
      <c r="J212" s="10" t="b">
        <v>0</v>
      </c>
      <c r="K212" s="9" t="b">
        <v>1</v>
      </c>
      <c r="L212" s="10" t="b">
        <v>0</v>
      </c>
      <c r="M212" s="10" t="b">
        <v>0</v>
      </c>
      <c r="N212" s="10" t="b">
        <v>0</v>
      </c>
      <c r="O212" s="11" t="b">
        <f t="shared" si="1"/>
        <v>0</v>
      </c>
      <c r="P212" s="16" t="b">
        <v>0</v>
      </c>
      <c r="Q212" s="7"/>
    </row>
    <row r="213">
      <c r="A213" s="5" t="b">
        <v>1</v>
      </c>
      <c r="B213" s="5" t="s">
        <v>249</v>
      </c>
      <c r="C213" s="6" t="str">
        <f>IFERROR(__xludf.DUMMYFUNCTION("""COMPUTED_VALUE"""),"10.1007/s10664-016-9483-z")</f>
        <v>10.1007/s10664-016-9483-z</v>
      </c>
      <c r="D213" s="7" t="str">
        <f>IFERROR(__xludf.DUMMYFUNCTION("""COMPUTED_VALUE"""),"Johanson A.N.; Hasselbring W.")</f>
        <v>Johanson A.N.; Hasselbring W.</v>
      </c>
      <c r="E213" s="7" t="str">
        <f>IFERROR(__xludf.DUMMYFUNCTION("""COMPUTED_VALUE"""),"Effectiveness and efficiency of a domain-specific language for high-performance marine ecosystem simulation: a controlled experiment")</f>
        <v>Effectiveness and efficiency of a domain-specific language for high-performance marine ecosystem simulation: a controlled experiment</v>
      </c>
      <c r="F213" s="7" t="str">
        <f>IFERROR(__xludf.DUMMYFUNCTION("""COMPUTED_VALUE"""),"EMSE")</f>
        <v>EMSE</v>
      </c>
      <c r="G213" s="7" t="str">
        <f>IFERROR(__xludf.DUMMYFUNCTION("""COMPUTED_VALUE"""),"It is a long-standing hypothesis that the concise and customized notation of a DSL improves the performance of developers when compared with a GPL. For non-technical domains—e.g., science—, this hypothesis lacks empirical evidence. Given this lack of empi"&amp;"rical evidence, we evaluate a DSL for ecological modeling designed and implemented by us with regard to performance improvements of developers as compared to a GPL. We conduct an online survey with embedded controlled experiments among ecologists to asses"&amp;"s the correctness and time spent of the participants when using a DSL for ecosystem simulation specifications compared with a GPL-based solution. We observe that (1) solving tasks with the DSL, the participants’ correctness point score was —depending on t"&amp;"he task— on average 61 % up to 63 % higher than with the GPL-based solution and their average time spent per task was reduced by 31 % up to 56 %; (2) the participants subjectively find it easier to work with the DSL, and (3) more than 90 % of the subjects"&amp;" are able to carry out basic maintenance tasks concerning the infrastructure of the DSL used in our treatment, which is based on another internal DSL embedded into Java. The tasks of our experiments are simplified and our web-based editor components do no"&amp;"t offer full IDE-support. Our findings indicate that the development of further DSL for the specific needs of the ecological modeling community should be a worthwhile investment to increase its members’ productivity and to enhance the reliability of their"&amp;" scientific results. © 2016, Springer Science+Business Media New York.")</f>
        <v>It is a long-standing hypothesis that the concise and customized notation of a DSL improves the performance of developers when compared with a GPL. For non-technical domains—e.g., science—, this hypothesis lacks empirical evidence. Given this lack of empirical evidence, we evaluate a DSL for ecological modeling designed and implemented by us with regard to performance improvements of developers as compared to a GPL. We conduct an online survey with embedded controlled experiments among ecologists to assess the correctness and time spent of the participants when using a DSL for ecosystem simulation specifications compared with a GPL-based solution. We observe that (1) solving tasks with the DSL, the participants’ correctness point score was —depending on the task— on average 61 % up to 63 % higher than with the GPL-based solution and their average time spent per task was reduced by 31 % up to 56 %; (2) the participants subjectively find it easier to work with the DSL, and (3) more than 90 % of the subjects are able to carry out basic maintenance tasks concerning the infrastructure of the DSL used in our treatment, which is based on another internal DSL embedded into Java. The tasks of our experiments are simplified and our web-based editor components do not offer full IDE-support. Our findings indicate that the development of further DSL for the specific needs of the ecological modeling community should be a worthwhile investment to increase its members’ productivity and to enhance the reliability of their scientific results. © 2016, Springer Science+Business Media New York.</v>
      </c>
      <c r="H213" s="8" t="str">
        <f>IFERROR(__xludf.DUMMYFUNCTION("""COMPUTED_VALUE"""),"Computational science; Domain-specific languages (DSLs); Program comprehension; Scientific software development")</f>
        <v>Computational science; Domain-specific languages (DSLs); Program comprehension; Scientific software development</v>
      </c>
      <c r="I213" s="9" t="b">
        <v>1</v>
      </c>
      <c r="J213" s="10" t="b">
        <v>0</v>
      </c>
      <c r="K213" s="9" t="b">
        <v>1</v>
      </c>
      <c r="L213" s="10" t="b">
        <v>0</v>
      </c>
      <c r="M213" s="10" t="b">
        <v>0</v>
      </c>
      <c r="N213" s="10" t="b">
        <v>0</v>
      </c>
      <c r="O213" s="11" t="b">
        <f t="shared" si="1"/>
        <v>0</v>
      </c>
      <c r="P213" s="12" t="b">
        <v>0</v>
      </c>
      <c r="Q213" s="13"/>
    </row>
    <row r="214">
      <c r="A214" s="5" t="b">
        <v>1</v>
      </c>
      <c r="B214" s="5" t="s">
        <v>250</v>
      </c>
      <c r="C214" s="6" t="str">
        <f>IFERROR(__xludf.DUMMYFUNCTION("""COMPUTED_VALUE"""),"10.1007/s10664-005-1289-3")</f>
        <v>10.1007/s10664-005-1289-3</v>
      </c>
      <c r="D214" s="7" t="str">
        <f>IFERROR(__xludf.DUMMYFUNCTION("""COMPUTED_VALUE"""),"Anda B.; Sjøberg D.I.K.")</f>
        <v>Anda B.; Sjøberg D.I.K.</v>
      </c>
      <c r="E214" s="7" t="str">
        <f>IFERROR(__xludf.DUMMYFUNCTION("""COMPUTED_VALUE"""),"Investigating the role of use cases in the construction of class diagrams")</f>
        <v>Investigating the role of use cases in the construction of class diagrams</v>
      </c>
      <c r="F214" s="7" t="str">
        <f>IFERROR(__xludf.DUMMYFUNCTION("""COMPUTED_VALUE"""),"EMSE")</f>
        <v>EMSE</v>
      </c>
      <c r="G214" s="7" t="str">
        <f>IFERROR(__xludf.DUMMYFUNCTION("""COMPUTED_VALUE"""),"Several approaches have been proposed for the transition from functional requirements to object-oriented design. In a use case-driven development process, the use cases are important input for the identification of classes and their methods. There is, how"&amp;"ever, no established, empirically validated technique for the transition from use cases to class diagrams. One recommended technique is to derive classes by analyzing the use cases. It has, nevertheless, been reported that this technique leads to problems"&amp;", such as the developers missing requirements and mistaking requirements for design. An alternative technique is to identify classes from a textual requirements specification and subsequently apply the use case model to validate the resulting class diagra"&amp;"m. This paper describes two controlled experiments conducted to investigate these two approaches to applying use case models in an object-oriented design process. The first experiment was conducted with 53 students as subjects. Half of the subjects used a"&amp;" professional modelling tool; the other half used pen and paper. The second experiment was conducted with 22 professional software developers as subjects, all of whom used one of several modelling tools. The first experiment showed that applying use cases"&amp;" to validate class diagrams constructed from textual requirements led to more complete class diagrams than did the derivation of classes from a use case model. In the second experiment, however, we found no such difference between the two techniques. In b"&amp;"oth experiments, deriving class diagrams from the use cases led to a better structure of the class diagrams. The results of the experiments therefore show that the technique chosen for the transition from use cases to class diagrams affects the quality of"&amp;" the class diagrams, but also that the effects of the techniques depend on the categories of developer applying it and on the tool with which the technique is applied. © 2005 Springer Science + Business Media, Inc.")</f>
        <v>Several approaches have been proposed for the transition from functional requirements to object-oriented design. In a use case-driven development process, the use cases are important input for the identification of classes and their methods. There is, however, no established, empirically validated technique for the transition from use cases to class diagrams. One recommended technique is to derive classes by analyzing the use cases. It has, nevertheless, been reported that this technique leads to problems, such as the developers missing requirements and mistaking requirements for design. An alternative technique is to identify classes from a textual requirements specification and subsequently apply the use case model to validate the resulting class diagram. This paper describes two controlled experiments conducted to investigate these two approaches to applying use case models in an object-oriented design process. The first experiment was conducted with 53 students as subjects. Half of the subjects used a professional modelling tool; the other half used pen and paper. The second experiment was conducted with 22 professional software developers as subjects, all of whom used one of several modelling tools. The first experiment showed that applying use cases to validate class diagrams constructed from textual requirements led to more complete class diagrams than did the derivation of classes from a use case model. In the second experiment, however, we found no such difference between the two techniques. In both experiments, deriving class diagrams from the use cases led to a better structure of the class diagrams. The results of the experiments therefore show that the technique chosen for the transition from use cases to class diagrams affects the quality of the class diagrams, but also that the effects of the techniques depend on the categories of developer applying it and on the tool with which the technique is applied. © 2005 Springer Science + Business Media, Inc.</v>
      </c>
      <c r="H214" s="8" t="str">
        <f>IFERROR(__xludf.DUMMYFUNCTION("""COMPUTED_VALUE"""),"Controlled experiment; Modelling tool; Object-oriented design; Replicated experiment; UML; Use cases")</f>
        <v>Controlled experiment; Modelling tool; Object-oriented design; Replicated experiment; UML; Use cases</v>
      </c>
      <c r="I214" s="9" t="b">
        <v>1</v>
      </c>
      <c r="J214" s="9" t="b">
        <v>1</v>
      </c>
      <c r="K214" s="9" t="b">
        <v>1</v>
      </c>
      <c r="L214" s="10" t="b">
        <v>0</v>
      </c>
      <c r="M214" s="10" t="b">
        <v>0</v>
      </c>
      <c r="N214" s="10" t="b">
        <v>0</v>
      </c>
      <c r="O214" s="11" t="b">
        <f t="shared" si="1"/>
        <v>1</v>
      </c>
      <c r="P214" s="16" t="b">
        <v>0</v>
      </c>
      <c r="Q214" s="7"/>
    </row>
    <row r="215">
      <c r="A215" s="5" t="b">
        <v>1</v>
      </c>
      <c r="B215" s="5" t="s">
        <v>251</v>
      </c>
      <c r="C215" s="6" t="str">
        <f>IFERROR(__xludf.DUMMYFUNCTION("""COMPUTED_VALUE"""),"10.1007/s10664-021-10088-0")</f>
        <v>10.1007/s10664-021-10088-0</v>
      </c>
      <c r="D215" s="7" t="str">
        <f>IFERROR(__xludf.DUMMYFUNCTION("""COMPUTED_VALUE"""),"Camilli M.; Russo B.")</f>
        <v>Camilli M.; Russo B.</v>
      </c>
      <c r="E215" s="7" t="str">
        <f>IFERROR(__xludf.DUMMYFUNCTION("""COMPUTED_VALUE"""),"Modeling Performance of Microservices Systems with Growth Theory")</f>
        <v>Modeling Performance of Microservices Systems with Growth Theory</v>
      </c>
      <c r="F215" s="7" t="str">
        <f>IFERROR(__xludf.DUMMYFUNCTION("""COMPUTED_VALUE"""),"EMSE")</f>
        <v>EMSE</v>
      </c>
      <c r="G215" s="7" t="str">
        <f>IFERROR(__xludf.DUMMYFUNCTION("""COMPUTED_VALUE"""),"Context: The microservices architectural style is gaining momentum in the IT industry. This style does not guarantee that a target system can continuously meet acceptable performance levels. The ability to study the violations of performance requirements "&amp;"and eventually predict them would help practitioners to tune techniques like dynamic load balancing or horizontal scaling to achieve the resilience property. Objective: The goal of this work is to study the violations of performance requirements of micros"&amp;"ervices through time series analysis and provide practical instruments that can detect resilient and non-resilient microservices and possibly predict their performance behavior. Method: We introduce a new method based on growth theory to model the occurre"&amp;"nces of violations of performance requirements as a stochastic process. We applied our method to an in-vitro e-commerce benchmark and an in-production real-world telecommunication system. We interpreted the resulting growth models to characterize the micr"&amp;"oservices in terms of their transient performance behavior. Results: Our empirical evaluation shows that, in most of the cases, the non-linear S-shaped growth models capture the occurrences of performance violations of resilient microservices with high ac"&amp;"curacy. The bounded nature associated with this models tell that the performance degradation is limited and thus the microservice is able to come back to an acceptable performance level even under changes in the nominal number of concurrent users. We also"&amp;" detect cases where linear models represent a better description. These microservices are not resilient and exhibit constant growth and unbounded performance violations over time. The application of our methodology to a real in-production system identifie"&amp;"d additional resilience profiles that were not observed in the in-vitro experiments. These profiles show the ability of services to react differently to the same solicitation. We found that when a service is resilient it can either decrease the rate of th"&amp;"e violations occurrences in a continuous manner or with repeated attempts (periodical or not). Conclusions: We showed that growth theory can be successfully applied to study the occurences of performance violations of in-vitro and in-production real-world"&amp;" systems. Furthermore, the cost of our model calibration heuristics, based on the mathematical expression of the selected non-linear growth models, is limited. We discussed how the resulting models can shed some light on the trend of performance violation"&amp;"s and help engineers to spot problematic microservice operations that exhibit performance issues. Thus, meaningful insights from the application of growth theory have been derived to characterize the behavior of (non) resilient microservices operations. ©"&amp;" 2022, The Author(s).")</f>
        <v>Context: The microservices architectural style is gaining momentum in the IT industry. This style does not guarantee that a target system can continuously meet acceptable performance levels. The ability to study the violations of performance requirements and eventually predict them would help practitioners to tune techniques like dynamic load balancing or horizontal scaling to achieve the resilience property. Objective: The goal of this work is to study the violations of performance requirements of microservices through time series analysis and provide practical instruments that can detect resilient and non-resilient microservices and possibly predict their performance behavior. Method: We introduce a new method based on growth theory to model the occurrences of violations of performance requirements as a stochastic process. We applied our method to an in-vitro e-commerce benchmark and an in-production real-world telecommunication system. We interpreted the resulting growth models to characterize the microservices in terms of their transient performance behavior. Results: Our empirical evaluation shows that, in most of the cases, the non-linear S-shaped growth models capture the occurrences of performance violations of resilient microservices with high accuracy. The bounded nature associated with this models tell that the performance degradation is limited and thus the microservice is able to come back to an acceptable performance level even under changes in the nominal number of concurrent users. We also detect cases where linear models represent a better description. These microservices are not resilient and exhibit constant growth and unbounded performance violations over time. The application of our methodology to a real in-production system identified additional resilience profiles that were not observed in the in-vitro experiments. These profiles show the ability of services to react differently to the same solicitation. We found that when a service is resilient it can either decrease the rate of the violations occurrences in a continuous manner or with repeated attempts (periodical or not). Conclusions: We showed that growth theory can be successfully applied to study the occurences of performance violations of in-vitro and in-production real-world systems. Furthermore, the cost of our model calibration heuristics, based on the mathematical expression of the selected non-linear growth models, is limited. We discussed how the resulting models can shed some light on the trend of performance violations and help engineers to spot problematic microservice operations that exhibit performance issues. Thus, meaningful insights from the application of growth theory have been derived to characterize the behavior of (non) resilient microservices operations. © 2022, The Author(s).</v>
      </c>
      <c r="H215" s="8" t="str">
        <f>IFERROR(__xludf.DUMMYFUNCTION("""COMPUTED_VALUE"""),"Growth theory; Microservices systems; Performance requirement; Point processes; Time series analysis")</f>
        <v>Growth theory; Microservices systems; Performance requirement; Point processes; Time series analysis</v>
      </c>
      <c r="I215" s="10" t="b">
        <v>0</v>
      </c>
      <c r="J215" s="10" t="b">
        <v>0</v>
      </c>
      <c r="K215" s="10" t="b">
        <v>0</v>
      </c>
      <c r="L215" s="10" t="b">
        <v>0</v>
      </c>
      <c r="M215" s="10" t="b">
        <v>0</v>
      </c>
      <c r="N215" s="10" t="b">
        <v>0</v>
      </c>
      <c r="O215" s="11" t="b">
        <f t="shared" si="1"/>
        <v>0</v>
      </c>
      <c r="P215" s="16" t="b">
        <v>0</v>
      </c>
      <c r="Q215" s="7"/>
    </row>
    <row r="216">
      <c r="A216" s="5" t="b">
        <v>1</v>
      </c>
      <c r="B216" s="5" t="s">
        <v>252</v>
      </c>
      <c r="C216" s="6" t="str">
        <f>IFERROR(__xludf.DUMMYFUNCTION("""COMPUTED_VALUE"""),"10.1007/s10664-008-9096-2")</f>
        <v>10.1007/s10664-008-9096-2</v>
      </c>
      <c r="D216" s="7" t="str">
        <f>IFERROR(__xludf.DUMMYFUNCTION("""COMPUTED_VALUE"""),"Lam A.; Boehm B.")</f>
        <v>Lam A.; Boehm B.</v>
      </c>
      <c r="E216" s="7" t="str">
        <f>IFERROR(__xludf.DUMMYFUNCTION("""COMPUTED_VALUE"""),"Experiences in developing and applying a software engineering technology testbed")</f>
        <v>Experiences in developing and applying a software engineering technology testbed</v>
      </c>
      <c r="F216" s="7" t="str">
        <f>IFERROR(__xludf.DUMMYFUNCTION("""COMPUTED_VALUE"""),"EMSE")</f>
        <v>EMSE</v>
      </c>
      <c r="G216" s="7" t="str">
        <f>IFERROR(__xludf.DUMMYFUNCTION("""COMPUTED_VALUE"""),"A major problem in empirical software engineering is to determine or ensure comparability across multiple sources of empirical data. This paper summarizes experiences in developing and applying a software engineering technology testbed. The testbed was de"&amp;"signed to ensure comparability of empirical data used to evaluate alternative software engineering technologies, and to accelerate the technology maturation and transition into project use. The requirements for such software engineering technology testbed"&amp;"s include not only the specifications and code, but also the package of instrumentation, scenario drivers, seeded defects, experimentation guidelines, and comparative effort and defect data needed to facilitate technology evaluation experiments. The requi"&amp;"rements and architecture to build a particular software engineering technology testbed to help NASA evaluate its investments in software dependability research and technology have been developed and applied to evaluate a wide range of technologies. The te"&amp;"chnologies evaluated came from the fields of architecture, testing, state-model checking, and operational envelopes. This paper will present for the first time the requirements and architecture of the software engineering technology testbed. The results o"&amp;"f the technology evaluations will be analyzed from a point of view of how researchers benefitted from using the SETT. The researchers just reported how their technology performed in their original findings. The testbed evaluation showed (1) that certain t"&amp;"echnologies were complementary and cost-effective to apply; (2) that the testbed was cost-effective to use by researchers within a well-specified domain of applicability; (3) that collaboration in testbed use by researchers and the practitioners resulted "&amp;"comparable empirical data and in actions to accelerate technology maturity and transition into project use, as shown in the AcmeStudio evaluation; and (4) that the software engineering technology testbed's requirements and architecture were suitable for e"&amp;"valuating technologies and accelerating their maturation and transition into project use. © 2008 Springer Science+Business Media, LLC.")</f>
        <v>A major problem in empirical software engineering is to determine or ensure comparability across multiple sources of empirical data. This paper summarizes experiences in developing and applying a software engineering technology testbed. The testbed was designed to ensure comparability of empirical data used to evaluate alternative software engineering technologies, and to accelerate the technology maturation and transition into project use. The requirements for such software engineering technology testbeds include not only the specifications and code, but also the package of instrumentation, scenario drivers, seeded defects, experimentation guidelines, and comparative effort and defect data needed to facilitate technology evaluation experiments. The requirements and architecture to build a particular software engineering technology testbed to help NASA evaluate its investments in software dependability research and technology have been developed and applied to evaluate a wide range of technologies. The technologies evaluated came from the fields of architecture, testing, state-model checking, and operational envelopes. This paper will present for the first time the requirements and architecture of the software engineering technology testbed. The results of the technology evaluations will be analyzed from a point of view of how researchers benefitted from using the SETT. The researchers just reported how their technology performed in their original findings. The testbed evaluation showed (1) that certain technologies were complementary and cost-effective to apply; (2) that the testbed was cost-effective to use by researchers within a well-specified domain of applicability; (3) that collaboration in testbed use by researchers and the practitioners resulted comparable empirical data and in actions to accelerate technology maturity and transition into project use, as shown in the AcmeStudio evaluation; and (4) that the software engineering technology testbed's requirements and architecture were suitable for evaluating technologies and accelerating their maturation and transition into project use. © 2008 Springer Science+Business Media, LLC.</v>
      </c>
      <c r="H216" s="8" t="str">
        <f>IFERROR(__xludf.DUMMYFUNCTION("""COMPUTED_VALUE"""),"Software adoption; Software maturity; Technology evaluation; Technology transition; Testbed")</f>
        <v>Software adoption; Software maturity; Technology evaluation; Technology transition; Testbed</v>
      </c>
      <c r="I216" s="10" t="b">
        <v>0</v>
      </c>
      <c r="J216" s="10" t="b">
        <v>0</v>
      </c>
      <c r="K216" s="10" t="b">
        <v>0</v>
      </c>
      <c r="L216" s="10" t="b">
        <v>0</v>
      </c>
      <c r="M216" s="10" t="b">
        <v>0</v>
      </c>
      <c r="N216" s="10" t="b">
        <v>0</v>
      </c>
      <c r="O216" s="11" t="b">
        <f t="shared" si="1"/>
        <v>0</v>
      </c>
      <c r="P216" s="16" t="b">
        <v>0</v>
      </c>
      <c r="Q216" s="7"/>
    </row>
    <row r="217">
      <c r="A217" s="5" t="b">
        <v>1</v>
      </c>
      <c r="B217" s="5" t="s">
        <v>253</v>
      </c>
      <c r="C217" s="6" t="str">
        <f>IFERROR(__xludf.DUMMYFUNCTION("""COMPUTED_VALUE"""),"10.1007/s10664-005-3864-z")</f>
        <v>10.1007/s10664-005-3864-z</v>
      </c>
      <c r="D217" s="7" t="str">
        <f>IFERROR(__xludf.DUMMYFUNCTION("""COMPUTED_VALUE"""),"Takagi Y.; Mizuno O.; Kikuno T.")</f>
        <v>Takagi Y.; Mizuno O.; Kikuno T.</v>
      </c>
      <c r="E217" s="7" t="str">
        <f>IFERROR(__xludf.DUMMYFUNCTION("""COMPUTED_VALUE"""),"An empirical approach to characterizing risky software projects based on logistic regression analysis")</f>
        <v>An empirical approach to characterizing risky software projects based on logistic regression analysis</v>
      </c>
      <c r="F217" s="7" t="str">
        <f>IFERROR(__xludf.DUMMYFUNCTION("""COMPUTED_VALUE"""),"EMSE")</f>
        <v>EMSE</v>
      </c>
      <c r="G217" s="7" t="str">
        <f>IFERROR(__xludf.DUMMYFUNCTION("""COMPUTED_VALUE"""),"During software development, projects often experience risky situations. If projects fail to detect such risks, they may exhibit confused behavior. In this paper, we propose a new scheme for characterization of the level of confusion exhibited by projects"&amp;" based on an empirical questionnaire. First, we designed a questionnaire from five project viewpoints, requirements, estimates, planning, team organization, and project management activities. Each of these viewpoints was assessed using questions in which "&amp;"experience and knowledge of software risks are determined. Secondly, we classify projects into ""confused"" and ""not confused,"" using the resulting metrics data. We thirdly analyzed the relationship between responses to the questionnaire and the degree "&amp;"of confusion of the projects using logistic regression analysis and constructing a model to characterize confused projects. The experimental result used actual project data shows that 28 projects out of 32 were characterized correctly. As a result, we con"&amp;"cluded that the characterization of confused projects was successful. Furthermore, we applied the constructed model to data from other projects in order to detect risky projects. The result of the application of this concept showed that 7 out of 8 project"&amp;"s were classified correctly. Therefore, we concluded that the proposed scheme is also applicable to the detection of risky projects. © 2005 Springer Science + Business Media, Inc.")</f>
        <v>During software development, projects often experience risky situations. If projects fail to detect such risks, they may exhibit confused behavior. In this paper, we propose a new scheme for characterization of the level of confusion exhibited by projects based on an empirical questionnaire. First, we designed a questionnaire from five project viewpoints, requirements, estimates, planning, team organization, and project management activities. Each of these viewpoints was assessed using questions in which experience and knowledge of software risks are determined. Secondly, we classify projects into "confused" and "not confused," using the resulting metrics data. We thirdly analyzed the relationship between responses to the questionnaire and the degree of confusion of the projects using logistic regression analysis and constructing a model to characterize confused projects. The experimental result used actual project data shows that 28 projects out of 32 were characterized correctly. As a result, we concluded that the characterization of confused projects was successful. Furthermore, we applied the constructed model to data from other projects in order to detect risky projects. The result of the application of this concept showed that 7 out of 8 projects were classified correctly. Therefore, we concluded that the proposed scheme is also applicable to the detection of risky projects. © 2005 Springer Science + Business Media, Inc.</v>
      </c>
      <c r="H217" s="8" t="str">
        <f>IFERROR(__xludf.DUMMYFUNCTION("""COMPUTED_VALUE"""),"Logistic regression; Questionnaire; Risky project; Software risk management")</f>
        <v>Logistic regression; Questionnaire; Risky project; Software risk management</v>
      </c>
      <c r="I217" s="10" t="b">
        <v>0</v>
      </c>
      <c r="J217" s="10" t="b">
        <v>0</v>
      </c>
      <c r="K217" s="10" t="b">
        <v>0</v>
      </c>
      <c r="L217" s="10" t="b">
        <v>0</v>
      </c>
      <c r="M217" s="10" t="b">
        <v>0</v>
      </c>
      <c r="N217" s="10" t="b">
        <v>0</v>
      </c>
      <c r="O217" s="11" t="b">
        <f t="shared" si="1"/>
        <v>0</v>
      </c>
      <c r="P217" s="16" t="b">
        <v>0</v>
      </c>
      <c r="Q217" s="7"/>
    </row>
    <row r="218">
      <c r="A218" s="5" t="b">
        <v>1</v>
      </c>
      <c r="B218" s="5" t="s">
        <v>254</v>
      </c>
      <c r="C218" s="6" t="str">
        <f>IFERROR(__xludf.DUMMYFUNCTION("""COMPUTED_VALUE"""),"10.1007/s10664-019-09757-y")</f>
        <v>10.1007/s10664-019-09757-y</v>
      </c>
      <c r="D218" s="7" t="str">
        <f>IFERROR(__xludf.DUMMYFUNCTION("""COMPUTED_VALUE"""),"Li S.; Niu X.; Jia Z.; Liao X.; Wang J.; Li T.")</f>
        <v>Li S.; Niu X.; Jia Z.; Liao X.; Wang J.; Li T.</v>
      </c>
      <c r="E218" s="7" t="str">
        <f>IFERROR(__xludf.DUMMYFUNCTION("""COMPUTED_VALUE"""),"Guiding log revisions by learning from software evolution history")</f>
        <v>Guiding log revisions by learning from software evolution history</v>
      </c>
      <c r="F218" s="7" t="str">
        <f>IFERROR(__xludf.DUMMYFUNCTION("""COMPUTED_VALUE"""),"EMSE")</f>
        <v>EMSE</v>
      </c>
      <c r="G218" s="7" t="str">
        <f>IFERROR(__xludf.DUMMYFUNCTION("""COMPUTED_VALUE"""),"Despite the importance of log statements in postmortem debugging, developers are difficult to establish good logging practices. There are mainly two reasons. First, there are no rigorous specifications or systematic processes to instruct logging practices"&amp;". Second, logging code evolves with bug fixes or feature updates. Without considering the impact of software evolution, previous works on log enhancement can partially release the first problem but are hard to solve the latter. To fill this gap, this pape"&amp;"r proposes to guide log revisions by learning from evolution history. Motivated by code clones, we assume that logging code with similar context is pervasive and deserves similar modifications and conduct an empirical study on 12 open-source projects to v"&amp;"alidate our assumption. Upon this, we design and implement LogTracker, an automatic tool that learns log revision rules by mining the correlation between logging context and modifications and recommends candidate log revisions by applying these rules. Wit"&amp;"h an enhanced modeling of logging context, LogTracker can instruct more intricate log revisions that cannot be covered by existing tools. Our experiments show that LogTracker can detect 369 instances of candidates when applied to the latest versions of so"&amp;"ftware. So far, we have reported 79 of them, and 52 have been accepted. © 2019, Springer Science+Business Media, LLC, part of Springer Nature.")</f>
        <v>Despite the importance of log statements in postmortem debugging, developers are difficult to establish good logging practices. There are mainly two reasons. First, there are no rigorous specifications or systematic processes to instruct logging practices. Second, logging code evolves with bug fixes or feature updates. Without considering the impact of software evolution, previous works on log enhancement can partially release the first problem but are hard to solve the latter. To fill this gap, this paper proposes to guide log revisions by learning from evolution history. Motivated by code clones, we assume that logging code with similar context is pervasive and deserves similar modifications and conduct an empirical study on 12 open-source projects to validate our assumption. Upon this, we design and implement LogTracker, an automatic tool that learns log revision rules by mining the correlation between logging context and modifications and recommends candidate log revisions by applying these rules. With an enhanced modeling of logging context, LogTracker can instruct more intricate log revisions that cannot be covered by existing tools. Our experiments show that LogTracker can detect 369 instances of candidates when applied to the latest versions of software. So far, we have reported 79 of them, and 52 have been accepted. © 2019, Springer Science+Business Media, LLC, part of Springer Nature.</v>
      </c>
      <c r="H218" s="8" t="str">
        <f>IFERROR(__xludf.DUMMYFUNCTION("""COMPUTED_VALUE"""),"Empirical study; Failure diagnose; Log revision; Software evolution")</f>
        <v>Empirical study; Failure diagnose; Log revision; Software evolution</v>
      </c>
      <c r="I218" s="10" t="b">
        <v>0</v>
      </c>
      <c r="J218" s="10" t="b">
        <v>0</v>
      </c>
      <c r="K218" s="10" t="b">
        <v>0</v>
      </c>
      <c r="L218" s="10" t="b">
        <v>0</v>
      </c>
      <c r="M218" s="10" t="b">
        <v>0</v>
      </c>
      <c r="N218" s="10" t="b">
        <v>0</v>
      </c>
      <c r="O218" s="11" t="b">
        <f t="shared" si="1"/>
        <v>0</v>
      </c>
      <c r="P218" s="16" t="b">
        <v>0</v>
      </c>
      <c r="Q218" s="7"/>
    </row>
    <row r="219">
      <c r="A219" s="5" t="b">
        <v>1</v>
      </c>
      <c r="B219" s="5" t="s">
        <v>255</v>
      </c>
      <c r="C219" s="6" t="str">
        <f>IFERROR(__xludf.DUMMYFUNCTION("""COMPUTED_VALUE"""),"10.1007/s10664-012-9234-8")</f>
        <v>10.1007/s10664-012-9234-8</v>
      </c>
      <c r="D219" s="7" t="str">
        <f>IFERROR(__xludf.DUMMYFUNCTION("""COMPUTED_VALUE"""),"Reinhartz-Berger I.; Sturm A.")</f>
        <v>Reinhartz-Berger I.; Sturm A.</v>
      </c>
      <c r="E219" s="7" t="str">
        <f>IFERROR(__xludf.DUMMYFUNCTION("""COMPUTED_VALUE"""),"Comprehensibility of UML-based software product line specifications A controlled experiment")</f>
        <v>Comprehensibility of UML-based software product line specifications A controlled experiment</v>
      </c>
      <c r="F219" s="7" t="str">
        <f>IFERROR(__xludf.DUMMYFUNCTION("""COMPUTED_VALUE"""),"EMSE")</f>
        <v>EMSE</v>
      </c>
      <c r="G219" s="7" t="str">
        <f>IFERROR(__xludf.DUMMYFUNCTION("""COMPUTED_VALUE"""),"Software Product Line Engineering (SPLE) deals with developing artifacts that capture the common and variable aspects of software product families. Domain models are one kind of such artifacts. Being developed in early stages, domain models need to specif"&amp;"y commonality and variability and guide the reuse of the artifacts in particular software products. Although different modeling methods have been proposed to manage and support these activities, the assessment of these methods is still in an inceptive sta"&amp;"ge. In this work, we examined the comprehensibility of domain models specified in ADOM, a UML-based SPLE method. In particular, we conducted a controlled experiment in which 116 undergraduate students were required to answer comprehension questions regard"&amp;"ing a domain model that was equipped with explicit reuse guidance and/or variability specification. We found that explicit specification of reuse guidance within the domain model helped understand the model, whereas explicit specification of variability i"&amp;"ncreased comprehensibility only to a limited extent. Explicit specification of both reuse guidance and variability often provided intermediate results, namely, results that were better than specification of variability without reuse guidance, but worse th"&amp;"an specification of reuse guidance without variability. All these results were perceived in different UML diagram types, namely, use case, class, and sequence diagrams and for different commonality-, variability-, and reuse-related aspects. © 2012 Springe"&amp;"r Science+Business Media, LLC.")</f>
        <v>Software Product Line Engineering (SPLE) deals with developing artifacts that capture the common and variable aspects of software product families. Domain models are one kind of such artifacts. Being developed in early stages, domain models need to specify commonality and variability and guide the reuse of the artifacts in particular software products. Although different modeling methods have been proposed to manage and support these activities, the assessment of these methods is still in an inceptive stage. In this work, we examined the comprehensibility of domain models specified in ADOM, a UML-based SPLE method. In particular, we conducted a controlled experiment in which 116 undergraduate students were required to answer comprehension questions regarding a domain model that was equipped with explicit reuse guidance and/or variability specification. We found that explicit specification of reuse guidance within the domain model helped understand the model, whereas explicit specification of variability increased comprehensibility only to a limited extent. Explicit specification of both reuse guidance and variability often provided intermediate results, namely, results that were better than specification of variability without reuse guidance, but worse than specification of reuse guidance without variability. All these results were perceived in different UML diagram types, namely, use case, class, and sequence diagrams and for different commonality-, variability-, and reuse-related aspects. © 2012 Springer Science+Business Media, LLC.</v>
      </c>
      <c r="H219" s="8" t="str">
        <f>IFERROR(__xludf.DUMMYFUNCTION("""COMPUTED_VALUE"""),"Domain models; Empirical evaluation; Software product line engineering; UML; Variability management")</f>
        <v>Domain models; Empirical evaluation; Software product line engineering; UML; Variability management</v>
      </c>
      <c r="I219" s="9" t="b">
        <v>1</v>
      </c>
      <c r="J219" s="9" t="b">
        <v>1</v>
      </c>
      <c r="K219" s="9" t="b">
        <v>1</v>
      </c>
      <c r="L219" s="10" t="b">
        <v>0</v>
      </c>
      <c r="M219" s="10" t="b">
        <v>0</v>
      </c>
      <c r="N219" s="10" t="b">
        <v>0</v>
      </c>
      <c r="O219" s="11" t="b">
        <f t="shared" si="1"/>
        <v>1</v>
      </c>
      <c r="P219" s="16" t="b">
        <v>0</v>
      </c>
      <c r="Q219" s="7"/>
    </row>
    <row r="220">
      <c r="A220" s="5" t="b">
        <v>1</v>
      </c>
      <c r="B220" s="5" t="s">
        <v>256</v>
      </c>
      <c r="C220" s="6" t="str">
        <f>IFERROR(__xludf.DUMMYFUNCTION("""COMPUTED_VALUE"""),"10.1023/A:1009776104355")</f>
        <v>10.1023/A:1009776104355</v>
      </c>
      <c r="D220" s="7" t="str">
        <f>IFERROR(__xludf.DUMMYFUNCTION("""COMPUTED_VALUE"""),"Porter A.; Votta L.")</f>
        <v>Porter A.; Votta L.</v>
      </c>
      <c r="E220" s="7" t="str">
        <f>IFERROR(__xludf.DUMMYFUNCTION("""COMPUTED_VALUE"""),"Comparing detection methods for software requirements inspections: A replication using professional subjects")</f>
        <v>Comparing detection methods for software requirements inspections: A replication using professional subjects</v>
      </c>
      <c r="F220" s="7" t="str">
        <f>IFERROR(__xludf.DUMMYFUNCTION("""COMPUTED_VALUE"""),"EMSE")</f>
        <v>EMSE</v>
      </c>
      <c r="G220" s="7" t="str">
        <f>IFERROR(__xludf.DUMMYFUNCTION("""COMPUTED_VALUE"""),"Software requirements specifications (SRS) are often validated manually. One such process is inspection, in which several reviewers independently analyze all or part of the specification and search for faults. These faults are then collected at a meeting "&amp;"of the reviewers and author(s). Usually, reviewers use Ad Hoc or Checklist methods to uncover faults. These methods force all reviewers to rely on nonsystematic techniques to search for a wide variety of faults. We hypothesize that a Scenario-based method"&amp;", in which each reviewer uses different, systematic techniques to search for different, specific classes of faults, will have a significantly higher success rate. In previous work we evaluated this hypothesis using 48 graduate students in computer science"&amp;" as subjects. We now have replicated this experiment using 18 professional developers from Lucent Technologies as subjects. Our goals were to (1) extend the external credibility of our results by studying professional developers, and to (2) compare the pe"&amp;"rformances of professionals with that of the graduate students to better understand how generalizable the results of the less expensive student experiments were. For each inspection we performed four measurements: (1) individual fault detection rate, (2) "&amp;"team fault detection rate, (3) percentage of faults first identified at the collection meeting (meeting gain rate), and (4) percentage of faults first identified by an individual, but never reported at the collection meeting (meeting loss rate). For both "&amp;"the professionals and the students the experimental results are that (1) the Scenario method had a higher fault detection rate than either Ad Hoc or Checklist methods, (2) Checklist reviewers were no more effective than Ad Hoc reviewers, (3) Collection me"&amp;"etings produced no net improvement in the fault, and detection rate - meeting gains were offset by meeting losses, Finally, although specific measures differed between the professional and student populations, the outcomes of almost all statistical tests "&amp;"were identical. This suggests that the graduate students provided an adequate model of the professional population and that the much greater expense of conducting studies with professionals may not always be required.")</f>
        <v>Software requirements specifications (SRS) are often validated manually. One such process is inspection, in which several reviewers independently analyze all or part of the specification and search for faults. These faults are then collected at a meeting of the reviewers and author(s). Usually, reviewers use Ad Hoc or Checklist methods to uncover faults. These methods force all reviewers to rely on nonsystematic techniques to search for a wide variety of faults. We hypothesize that a Scenario-based method, in which each reviewer uses different, systematic techniques to search for different, specific classes of faults, will have a significantly higher success rate. In previous work we evaluated this hypothesis using 48 graduate students in computer science as subjects. We now have replicated this experiment using 18 professional developers from Lucent Technologies as subjects. Our goals were to (1) extend the external credibility of our results by studying professional developers, and to (2) compare the performances of professionals with that of the graduate students to better understand how generalizable the results of the less expensive student experiments were. For each inspection we performed four measurements: (1) individual fault detection rate, (2) team fault detection rate, (3) percentage of faults first identified at the collection meeting (meeting gain rate), and (4) percentage of faults first identified by an individual, but never reported at the collection meeting (meeting loss rate). For both the professionals and the students the experimental results are that (1) the Scenario method had a higher fault detection rate than either Ad Hoc or Checklist methods, (2) Checklist reviewers were no more effective than Ad Hoc reviewers, (3) Collection meetings produced no net improvement in the fault, and detection rate - meeting gains were offset by meeting losses, Finally, although specific measures differed between the professional and student populations, the outcomes of almost all statistical tests were identical. This suggests that the graduate students provided an adequate model of the professional population and that the much greater expense of conducting studies with professionals may not always be required.</v>
      </c>
      <c r="H220" s="8" t="str">
        <f>IFERROR(__xludf.DUMMYFUNCTION("""COMPUTED_VALUE"""),"Controlled experiment; Inspection; Replication")</f>
        <v>Controlled experiment; Inspection; Replication</v>
      </c>
      <c r="I220" s="9" t="b">
        <v>1</v>
      </c>
      <c r="J220" s="9" t="b">
        <v>1</v>
      </c>
      <c r="K220" s="9" t="b">
        <v>0</v>
      </c>
      <c r="L220" s="10" t="b">
        <v>0</v>
      </c>
      <c r="M220" s="10" t="b">
        <v>0</v>
      </c>
      <c r="N220" s="9" t="b">
        <v>1</v>
      </c>
      <c r="O220" s="11" t="b">
        <f t="shared" si="1"/>
        <v>0</v>
      </c>
      <c r="P220" s="16" t="b">
        <v>0</v>
      </c>
      <c r="Q220" s="13" t="s">
        <v>257</v>
      </c>
    </row>
    <row r="221">
      <c r="A221" s="5" t="b">
        <v>1</v>
      </c>
      <c r="B221" s="5" t="s">
        <v>258</v>
      </c>
      <c r="C221" s="6" t="str">
        <f>IFERROR(__xludf.DUMMYFUNCTION("""COMPUTED_VALUE"""),"10.1007/s10664-015-9372-x")</f>
        <v>10.1007/s10664-015-9372-x</v>
      </c>
      <c r="D221" s="7" t="str">
        <f>IFERROR(__xludf.DUMMYFUNCTION("""COMPUTED_VALUE"""),"Calefato F.; Lanubile F.; Conte T.; Prikladnicki R.")</f>
        <v>Calefato F.; Lanubile F.; Conte T.; Prikladnicki R.</v>
      </c>
      <c r="E221" s="7" t="str">
        <f>IFERROR(__xludf.DUMMYFUNCTION("""COMPUTED_VALUE"""),"Assessing the impact of real-time machine translation on multilingual meetings in global software projects")</f>
        <v>Assessing the impact of real-time machine translation on multilingual meetings in global software projects</v>
      </c>
      <c r="F221" s="7" t="str">
        <f>IFERROR(__xludf.DUMMYFUNCTION("""COMPUTED_VALUE"""),"EMSE")</f>
        <v>EMSE</v>
      </c>
      <c r="G221" s="7" t="str">
        <f>IFERROR(__xludf.DUMMYFUNCTION("""COMPUTED_VALUE"""),"Communication in global software development is hindered by language differences in countries with a lack of English speaking professionals. Machine translation is a technology that uses software to translate from one natural language to another. The prog"&amp;"ress of machine translation systems has been steady in the last decade. As for now, machine translation technology is particularly appealing because it might be used, in the form of cross-language chat services, in countries that are entering into global "&amp;"software projects. However, despite the recent progress of the technology, we still lack a thorough understanding of how real-time machine translation affects communication. In this paper, we present a set of empirical studies with the goal of assessing t"&amp;"o what extent real-time machine translation can be used in distributed, multilingual requirements meetings instead of English. Results suggest that, despite far from 100 % accurate, real-time machine translation is not disruptive of the conversation flow "&amp;"and, therefore, is accepted with favor by participants. However, stronger effects can be expected to emerge when language barriers are more critical. Our findings add to the evidence about the recent advances of machine translation technology and provide "&amp;"some guidance to global software engineering practitioners in regarding the losses and gains of using English as a lingua franca in multilingual group communication, as in the case of computer-mediated requirements meetings. © 2015, Springer Science+Busin"&amp;"ess Media New York.")</f>
        <v>Communication in global software development is hindered by language differences in countries with a lack of English speaking professionals. Machine translation is a technology that uses software to translate from one natural language to another. The progress of machine translation systems has been steady in the last decade. As for now, machine translation technology is particularly appealing because it might be used, in the form of cross-language chat services, in countries that are entering into global software projects. However, despite the recent progress of the technology, we still lack a thorough understanding of how real-time machine translation affects communication. In this paper, we present a set of empirical studies with the goal of assessing to what extent real-time machine translation can be used in distributed, multilingual requirements meetings instead of English. Results suggest that, despite far from 100 % accurate, real-time machine translation is not disruptive of the conversation flow and, therefore, is accepted with favor by participants. However, stronger effects can be expected to emerge when language barriers are more critical. Our findings add to the evidence about the recent advances of machine translation technology and provide some guidance to global software engineering practitioners in regarding the losses and gains of using English as a lingua franca in multilingual group communication, as in the case of computer-mediated requirements meetings. © 2015, Springer Science+Business Media New York.</v>
      </c>
      <c r="H221" s="8" t="str">
        <f>IFERROR(__xludf.DUMMYFUNCTION("""COMPUTED_VALUE"""),"Computer-mediated communication; Controlled experiment; Distributed meetings; Global software development; Machine translation")</f>
        <v>Computer-mediated communication; Controlled experiment; Distributed meetings; Global software development; Machine translation</v>
      </c>
      <c r="I221" s="10" t="b">
        <v>0</v>
      </c>
      <c r="J221" s="10" t="b">
        <v>0</v>
      </c>
      <c r="K221" s="10" t="b">
        <v>0</v>
      </c>
      <c r="L221" s="10" t="b">
        <v>0</v>
      </c>
      <c r="M221" s="10" t="b">
        <v>0</v>
      </c>
      <c r="N221" s="10" t="b">
        <v>0</v>
      </c>
      <c r="O221" s="11" t="b">
        <f t="shared" si="1"/>
        <v>0</v>
      </c>
      <c r="P221" s="16" t="b">
        <v>0</v>
      </c>
      <c r="Q221" s="7"/>
    </row>
    <row r="222">
      <c r="A222" s="5" t="b">
        <v>1</v>
      </c>
      <c r="B222" s="5" t="s">
        <v>259</v>
      </c>
      <c r="C222" s="6" t="str">
        <f>IFERROR(__xludf.DUMMYFUNCTION("""COMPUTED_VALUE"""),"10.1007/s10664-006-9034-0")</f>
        <v>10.1007/s10664-006-9034-0</v>
      </c>
      <c r="D222" s="7" t="str">
        <f>IFERROR(__xludf.DUMMYFUNCTION("""COMPUTED_VALUE"""),"Lindvall M.; Rus I.; Donzelli P.; Memon A.; Zelkowitz M.; Betin-Can A.; Bultan T.; Ackermann C.; Anders B.; Asgari S.; Basili V.; Hochstein L.; Fellmann J.; Shull F.; Tvedt R.; Pech D.; Hirschbach D.")</f>
        <v>Lindvall M.; Rus I.; Donzelli P.; Memon A.; Zelkowitz M.; Betin-Can A.; Bultan T.; Ackermann C.; Anders B.; Asgari S.; Basili V.; Hochstein L.; Fellmann J.; Shull F.; Tvedt R.; Pech D.; Hirschbach D.</v>
      </c>
      <c r="E222" s="7" t="str">
        <f>IFERROR(__xludf.DUMMYFUNCTION("""COMPUTED_VALUE"""),"Experimenting with software testbeds for evaluating new technologies")</f>
        <v>Experimenting with software testbeds for evaluating new technologies</v>
      </c>
      <c r="F222" s="7" t="str">
        <f>IFERROR(__xludf.DUMMYFUNCTION("""COMPUTED_VALUE"""),"EMSE")</f>
        <v>EMSE</v>
      </c>
      <c r="G222" s="7" t="str">
        <f>IFERROR(__xludf.DUMMYFUNCTION("""COMPUTED_VALUE"""),"The evolution of a new technology depends upon a good theoretical basis for developing the technology, as well as upon its experimental validation. In order to provide for this experimentation, we have investigated the creation of a software testbed and t"&amp;"he feasibility of using the same testbed for experimenting with a broad set of technologies. The testbed is a set of programs, data, and supporting documentation that allows researchers to test their new technology on a standard software platform. An impo"&amp;"rtant component of this testbed is the Unified Model of Dependability (UMD), which was used to elicit dependability requirements for the testbed software. With a collection of seeded faults and known issues of the target system, we are able to determine i"&amp;"f a new technology is adept at uncovering defects or providing other aids proposed by its developers. In this paper, we present the Tactical Separation Assisted Flight Environment (TSAFE) testbed environment for which we modeled and evaluated dependabilit"&amp;"y requirements and defined faults to be seeded for experimentation. We describe two completed experiments that we conducted on the testbed. The first experiment studies a technology that identifies architectural violations and evaluates its ability to det"&amp;"ect the violations. The second experiment studies model checking as part of design for verification. We conclude by describing ongoing experimental work studying testing, using the same testbed. Our conclusion is that even though these three experiments a"&amp;"re very different in terms of the studied technology, using and re-using the same testbed is beneficial and cost effective. © 2007 Springer Science+Business Media, LLC.")</f>
        <v>The evolution of a new technology depends upon a good theoretical basis for developing the technology, as well as upon its experimental validation. In order to provide for this experimentation, we have investigated the creation of a software testbed and the feasibility of using the same testbed for experimenting with a broad set of technologies. The testbed is a set of programs, data, and supporting documentation that allows researchers to test their new technology on a standard software platform. An important component of this testbed is the Unified Model of Dependability (UMD), which was used to elicit dependability requirements for the testbed software. With a collection of seeded faults and known issues of the target system, we are able to determine if a new technology is adept at uncovering defects or providing other aids proposed by its developers. In this paper, we present the Tactical Separation Assisted Flight Environment (TSAFE) testbed environment for which we modeled and evaluated dependability requirements and defined faults to be seeded for experimentation. We describe two completed experiments that we conducted on the testbed. The first experiment studies a technology that identifies architectural violations and evaluates its ability to detect the violations. The second experiment studies model checking as part of design for verification. We conclude by describing ongoing experimental work studying testing, using the same testbed. Our conclusion is that even though these three experiments are very different in terms of the studied technology, using and re-using the same testbed is beneficial and cost effective. © 2007 Springer Science+Business Media, LLC.</v>
      </c>
      <c r="H222" s="8" t="str">
        <f>IFERROR(__xludf.DUMMYFUNCTION("""COMPUTED_VALUE"""),"Empirical study; Software testbed; Technology evaluation")</f>
        <v>Empirical study; Software testbed; Technology evaluation</v>
      </c>
      <c r="I222" s="10" t="b">
        <v>0</v>
      </c>
      <c r="J222" s="10" t="b">
        <v>0</v>
      </c>
      <c r="K222" s="10" t="b">
        <v>0</v>
      </c>
      <c r="L222" s="10" t="b">
        <v>0</v>
      </c>
      <c r="M222" s="10" t="b">
        <v>0</v>
      </c>
      <c r="N222" s="10" t="b">
        <v>0</v>
      </c>
      <c r="O222" s="11" t="b">
        <f t="shared" si="1"/>
        <v>0</v>
      </c>
      <c r="P222" s="16" t="b">
        <v>0</v>
      </c>
      <c r="Q222" s="7"/>
    </row>
    <row r="223">
      <c r="A223" s="5" t="b">
        <v>1</v>
      </c>
      <c r="B223" s="5" t="s">
        <v>260</v>
      </c>
      <c r="C223" s="6" t="str">
        <f>IFERROR(__xludf.DUMMYFUNCTION("""COMPUTED_VALUE"""),"10.1007/s10664-020-09827-6")</f>
        <v>10.1007/s10664-020-09827-6</v>
      </c>
      <c r="D223" s="7" t="str">
        <f>IFERROR(__xludf.DUMMYFUNCTION("""COMPUTED_VALUE"""),"Biørn-Hansen A.; Rieger C.; Grønli T.-M.; Majchrzak T.A.; Ghinea G.")</f>
        <v>Biørn-Hansen A.; Rieger C.; Grønli T.-M.; Majchrzak T.A.; Ghinea G.</v>
      </c>
      <c r="E223" s="7" t="str">
        <f>IFERROR(__xludf.DUMMYFUNCTION("""COMPUTED_VALUE"""),"An empirical investigation of performance overhead in cross-platform mobile development frameworks")</f>
        <v>An empirical investigation of performance overhead in cross-platform mobile development frameworks</v>
      </c>
      <c r="F223" s="7" t="str">
        <f>IFERROR(__xludf.DUMMYFUNCTION("""COMPUTED_VALUE"""),"EMSE")</f>
        <v>EMSE</v>
      </c>
      <c r="G223" s="7" t="str">
        <f>IFERROR(__xludf.DUMMYFUNCTION("""COMPUTED_VALUE"""),"The heterogeneity of the leading mobile platforms in terms of user interfaces, user experience, programming language, and ecosystem have made cross-platform development frameworks popular. These aid the creation of mobile applications – apps – that can be"&amp;" executed across the target platforms (typically Android and iOS) with minimal to no platform-specific code. Due to the cost- and time-saving possibilities introduced through adopting such a framework, researchers and practitioners alike have taken an int"&amp;"erest in the underlying technologies. Examining the body of knowledge, we, nonetheless, frequently encounter discussions on the drawbacks of these frameworks, especially with regard to the performance of the apps they generate. Motivated by the ongoing di"&amp;"scourse and a lack of empirical evidence, we scrutinised the essential piece of the cross-platform frameworks: the bridge enabling cross-platform code to communicate with the underlying operating system and device hardware APIs. The study we present in th"&amp;"e article benchmarks and measures the performance of this bridge to reveal its associated overhead in Android apps. The development of the artifacts for this experiment was conducted using five cross-platform development frameworks to generate Android app"&amp;"s, in addition to a baseline native Android app implementation. Our results indicate that – for Android apps – the use of cross-platform frameworks for the development of mobile apps may lead to decreased performance compared to the native development app"&amp;"roach. Nevertheless, certain cross-platform frameworks can perform equally well or even better than native on certain metrics which highlights the importance of well-defined technical requirements and specifications for deliberate selection of a cross-pla"&amp;"tform framework or overall development approach. © 2020, The Author(s).")</f>
        <v>The heterogeneity of the leading mobile platforms in terms of user interfaces, user experience, programming language, and ecosystem have made cross-platform development frameworks popular. These aid the creation of mobile applications – apps – that can be executed across the target platforms (typically Android and iOS) with minimal to no platform-specific code. Due to the cost- and time-saving possibilities introduced through adopting such a framework, researchers and practitioners alike have taken an interest in the underlying technologies. Examining the body of knowledge, we, nonetheless, frequently encounter discussions on the drawbacks of these frameworks, especially with regard to the performance of the apps they generate. Motivated by the ongoing discourse and a lack of empirical evidence, we scrutinised the essential piece of the cross-platform frameworks: the bridge enabling cross-platform code to communicate with the underlying operating system and device hardware APIs. The study we present in the article benchmarks and measures the performance of this bridge to reveal its associated overhead in Android apps. The development of the artifacts for this experiment was conducted using five cross-platform development frameworks to generate Android apps, in addition to a baseline native Android app implementation. Our results indicate that – for Android apps – the use of cross-platform frameworks for the development of mobile apps may lead to decreased performance compared to the native development approach. Nevertheless, certain cross-platform frameworks can perform equally well or even better than native on certain metrics which highlights the importance of well-defined technical requirements and specifications for deliberate selection of a cross-platform framework or overall development approach. © 2020, The Author(s).</v>
      </c>
      <c r="H223" s="8" t="str">
        <f>IFERROR(__xludf.DUMMYFUNCTION("""COMPUTED_VALUE"""),"Cross-platform development; Development approaches; Mobile app; Performance benchmark")</f>
        <v>Cross-platform development; Development approaches; Mobile app; Performance benchmark</v>
      </c>
      <c r="I223" s="10" t="b">
        <v>0</v>
      </c>
      <c r="J223" s="10" t="b">
        <v>0</v>
      </c>
      <c r="K223" s="10" t="b">
        <v>0</v>
      </c>
      <c r="L223" s="10" t="b">
        <v>0</v>
      </c>
      <c r="M223" s="10" t="b">
        <v>0</v>
      </c>
      <c r="N223" s="10" t="b">
        <v>0</v>
      </c>
      <c r="O223" s="11" t="b">
        <f t="shared" si="1"/>
        <v>0</v>
      </c>
      <c r="P223" s="16" t="b">
        <v>0</v>
      </c>
      <c r="Q223" s="7"/>
    </row>
    <row r="224">
      <c r="A224" s="5" t="b">
        <v>1</v>
      </c>
      <c r="B224" s="5" t="s">
        <v>261</v>
      </c>
      <c r="C224" s="6" t="str">
        <f>IFERROR(__xludf.DUMMYFUNCTION("""COMPUTED_VALUE"""),"10.1007/BF00368702")</f>
        <v>10.1007/BF00368702</v>
      </c>
      <c r="D224" s="7" t="str">
        <f>IFERROR(__xludf.DUMMYFUNCTION("""COMPUTED_VALUE"""),"Basili V.R.; Green S.; Laitenberger O.; Lanubile F.; Shull F.; Sørumgård S.; Zelkowitz M.V.")</f>
        <v>Basili V.R.; Green S.; Laitenberger O.; Lanubile F.; Shull F.; Sørumgård S.; Zelkowitz M.V.</v>
      </c>
      <c r="E224" s="7" t="str">
        <f>IFERROR(__xludf.DUMMYFUNCTION("""COMPUTED_VALUE"""),"The empirical investigation of perspective-based reading")</f>
        <v>The empirical investigation of perspective-based reading</v>
      </c>
      <c r="F224" s="7" t="str">
        <f>IFERROR(__xludf.DUMMYFUNCTION("""COMPUTED_VALUE"""),"EMSE")</f>
        <v>EMSE</v>
      </c>
      <c r="G224" s="7" t="str">
        <f>IFERROR(__xludf.DUMMYFUNCTION("""COMPUTED_VALUE"""),"We consider reading techniques a fundamental means of achieving high quality software. Due to the lack of research in this area, we are experimenting with the application and comparison of various reading techniques. This paper deals with our experiences "&amp;"with a family of reading techniques known as Perspective-Based Reading (PBR), and its application to requirements documents. The goal of PBR is to provide operational scenarios where members of a review team read a document from a particular perspective, "&amp;"e.g., tester, developer, user. Our assumption is that the combination of different perspectives provides better coverage of the document, i.e., uncovers a wider range of defects, than the same number of readers using their usual technique. To test the eff"&amp;"ectiveness of PBR, we conducted a controlled experiment with professional software developers from the National Aeronautics and Space Administration / Goddard Space Flight Center (NASA/GSFC) Software Engineering Laboratory (SEL). The subjects read two typ"&amp;"es of documents, one generic in nature and the other from the NASA domain, using two reading techniques, a PBR technique and their usual technique. The results from these experiments, as well as the experimental design, are presented and analyzed. Teams a"&amp;"pplying PBR are shown to achieve significantly better coverage of documents than teams that do not apply PBR. We thoroughly discuss the threats to validity so that external replications can benefit from the lessons learned and improve the experimental des"&amp;"ign if the constraints are different from those posed by subjects borrowed from a development organization. © 1996 Kluwer Academic Publishers.")</f>
        <v>We consider reading techniques a fundamental means of achieving high quality software. Due to the lack of research in this area, we are experimenting with the application and comparison of various reading techniques. This paper deals with our experiences with a family of reading techniques known as Perspective-Based Reading (PBR), and its application to requirements documents. The goal of PBR is to provide operational scenarios where members of a review team read a document from a particular perspective, e.g., tester, developer, user. Our assumption is that the combination of different perspectives provides better coverage of the document, i.e., uncovers a wider range of defects, than the same number of readers using their usual technique. To test the effectiveness of PBR, we conducted a controlled experiment with professional software developers from the National Aeronautics and Space Administration / Goddard Space Flight Center (NASA/GSFC) Software Engineering Laboratory (SEL). The subjects read two types of documents, one generic in nature and the other from the NASA domain, using two reading techniques, a PBR technique and their usual technique. The results from these experiments, as well as the experimental design, are presented and analyzed. Teams applying PBR are shown to achieve significantly better coverage of documents than teams that do not apply PBR. We thoroughly discuss the threats to validity so that external replications can benefit from the lessons learned and improve the experimental design if the constraints are different from those posed by subjects borrowed from a development organization. © 1996 Kluwer Academic Publishers.</v>
      </c>
      <c r="H224" s="8" t="str">
        <f>IFERROR(__xludf.DUMMYFUNCTION("""COMPUTED_VALUE"""),"Defect detection; Experimental software engineering; Perspective-based reading; Requirement specification; Software reading technique")</f>
        <v>Defect detection; Experimental software engineering; Perspective-based reading; Requirement specification; Software reading technique</v>
      </c>
      <c r="I224" s="9" t="b">
        <v>1</v>
      </c>
      <c r="J224" s="9" t="b">
        <v>1</v>
      </c>
      <c r="K224" s="9" t="b">
        <v>1</v>
      </c>
      <c r="L224" s="10" t="b">
        <v>0</v>
      </c>
      <c r="M224" s="10" t="b">
        <v>0</v>
      </c>
      <c r="N224" s="10" t="b">
        <v>0</v>
      </c>
      <c r="O224" s="11" t="b">
        <f t="shared" si="1"/>
        <v>1</v>
      </c>
      <c r="P224" s="16" t="b">
        <v>0</v>
      </c>
      <c r="Q224" s="7"/>
    </row>
    <row r="225">
      <c r="A225" s="5" t="b">
        <v>1</v>
      </c>
      <c r="B225" s="5" t="s">
        <v>262</v>
      </c>
      <c r="C225" s="6" t="str">
        <f>IFERROR(__xludf.DUMMYFUNCTION("""COMPUTED_VALUE"""),"10.1007/s10664-012-9221-0")</f>
        <v>10.1007/s10664-012-9221-0</v>
      </c>
      <c r="D225" s="7" t="str">
        <f>IFERROR(__xludf.DUMMYFUNCTION("""COMPUTED_VALUE"""),"Albayrak O.; Carver J.C.")</f>
        <v>Albayrak O.; Carver J.C.</v>
      </c>
      <c r="E225" s="7" t="str">
        <f>IFERROR(__xludf.DUMMYFUNCTION("""COMPUTED_VALUE"""),"Investigation of individual factors impacting the effectiveness of requirements inspections: A replicated experiment")</f>
        <v>Investigation of individual factors impacting the effectiveness of requirements inspections: A replicated experiment</v>
      </c>
      <c r="F225" s="7" t="str">
        <f>IFERROR(__xludf.DUMMYFUNCTION("""COMPUTED_VALUE"""),"EMSE")</f>
        <v>EMSE</v>
      </c>
      <c r="G225" s="7" t="str">
        <f>IFERROR(__xludf.DUMMYFUNCTION("""COMPUTED_VALUE"""),"This paper presents a replication of an empirical study regarding the impact of individual factors on the effectiveness of requirements inspections. Experimental replications are important for verifying results and investigating the generality of empirica"&amp;"l studies. We utilized the lab package and procedures from the original study, with some changes and additions, to conduct the replication with 69 professional developers in three different companies in Turkey. In general the results of the replication we"&amp;"re consistent with those of the original study. The main result from the original study, which is supported in the replication, was that inspectors whose degree is in a field related to software engineering are less effective during a requirements inspect"&amp;"ion than inspectors whose degrees are in other fields. In addition, we found that Company, Experience, and English Proficiency impacted inspection effectiveness. © 2012 Springer Science+Business Media, LLC.")</f>
        <v>This paper presents a replication of an empirical study regarding the impact of individual factors on the effectiveness of requirements inspections. Experimental replications are important for verifying results and investigating the generality of empirical studies. We utilized the lab package and procedures from the original study, with some changes and additions, to conduct the replication with 69 professional developers in three different companies in Turkey. In general the results of the replication were consistent with those of the original study. The main result from the original study, which is supported in the replication, was that inspectors whose degree is in a field related to software engineering are less effective during a requirements inspection than inspectors whose degrees are in other fields. In addition, we found that Company, Experience, and English Proficiency impacted inspection effectiveness. © 2012 Springer Science+Business Media, LLC.</v>
      </c>
      <c r="H225" s="8" t="str">
        <f>IFERROR(__xludf.DUMMYFUNCTION("""COMPUTED_VALUE"""),"Empirical studies; Replication; Requirements; Software engineering; Software inspections")</f>
        <v>Empirical studies; Replication; Requirements; Software engineering; Software inspections</v>
      </c>
      <c r="I225" s="9" t="b">
        <v>1</v>
      </c>
      <c r="J225" s="9" t="b">
        <v>1</v>
      </c>
      <c r="K225" s="10" t="b">
        <v>0</v>
      </c>
      <c r="L225" s="10" t="b">
        <v>0</v>
      </c>
      <c r="M225" s="10" t="b">
        <v>0</v>
      </c>
      <c r="N225" s="10" t="b">
        <v>0</v>
      </c>
      <c r="O225" s="11" t="b">
        <f t="shared" si="1"/>
        <v>0</v>
      </c>
      <c r="P225" s="16" t="b">
        <v>0</v>
      </c>
      <c r="Q225" s="7"/>
    </row>
    <row r="226">
      <c r="A226" s="5" t="b">
        <v>1</v>
      </c>
      <c r="B226" s="5" t="s">
        <v>263</v>
      </c>
      <c r="C226" s="6" t="str">
        <f>IFERROR(__xludf.DUMMYFUNCTION("""COMPUTED_VALUE"""),"10.1007/s10664-006-6405-5")</f>
        <v>10.1007/s10664-006-6405-5</v>
      </c>
      <c r="D226" s="7" t="str">
        <f>IFERROR(__xludf.DUMMYFUNCTION("""COMPUTED_VALUE"""),"Natt Och Dag J.; Thelin T.; Regnell B.")</f>
        <v>Natt Och Dag J.; Thelin T.; Regnell B.</v>
      </c>
      <c r="E226" s="7" t="str">
        <f>IFERROR(__xludf.DUMMYFUNCTION("""COMPUTED_VALUE"""),"An experiment on linguistic tool support for consolidation of requirements from multiple sources in market-driven product development")</f>
        <v>An experiment on linguistic tool support for consolidation of requirements from multiple sources in market-driven product development</v>
      </c>
      <c r="F226" s="7" t="str">
        <f>IFERROR(__xludf.DUMMYFUNCTION("""COMPUTED_VALUE"""),"EMSE")</f>
        <v>EMSE</v>
      </c>
      <c r="G226" s="7" t="str">
        <f>IFERROR(__xludf.DUMMYFUNCTION("""COMPUTED_VALUE"""),"This paper presents an experiment with a linguistic support tool for consolidation of requirements sets. The experiment is designed based on the requirements management process at a large market-driven software development company that develops generic so"&amp;"lutions to satisfy many different customers. New requirements and requests for information are continuously issued, which must be analyzed and responded to. The new requirements should first be consolidated with the old to avoid reanalysis of previously e"&amp;"licited requirements and to complement existing requirements with new information. In the presented experiment, a new open-source tool is evaluated in a laboratory setting. The tool uses linguistic engineering techniques to calculate similarities between "&amp;"requirements and presents a ranked list of suggested similar requirements, between which links may be assigned. It is hypothesized that the proposed technique for finding and linking similar requirements makes the consolidation more efficient. The results"&amp;" show that subjects that are given the support provided by the tool are significantly more efficient and more correct in consolidating two requirements sets, than are subjects that do not get the support. The results suggest that the proposed techniques m"&amp;"ay give valuable support and save time in an industrial requirements consolidation process. © Springer Science + Business Media, Inc. 2006.")</f>
        <v>This paper presents an experiment with a linguistic support tool for consolidation of requirements sets. The experiment is designed based on the requirements management process at a large market-driven software development company that develops generic solutions to satisfy many different customers. New requirements and requests for information are continuously issued, which must be analyzed and responded to. The new requirements should first be consolidated with the old to avoid reanalysis of previously elicited requirements and to complement existing requirements with new information. In the presented experiment, a new open-source tool is evaluated in a laboratory setting. The tool uses linguistic engineering techniques to calculate similarities between requirements and presents a ranked list of suggested similar requirements, between which links may be assigned. It is hypothesized that the proposed technique for finding and linking similar requirements makes the consolidation more efficient. The results show that subjects that are given the support provided by the tool are significantly more efficient and more correct in consolidating two requirements sets, than are subjects that do not get the support. The results suggest that the proposed techniques may give valuable support and save time in an industrial requirements consolidation process. © Springer Science + Business Media, Inc. 2006.</v>
      </c>
      <c r="H226" s="8" t="str">
        <f>IFERROR(__xludf.DUMMYFUNCTION("""COMPUTED_VALUE"""),"Linguistic engineering; Natural language requirements; Requirements management; Software product development")</f>
        <v>Linguistic engineering; Natural language requirements; Requirements management; Software product development</v>
      </c>
      <c r="I226" s="9" t="b">
        <v>1</v>
      </c>
      <c r="J226" s="9" t="b">
        <v>1</v>
      </c>
      <c r="K226" s="9" t="b">
        <v>1</v>
      </c>
      <c r="L226" s="10" t="b">
        <v>0</v>
      </c>
      <c r="M226" s="10" t="b">
        <v>0</v>
      </c>
      <c r="N226" s="10" t="b">
        <v>0</v>
      </c>
      <c r="O226" s="11" t="b">
        <f t="shared" si="1"/>
        <v>1</v>
      </c>
      <c r="P226" s="16" t="b">
        <v>0</v>
      </c>
      <c r="Q226" s="7"/>
    </row>
    <row r="227">
      <c r="A227" s="5" t="b">
        <v>1</v>
      </c>
      <c r="B227" s="5" t="s">
        <v>264</v>
      </c>
      <c r="C227" s="6" t="str">
        <f>IFERROR(__xludf.DUMMYFUNCTION("""COMPUTED_VALUE"""),"10.1007/s10664-018-9605-x")</f>
        <v>10.1007/s10664-018-9605-x</v>
      </c>
      <c r="D227" s="7" t="str">
        <f>IFERROR(__xludf.DUMMYFUNCTION("""COMPUTED_VALUE"""),"Jha N.; Mahmoud A.")</f>
        <v>Jha N.; Mahmoud A.</v>
      </c>
      <c r="E227" s="7" t="str">
        <f>IFERROR(__xludf.DUMMYFUNCTION("""COMPUTED_VALUE"""),"Using frame semantics for classifying and summarizing application store reviews")</f>
        <v>Using frame semantics for classifying and summarizing application store reviews</v>
      </c>
      <c r="F227" s="7" t="str">
        <f>IFERROR(__xludf.DUMMYFUNCTION("""COMPUTED_VALUE"""),"EMSE")</f>
        <v>EMSE</v>
      </c>
      <c r="G227" s="7" t="str">
        <f>IFERROR(__xludf.DUMMYFUNCTION("""COMPUTED_VALUE"""),"Text mining techniques have been recently employed to classify and summarize user reviews on mobile application stores. However, due to the inherently diverse and unstructured nature of user-generated online textual data, text-based review mining techniqu"&amp;"es often produce excessively complicated models that are prone to overfitting. In this paper, we propose a novel approach, based on frame semantics, for app review mining. Semantic frames help to generalize from raw text (individual words) to more abstrac"&amp;"t scenarios (contexts). This lower-dimensional representation of text is expected to enhance the predictive capabilities of review mining techniques and reduce the chances of overfitting. Specifically, our analysis in this paper is two-fold. First, we inv"&amp;"estigate the performance of semantic frames in classifying informative user reviews into various categories of actionable software maintenance requests. Second, we propose and evaluate the performance of multiple summarization algorithms in generating con"&amp;"cise and representative summaries of informative reviews. Three different datasets of app store reviews, sampled from a broad range of application domains, are used to conduct our experimental analysis. The results show that semantic frames can enable an "&amp;"efficient and accurate review classification process. However, in review summarization tasks, our results show that text-based summarization generates more comprehensive summaries than frame-based summarization. Finally, we introduces MARC 2.0, a review c"&amp;"lassification and summarization suite that implements the algorithms investigated in our analysis. © 2018, Springer Science+Business Media, LLC, part of Springer Nature.")</f>
        <v>Text mining techniques have been recently employed to classify and summarize user reviews on mobile application stores. However, due to the inherently diverse and unstructured nature of user-generated online textual data, text-based review mining techniques often produce excessively complicated models that are prone to overfitting. In this paper, we propose a novel approach, based on frame semantics, for app review mining. Semantic frames help to generalize from raw text (individual words) to more abstract scenarios (contexts). This lower-dimensional representation of text is expected to enhance the predictive capabilities of review mining techniques and reduce the chances of overfitting. Specifically, our analysis in this paper is two-fold. First, we investigate the performance of semantic frames in classifying informative user reviews into various categories of actionable software maintenance requests. Second, we propose and evaluate the performance of multiple summarization algorithms in generating concise and representative summaries of informative reviews. Three different datasets of app store reviews, sampled from a broad range of application domains, are used to conduct our experimental analysis. The results show that semantic frames can enable an efficient and accurate review classification process. However, in review summarization tasks, our results show that text-based summarization generates more comprehensive summaries than frame-based summarization. Finally, we introduces MARC 2.0, a review classification and summarization suite that implements the algorithms investigated in our analysis. © 2018, Springer Science+Business Media, LLC, part of Springer Nature.</v>
      </c>
      <c r="H227" s="8" t="str">
        <f>IFERROR(__xludf.DUMMYFUNCTION("""COMPUTED_VALUE"""),"Application store; Classification; Frame semantics; FrameNet; Requirements elicitation; Summarization")</f>
        <v>Application store; Classification; Frame semantics; FrameNet; Requirements elicitation; Summarization</v>
      </c>
      <c r="I227" s="10" t="b">
        <v>0</v>
      </c>
      <c r="J227" s="10" t="b">
        <v>0</v>
      </c>
      <c r="K227" s="10" t="b">
        <v>0</v>
      </c>
      <c r="L227" s="10" t="b">
        <v>0</v>
      </c>
      <c r="M227" s="10" t="b">
        <v>0</v>
      </c>
      <c r="N227" s="10" t="b">
        <v>0</v>
      </c>
      <c r="O227" s="11" t="b">
        <f t="shared" si="1"/>
        <v>0</v>
      </c>
      <c r="P227" s="16" t="b">
        <v>0</v>
      </c>
      <c r="Q227" s="7"/>
    </row>
    <row r="228">
      <c r="A228" s="5" t="b">
        <v>1</v>
      </c>
      <c r="B228" s="5" t="s">
        <v>265</v>
      </c>
      <c r="C228" s="6" t="str">
        <f>IFERROR(__xludf.DUMMYFUNCTION("""COMPUTED_VALUE"""),"10.1007/s10664-006-7240-4")</f>
        <v>10.1007/s10664-006-7240-4</v>
      </c>
      <c r="D228" s="7" t="str">
        <f>IFERROR(__xludf.DUMMYFUNCTION("""COMPUTED_VALUE"""),"Karlsson L.; Thelin T.; Regnell B.; Berander P.; Wohlin C.")</f>
        <v>Karlsson L.; Thelin T.; Regnell B.; Berander P.; Wohlin C.</v>
      </c>
      <c r="E228" s="7" t="str">
        <f>IFERROR(__xludf.DUMMYFUNCTION("""COMPUTED_VALUE"""),"Pair-wise comparisons versus planning game partitioning-experiments on requirements prioritisation techniques")</f>
        <v>Pair-wise comparisons versus planning game partitioning-experiments on requirements prioritisation techniques</v>
      </c>
      <c r="F228" s="7" t="str">
        <f>IFERROR(__xludf.DUMMYFUNCTION("""COMPUTED_VALUE"""),"EMSE")</f>
        <v>EMSE</v>
      </c>
      <c r="G228" s="7" t="str">
        <f>IFERROR(__xludf.DUMMYFUNCTION("""COMPUTED_VALUE"""),"The process of selecting the right set of requirements for a product release is dependent on how well the organisation succeeds in prioritising the requirements candidates. This paper describes two consecutive controlled experiments comparing different re"&amp;"quirements prioritisation techniques with the objective of understanding differences in time-consumption, ease of use and accuracy. The first experiment evaluates Pair-wise comparisons and a variation of the Planning game. As the Planning game turned out "&amp;"as superior, the second experiment was designed to compare the Planning game to Tool-supported pair-wise comparisons. The results indicate that the manual pair-wise comparisons is the most time-consuming of the techniques, and also the least easy to use. "&amp;"Tool-supported pair-wise comparisons is the fastest technique and it is as easy to use as the Planning game. The techniques do not differ significantly regarding accuracy. © Springer Science+Business Media, LLC 2007.")</f>
        <v>The process of selecting the right set of requirements for a product release is dependent on how well the organisation succeeds in prioritising the requirements candidates. This paper describes two consecutive controlled experiments comparing different requirements prioritisation techniques with the objective of understanding differences in time-consumption, ease of use and accuracy. The first experiment evaluates Pair-wise comparisons and a variation of the Planning game. As the Planning game turned out as superior, the second experiment was designed to compare the Planning game to Tool-supported pair-wise comparisons. The results indicate that the manual pair-wise comparisons is the most time-consuming of the techniques, and also the least easy to use. Tool-supported pair-wise comparisons is the fastest technique and it is as easy to use as the Planning game. The techniques do not differ significantly regarding accuracy. © Springer Science+Business Media, LLC 2007.</v>
      </c>
      <c r="H228" s="8" t="str">
        <f>IFERROR(__xludf.DUMMYFUNCTION("""COMPUTED_VALUE"""),"Controlled experiment; Decision making; Release planning; Requirements engineering; Requirements prioritisation")</f>
        <v>Controlled experiment; Decision making; Release planning; Requirements engineering; Requirements prioritisation</v>
      </c>
      <c r="I228" s="9" t="b">
        <v>1</v>
      </c>
      <c r="J228" s="9" t="b">
        <v>1</v>
      </c>
      <c r="K228" s="9" t="b">
        <v>1</v>
      </c>
      <c r="L228" s="10" t="b">
        <v>0</v>
      </c>
      <c r="M228" s="10" t="b">
        <v>0</v>
      </c>
      <c r="N228" s="10" t="b">
        <v>0</v>
      </c>
      <c r="O228" s="11" t="b">
        <f t="shared" si="1"/>
        <v>1</v>
      </c>
      <c r="P228" s="16" t="b">
        <v>0</v>
      </c>
      <c r="Q228" s="7"/>
    </row>
    <row r="229">
      <c r="A229" s="5" t="b">
        <v>1</v>
      </c>
      <c r="B229" s="5" t="s">
        <v>266</v>
      </c>
      <c r="C229" s="6" t="str">
        <f>IFERROR(__xludf.DUMMYFUNCTION("""COMPUTED_VALUE"""),"10.1007/s10664-021-10001-9")</f>
        <v>10.1007/s10664-021-10001-9</v>
      </c>
      <c r="D229" s="7" t="str">
        <f>IFERROR(__xludf.DUMMYFUNCTION("""COMPUTED_VALUE"""),"Li B.; Diao X.; Gao W.; Smidts C.")</f>
        <v>Li B.; Diao X.; Gao W.; Smidts C.</v>
      </c>
      <c r="E229" s="7" t="str">
        <f>IFERROR(__xludf.DUMMYFUNCTION("""COMPUTED_VALUE"""),"A requirements inspection method based on scenarios generated by model mutation and the experimental validation")</f>
        <v>A requirements inspection method based on scenarios generated by model mutation and the experimental validation</v>
      </c>
      <c r="F229" s="7" t="str">
        <f>IFERROR(__xludf.DUMMYFUNCTION("""COMPUTED_VALUE"""),"EMSE")</f>
        <v>EMSE</v>
      </c>
      <c r="G229" s="7" t="str">
        <f>IFERROR(__xludf.DUMMYFUNCTION("""COMPUTED_VALUE"""),"The requirements phase is the most critical phase of the software development life cycle. The quality of the requirements specification affects the overall quality of the subsequent phases and hence, the software product. An effective and efficient method"&amp;" to qualify the software requirements specification (SRS) is necessary to ensure the reliability and safety of software. In this paper, a requirements inspection method based on scenarios generated by model mutation (RIMSM) is proposed to detect defects i"&amp;"n the functional requirements of a safety-critical system. The RIMSM method models software requirements using a High Level Extended Finite State Machine (HLEFSM). A method that executes the HLEFSM model is defined. The method uncovers the behaviors and g"&amp;"enerates the outputs of the system for a given scenario. To identify an adequate set of scenarios in which the model shall be executed, an analogue to mutation testing is defined which applies to the requirements phase. Twenty-one mutation operators are d"&amp;"esigned based on a taxonomy of defects defined for the requirements phase. Mutants of the HLEFSM model are generated using these operators. Further, an algorithm is developed to identify scenarios that can kill the mutants. The set of scenarios is conside"&amp;"red to be adequate for detecting defects in the model when all mutants generated are killed. The HLEFSM model is then executed for the scenarios generated. The results of execution are used to detect defects in the model. A Requirements Inspection Tool ba"&amp;"sed on Scenarios Generated by Model Mutation (RITSM) is developed to automate the application of the RIMSM method. The performance and usability of the RIMSM method are studied and demonstrated in an experiment by comparing the RIMSM method to the checkli"&amp;"st-based reading method. © 2021, The Author(s), under exclusive licence to Springer Science+Business Media, LLC, part of Springer Nature.")</f>
        <v>The requirements phase is the most critical phase of the software development life cycle. The quality of the requirements specification affects the overall quality of the subsequent phases and hence, the software product. An effective and efficient method to qualify the software requirements specification (SRS) is necessary to ensure the reliability and safety of software. In this paper, a requirements inspection method based on scenarios generated by model mutation (RIMSM) is proposed to detect defects in the functional requirements of a safety-critical system. The RIMSM method models software requirements using a High Level Extended Finite State Machine (HLEFSM). A method that executes the HLEFSM model is defined. The method uncovers the behaviors and generates the outputs of the system for a given scenario. To identify an adequate set of scenarios in which the model shall be executed, an analogue to mutation testing is defined which applies to the requirements phase. Twenty-one mutation operators are designed based on a taxonomy of defects defined for the requirements phase. Mutants of the HLEFSM model are generated using these operators. Further, an algorithm is developed to identify scenarios that can kill the mutants. The set of scenarios is considered to be adequate for detecting defects in the model when all mutants generated are killed. The HLEFSM model is then executed for the scenarios generated. The results of execution are used to detect defects in the model. A Requirements Inspection Tool based on Scenarios Generated by Model Mutation (RITSM) is developed to automate the application of the RIMSM method. The performance and usability of the RIMSM method are studied and demonstrated in an experiment by comparing the RIMSM method to the checklist-based reading method. © 2021, The Author(s), under exclusive licence to Springer Science+Business Media, LLC, part of Springer Nature.</v>
      </c>
      <c r="H229" s="8" t="str">
        <f>IFERROR(__xludf.DUMMYFUNCTION("""COMPUTED_VALUE"""),"Defects detection; Mutation testing; Requirements inspection; Scenario generation")</f>
        <v>Defects detection; Mutation testing; Requirements inspection; Scenario generation</v>
      </c>
      <c r="I229" s="10" t="b">
        <v>0</v>
      </c>
      <c r="J229" s="10" t="b">
        <v>0</v>
      </c>
      <c r="K229" s="10" t="b">
        <v>0</v>
      </c>
      <c r="L229" s="10" t="b">
        <v>0</v>
      </c>
      <c r="M229" s="10" t="b">
        <v>0</v>
      </c>
      <c r="N229" s="10" t="b">
        <v>0</v>
      </c>
      <c r="O229" s="11" t="b">
        <f t="shared" si="1"/>
        <v>0</v>
      </c>
      <c r="P229" s="16" t="b">
        <v>0</v>
      </c>
      <c r="Q229" s="7"/>
    </row>
    <row r="230">
      <c r="A230" s="5" t="b">
        <v>1</v>
      </c>
      <c r="B230" s="5" t="s">
        <v>267</v>
      </c>
      <c r="C230" s="6" t="str">
        <f>IFERROR(__xludf.DUMMYFUNCTION("""COMPUTED_VALUE"""),"10.1007/s10664-021-09988-y")</f>
        <v>10.1007/s10664-021-09988-y</v>
      </c>
      <c r="D230" s="7" t="str">
        <f>IFERROR(__xludf.DUMMYFUNCTION("""COMPUTED_VALUE"""),"Assi M.; Hassan S.; Tian Y.; Zou Y.")</f>
        <v>Assi M.; Hassan S.; Tian Y.; Zou Y.</v>
      </c>
      <c r="E230" s="7" t="str">
        <f>IFERROR(__xludf.DUMMYFUNCTION("""COMPUTED_VALUE"""),"FeatCompare: Feature comparison for competing mobile apps leveraging user reviews")</f>
        <v>FeatCompare: Feature comparison for competing mobile apps leveraging user reviews</v>
      </c>
      <c r="F230" s="7" t="str">
        <f>IFERROR(__xludf.DUMMYFUNCTION("""COMPUTED_VALUE"""),"EMSE")</f>
        <v>EMSE</v>
      </c>
      <c r="G230" s="7" t="str">
        <f>IFERROR(__xludf.DUMMYFUNCTION("""COMPUTED_VALUE"""),"Given the competitive mobile app market, developers must be fully aware of users’ needs, satisfy users’ requirements, combat apps of similar functionalities (i.e., competing apps), and thus stay ahead of the competition. While it is easy to track the over"&amp;"all user ratings of competing apps, such information fails to provide actionable insights for developers to improve their apps over the competing apps (AlSubaihin et al., IEEE Trans Softw Eng, 1–1, 2019). Thus, developers still need to read reviews from a"&amp;"ll their interested competing apps and summarize the advantages and disadvantages of each app. Such a manual process can be tedious and even infeasible with thousands of reviews posted daily. To help developers compare users’ opinions among competing apps"&amp;" on high-level features, such as the main functionalities and the main characteristics of an app, we propose a review analysis approach named FeatCompare. FeatCompare can automatically identify high-level features mentioned in user reviews without any man"&amp;"ually annotated resource. Then, FeatCompare creates a comparative table that summarizes users’ opinions for each identified feature across competing apps. FeatCompare features a novel neural network-based model named G lobal-L ocal sensitive F eature E xt"&amp;"ractor (GLFE), which extends Attention-based Aspect Extraction (ABAE), a state-of-the-art model for extracting high-level features from reviews. We evaluate the effectiveness of GLFE on 480 manually annotated reviews sampled from five groups of competing "&amp;"apps. Our experiment results show that GLFE achieves a precision of 79%-82% and recall of 74%-77% in identifying the high-level features associated with reviews and outperforms ABAE by 14.7% on average. We also conduct a case study to demonstrate the usag"&amp;"e scenarios of FeatCompare. A survey with 107 mobile app developers shows that more than 70% of developers agree that FeatCompare is of great benefit. © 2021, The Author(s), under exclusive licence to Springer Science+Business Media, LLC, part of Springer"&amp;" Nature.")</f>
        <v>Given the competitive mobile app market, developers must be fully aware of users’ needs, satisfy users’ requirements, combat apps of similar functionalities (i.e., competing apps), and thus stay ahead of the competition. While it is easy to track the overall user ratings of competing apps, such information fails to provide actionable insights for developers to improve their apps over the competing apps (AlSubaihin et al., IEEE Trans Softw Eng, 1–1, 2019). Thus, developers still need to read reviews from all their interested competing apps and summarize the advantages and disadvantages of each app. Such a manual process can be tedious and even infeasible with thousands of reviews posted daily. To help developers compare users’ opinions among competing apps on high-level features, such as the main functionalities and the main characteristics of an app, we propose a review analysis approach named FeatCompare. FeatCompare can automatically identify high-level features mentioned in user reviews without any manually annotated resource. Then, FeatCompare creates a comparative table that summarizes users’ opinions for each identified feature across competing apps. FeatCompare features a novel neural network-based model named G lobal-L ocal sensitive F eature E xtractor (GLFE), which extends Attention-based Aspect Extraction (ABAE), a state-of-the-art model for extracting high-level features from reviews. We evaluate the effectiveness of GLFE on 480 manually annotated reviews sampled from five groups of competing apps. Our experiment results show that GLFE achieves a precision of 79%-82% and recall of 74%-77% in identifying the high-level features associated with reviews and outperforms ABAE by 14.7% on average. We also conduct a case study to demonstrate the usage scenarios of FeatCompare. A survey with 107 mobile app developers shows that more than 70% of developers agree that FeatCompare is of great benefit. © 2021, The Author(s), under exclusive licence to Springer Science+Business Media, LLC, part of Springer Nature.</v>
      </c>
      <c r="H230" s="8" t="str">
        <f>IFERROR(__xludf.DUMMYFUNCTION("""COMPUTED_VALUE"""),"Competing apps; Competitor analysis; Feature extraction; Google Play Store; Mobile applications; User reviews")</f>
        <v>Competing apps; Competitor analysis; Feature extraction; Google Play Store; Mobile applications; User reviews</v>
      </c>
      <c r="I230" s="10" t="b">
        <v>0</v>
      </c>
      <c r="J230" s="10" t="b">
        <v>0</v>
      </c>
      <c r="K230" s="10" t="b">
        <v>0</v>
      </c>
      <c r="L230" s="10" t="b">
        <v>0</v>
      </c>
      <c r="M230" s="10" t="b">
        <v>0</v>
      </c>
      <c r="N230" s="10" t="b">
        <v>0</v>
      </c>
      <c r="O230" s="11" t="b">
        <f t="shared" si="1"/>
        <v>0</v>
      </c>
      <c r="P230" s="16" t="b">
        <v>0</v>
      </c>
      <c r="Q230" s="7"/>
    </row>
    <row r="231">
      <c r="A231" s="5" t="b">
        <v>1</v>
      </c>
      <c r="B231" s="5" t="s">
        <v>268</v>
      </c>
      <c r="C231" s="6" t="str">
        <f>IFERROR(__xludf.DUMMYFUNCTION("""COMPUTED_VALUE"""),"10.1007/s10664-016-9449-1")</f>
        <v>10.1007/s10664-016-9449-1</v>
      </c>
      <c r="D231" s="7" t="str">
        <f>IFERROR(__xludf.DUMMYFUNCTION("""COMPUTED_VALUE"""),"King J.; Stallings J.; Riaz M.; Williams L.")</f>
        <v>King J.; Stallings J.; Riaz M.; Williams L.</v>
      </c>
      <c r="E231" s="7" t="str">
        <f>IFERROR(__xludf.DUMMYFUNCTION("""COMPUTED_VALUE"""),"To log, or not to log: using heuristics to identify mandatory log events – a controlled experiment")</f>
        <v>To log, or not to log: using heuristics to identify mandatory log events – a controlled experiment</v>
      </c>
      <c r="F231" s="7" t="str">
        <f>IFERROR(__xludf.DUMMYFUNCTION("""COMPUTED_VALUE"""),"EMSE")</f>
        <v>EMSE</v>
      </c>
      <c r="G231" s="7" t="str">
        <f>IFERROR(__xludf.DUMMYFUNCTION("""COMPUTED_VALUE"""),"Context: User activity logs should capture evidence to help answer who, what, when, where, why, and how a security or privacy breach occurred. However, software engineers often implement logging mechanisms that inadequately record mandatory log events (ML"&amp;"Es), user activities that must be logged to enable forensics. Goal: The objective of this study is to support security analysts in performing forensic analysis by evaluating the use of a heuristics-driven method for identifying mandatory log events. Metho"&amp;"d: We conducted a controlled experiment with 103 computer science students enrolled in a graduate-level software security course. All subjects were first asked to identify MLEs described in a set of requirements statements during the pre-period task. In t"&amp;"he post-period task, subjects were randomly assigned statements from one type of software artifact (traditional requirements, use-case-based requirements, or user manual), one readability score (simple or complex), and one method (standards-, resource-, o"&amp;"r heuristics-driven). We evaluated subject performance using three metrics: statement classification correctness (values from 0 to 1), MLE identification correctness (values from 0 to 1), and response time (seconds). We test the effect of the three factor"&amp;"s on the three metrics using generalized linear models. Results: Classification correctness for statements that did not contain MLEs increased 0.31 from pre- to post-period task. MLE identification correctness was inconsistent across treatment groups. For"&amp;" simple user manual statements, MLE identification correctness decreased 0.17 and 0.12 for the standards- and heuristics-driven methods, respectively. For simple traditional requirements statements, MLE identification correctness increased 0.16 and 0.17 f"&amp;"or the standards- and heuristics-driven methods, respectively. Average response time decreased 41.7 s from the pre- to post-period task. Conclusion: We expected the performance of subjects using the heuristics-driven method to improve from pre- to post-ta"&amp;"sk and to consistently demonstrate higher MLE identification correctness than the standards-driven and resource-driven methods across domains and readability levels. However, neither method consistently helped subjects more correctly identify MLEs at a st"&amp;"atistically significant level. Our results indicate additional training and enforcement may be necessary to ensure subjects understand and consistently apply the assigned methods for identifying MLEs. © 2016, Springer Science+Business Media New York.")</f>
        <v>Context: User activity logs should capture evidence to help answer who, what, when, where, why, and how a security or privacy breach occurred. However, software engineers often implement logging mechanisms that inadequately record mandatory log events (MLEs), user activities that must be logged to enable forensics. Goal: The objective of this study is to support security analysts in performing forensic analysis by evaluating the use of a heuristics-driven method for identifying mandatory log events. Method: We conducted a controlled experiment with 103 computer science students enrolled in a graduate-level software security course. All subjects were first asked to identify MLEs described in a set of requirements statements during the pre-period task. In the post-period task, subjects were randomly assigned statements from one type of software artifact (traditional requirements, use-case-based requirements, or user manual), one readability score (simple or complex), and one method (standards-, resource-, or heuristics-driven). We evaluated subject performance using three metrics: statement classification correctness (values from 0 to 1), MLE identification correctness (values from 0 to 1), and response time (seconds). We test the effect of the three factors on the three metrics using generalized linear models. Results: Classification correctness for statements that did not contain MLEs increased 0.31 from pre- to post-period task. MLE identification correctness was inconsistent across treatment groups. For simple user manual statements, MLE identification correctness decreased 0.17 and 0.12 for the standards- and heuristics-driven methods, respectively. For simple traditional requirements statements, MLE identification correctness increased 0.16 and 0.17 for the standards- and heuristics-driven methods, respectively. Average response time decreased 41.7 s from the pre- to post-period task. Conclusion: We expected the performance of subjects using the heuristics-driven method to improve from pre- to post-task and to consistently demonstrate higher MLE identification correctness than the standards-driven and resource-driven methods across domains and readability levels. However, neither method consistently helped subjects more correctly identify MLEs at a statistically significant level. Our results indicate additional training and enforcement may be necessary to ensure subjects understand and consistently apply the assigned methods for identifying MLEs. © 2016, Springer Science+Business Media New York.</v>
      </c>
      <c r="H231" s="8" t="str">
        <f>IFERROR(__xludf.DUMMYFUNCTION("""COMPUTED_VALUE"""),"Controlled experiment; Logging; Mandatory log events; Security; User activity logs; User study")</f>
        <v>Controlled experiment; Logging; Mandatory log events; Security; User activity logs; User study</v>
      </c>
      <c r="I231" s="9" t="b">
        <v>1</v>
      </c>
      <c r="J231" s="10" t="b">
        <v>0</v>
      </c>
      <c r="K231" s="9" t="b">
        <v>1</v>
      </c>
      <c r="L231" s="10" t="b">
        <v>0</v>
      </c>
      <c r="M231" s="10" t="b">
        <v>0</v>
      </c>
      <c r="N231" s="10" t="b">
        <v>0</v>
      </c>
      <c r="O231" s="11" t="b">
        <f t="shared" si="1"/>
        <v>0</v>
      </c>
      <c r="P231" s="16" t="b">
        <v>0</v>
      </c>
      <c r="Q231" s="7"/>
    </row>
    <row r="232">
      <c r="A232" s="5" t="b">
        <v>1</v>
      </c>
      <c r="B232" s="5" t="s">
        <v>269</v>
      </c>
      <c r="C232" s="6" t="str">
        <f>IFERROR(__xludf.DUMMYFUNCTION("""COMPUTED_VALUE"""),"10.1007/s10664-012-9230-z")</f>
        <v>10.1007/s10664-012-9230-z</v>
      </c>
      <c r="D232" s="7" t="str">
        <f>IFERROR(__xludf.DUMMYFUNCTION("""COMPUTED_VALUE"""),"Linares-Vásquez M.; McMillan C.; Poshyvanyk D.; Grechanik M.")</f>
        <v>Linares-Vásquez M.; McMillan C.; Poshyvanyk D.; Grechanik M.</v>
      </c>
      <c r="E232" s="7" t="str">
        <f>IFERROR(__xludf.DUMMYFUNCTION("""COMPUTED_VALUE"""),"On using machine learning to automatically classify software applications into domain categories")</f>
        <v>On using machine learning to automatically classify software applications into domain categories</v>
      </c>
      <c r="F232" s="7" t="str">
        <f>IFERROR(__xludf.DUMMYFUNCTION("""COMPUTED_VALUE"""),"EMSE")</f>
        <v>EMSE</v>
      </c>
      <c r="G232" s="7" t="str">
        <f>IFERROR(__xludf.DUMMYFUNCTION("""COMPUTED_VALUE"""),"Software repositories hold applications that are often categorized to improve the effectiveness of various maintenance tasks. Properly categorized applications allow stakeholders to identify requirements related to their applications and predict maintenan"&amp;"ce problems in software projects. Manual categorization is expensive, tedious, and laborious - this is why automatic categorization approaches are gaining widespread importance. Unfortunately, for different legal and organizational reasons, the applicatio"&amp;"ns' source code is often not available, thus making it difficult to automatically categorize these applications. In this paper, we propose a novel approach in which we use Application Programming Interface (API) calls from third-party libraries for automa"&amp;"tic categorization of software applications that use these API calls. Our approach is general since it enables different categorization algorithms to be applied to repositories that contain both source code and bytecode of applications, since API calls ca"&amp;"n be extracted from both the source code and byte-code. We compare our approach to a state-of-the-art approach that uses machine learning algorithms for software categorization, and conduct experiments on two large Java repositories: an open-source reposi"&amp;"tory containing 3,286 projects and a closed-source repository with 745 applications, where the source code was not available. Our contribution is twofold: we propose a new approach that makes it possible to categorize software projects without any source "&amp;"code using a small number of API calls as attributes, and furthermore we carried out a comprehensive empirical evaluation of automatic categorization approaches. © 2012 Springer Science+Business Media, LLC.")</f>
        <v>Software repositories hold applications that are often categorized to improve the effectiveness of various maintenance tasks. Properly categorized applications allow stakeholders to identify requirements related to their applications and predict maintenance problems in software projects. Manual categorization is expensive, tedious, and laborious - this is why automatic categorization approaches are gaining widespread importance. Unfortunately, for different legal and organizational reasons, the applications' source code is often not available, thus making it difficult to automatically categorize these applications. In this paper, we propose a novel approach in which we use Application Programming Interface (API) calls from third-party libraries for automatic categorization of software applications that use these API calls. Our approach is general since it enables different categorization algorithms to be applied to repositories that contain both source code and bytecode of applications, since API calls can be extracted from both the source code and byte-code. We compare our approach to a state-of-the-art approach that uses machine learning algorithms for software categorization, and conduct experiments on two large Java repositories: an open-source repository containing 3,286 projects and a closed-source repository with 745 applications, where the source code was not available. Our contribution is twofold: we propose a new approach that makes it possible to categorize software projects without any source code using a small number of API calls as attributes, and furthermore we carried out a comprehensive empirical evaluation of automatic categorization approaches. © 2012 Springer Science+Business Media, LLC.</v>
      </c>
      <c r="H232" s="8" t="str">
        <f>IFERROR(__xludf.DUMMYFUNCTION("""COMPUTED_VALUE"""),"Closed-source; Machine learning; Open-source; Software categorization")</f>
        <v>Closed-source; Machine learning; Open-source; Software categorization</v>
      </c>
      <c r="I232" s="10" t="b">
        <v>0</v>
      </c>
      <c r="J232" s="10" t="b">
        <v>0</v>
      </c>
      <c r="K232" s="10" t="b">
        <v>0</v>
      </c>
      <c r="L232" s="10" t="b">
        <v>0</v>
      </c>
      <c r="M232" s="10" t="b">
        <v>0</v>
      </c>
      <c r="N232" s="10" t="b">
        <v>0</v>
      </c>
      <c r="O232" s="11" t="b">
        <f t="shared" si="1"/>
        <v>0</v>
      </c>
      <c r="P232" s="16" t="b">
        <v>0</v>
      </c>
      <c r="Q232" s="7"/>
    </row>
    <row r="233">
      <c r="A233" s="5" t="b">
        <v>1</v>
      </c>
      <c r="B233" s="5" t="s">
        <v>270</v>
      </c>
      <c r="C233" s="6" t="str">
        <f>IFERROR(__xludf.DUMMYFUNCTION("""COMPUTED_VALUE"""),"10.1007/s10664-016-9481-1")</f>
        <v>10.1007/s10664-016-9481-1</v>
      </c>
      <c r="D233" s="7" t="str">
        <f>IFERROR(__xludf.DUMMYFUNCTION("""COMPUTED_VALUE"""),"Riaz M.; King J.; Slankas J.; Williams L.; Massacci F.; Quesada-López C.; Jenkins M.")</f>
        <v>Riaz M.; King J.; Slankas J.; Williams L.; Massacci F.; Quesada-López C.; Jenkins M.</v>
      </c>
      <c r="E233" s="7" t="str">
        <f>IFERROR(__xludf.DUMMYFUNCTION("""COMPUTED_VALUE"""),"Identifying the implied: Findings from three differentiated replications on the use of security requirements templates")</f>
        <v>Identifying the implied: Findings from three differentiated replications on the use of security requirements templates</v>
      </c>
      <c r="F233" s="7" t="str">
        <f>IFERROR(__xludf.DUMMYFUNCTION("""COMPUTED_VALUE"""),"EMSE")</f>
        <v>EMSE</v>
      </c>
      <c r="G233" s="7" t="str">
        <f>IFERROR(__xludf.DUMMYFUNCTION("""COMPUTED_VALUE"""),"Identifying security requirements early on can lay the foundation for secure software development. Security requirements are often implied by existing functional requirements but are mostly left unspecified. The Security Discoverer (SD) process automatica"&amp;"lly identifies security implications of individual requirements sentences and suggests applicable security requirements templates. The objective of this research is to support requirements analysts in identifying security requirements by automating the su"&amp;"ggestion of security requirements templates that are implied by existing functional requirements. We conducted a controlled experiment in a graduate-level security class at North Carolina State University (NCSU) to evaluate the SD process in eliciting imp"&amp;"lied security requirements in 2014. We have subsequently conducted three differentiated replications to evaluate the generalizability and applicability of the initial findings. The replications were conducted across three countries at the University of Tr"&amp;"ento, NCSU, and the University of Costa Rica. We evaluated the responses of the 205 total participants in terms of quality, coverage, relevance and efficiency. We also develop shared insights regarding the impact of context factors such as time, motivatio"&amp;"n and support, on the study outcomes and provide lessons learned in conducting the replications. Treatment group, using the SD process, performed significantly better than the control group (at p-value &lt;0.05) in terms of the coverage of the identified sec"&amp;"urity requirements and efficiency of the requirements elicitation process in two of the three replications, supporting the findings of the original study. Participants in the treatment group identified 84 % more security requirements in the oracle as comp"&amp;"ared to the control group on average. Overall, 80 % of the 111 participants in the treatment group were favorable towards the use of templates in identifying security requirements. Our qualitative findings indicate that participants may be able to differe"&amp;"ntiate between relevant and extraneous templates suggestions and be more inclined to fill in the templates with additional support. Security requirements templates capture the security knowledge of multiple experts and can support the security requirement"&amp;"s elicitation process when automatically suggested, making the implied security requirements more evident. However, individual participants may still miss out on identifying a number of security requirements due to empirical constraints as well as potenti"&amp;"al limitations on knowledge and security expertise. © 2016, Springer Science+Business Media New York.")</f>
        <v>Identifying security requirements early on can lay the foundation for secure software development. Security requirements are often implied by existing functional requirements but are mostly left unspecified. The Security Discoverer (SD) process automatically identifies security implications of individual requirements sentences and suggests applicable security requirements templates. The objective of this research is to support requirements analysts in identifying security requirements by automating the suggestion of security requirements templates that are implied by existing functional requirements. We conducted a controlled experiment in a graduate-level security class at North Carolina State University (NCSU) to evaluate the SD process in eliciting implied security requirements in 2014. We have subsequently conducted three differentiated replications to evaluate the generalizability and applicability of the initial findings. The replications were conducted across three countries at the University of Trento, NCSU, and the University of Costa Rica. We evaluated the responses of the 205 total participants in terms of quality, coverage, relevance and efficiency. We also develop shared insights regarding the impact of context factors such as time, motivation and support, on the study outcomes and provide lessons learned in conducting the replications. Treatment group, using the SD process, performed significantly better than the control group (at p-value &lt;0.05) in terms of the coverage of the identified security requirements and efficiency of the requirements elicitation process in two of the three replications, supporting the findings of the original study. Participants in the treatment group identified 84 % more security requirements in the oracle as compared to the control group on average. Overall, 80 % of the 111 participants in the treatment group were favorable towards the use of templates in identifying security requirements. Our qualitative findings indicate that participants may be able to differentiate between relevant and extraneous templates suggestions and be more inclined to fill in the templates with additional support. Security requirements templates capture the security knowledge of multiple experts and can support the security requirements elicitation process when automatically suggested, making the implied security requirements more evident. However, individual participants may still miss out on identifying a number of security requirements due to empirical constraints as well as potential limitations on knowledge and security expertise. © 2016, Springer Science+Business Media New York.</v>
      </c>
      <c r="H233" s="8" t="str">
        <f>IFERROR(__xludf.DUMMYFUNCTION("""COMPUTED_VALUE"""),"Automation; Controlled experiment; Patterns; Replication; Requirements engineering; Security requirements; Templates")</f>
        <v>Automation; Controlled experiment; Patterns; Replication; Requirements engineering; Security requirements; Templates</v>
      </c>
      <c r="I233" s="9" t="b">
        <v>1</v>
      </c>
      <c r="J233" s="9" t="b">
        <v>1</v>
      </c>
      <c r="K233" s="10" t="b">
        <v>0</v>
      </c>
      <c r="L233" s="10" t="b">
        <v>0</v>
      </c>
      <c r="M233" s="10" t="b">
        <v>0</v>
      </c>
      <c r="N233" s="10" t="b">
        <v>0</v>
      </c>
      <c r="O233" s="11" t="b">
        <f t="shared" si="1"/>
        <v>0</v>
      </c>
      <c r="P233" s="16" t="b">
        <v>0</v>
      </c>
      <c r="Q233" s="7"/>
    </row>
    <row r="234">
      <c r="A234" s="5" t="b">
        <v>1</v>
      </c>
      <c r="B234" s="5" t="s">
        <v>271</v>
      </c>
      <c r="C234" s="6" t="str">
        <f>IFERROR(__xludf.DUMMYFUNCTION("""COMPUTED_VALUE"""),"10.1007/s10664-013-9277-5")</f>
        <v>10.1007/s10664-013-9277-5</v>
      </c>
      <c r="D234" s="7" t="str">
        <f>IFERROR(__xludf.DUMMYFUNCTION("""COMPUTED_VALUE"""),"Jurkiewicz J.; Nawrocki J.; Ochodek M.; Głowacki T.")</f>
        <v>Jurkiewicz J.; Nawrocki J.; Ochodek M.; Głowacki T.</v>
      </c>
      <c r="E234" s="7" t="str">
        <f>IFERROR(__xludf.DUMMYFUNCTION("""COMPUTED_VALUE"""),"HAZOP-based identification of events in use cases: An empirical study")</f>
        <v>HAZOP-based identification of events in use cases: An empirical study</v>
      </c>
      <c r="F234" s="7" t="str">
        <f>IFERROR(__xludf.DUMMYFUNCTION("""COMPUTED_VALUE"""),"EMSE")</f>
        <v>EMSE</v>
      </c>
      <c r="G234" s="7" t="str">
        <f>IFERROR(__xludf.DUMMYFUNCTION("""COMPUTED_VALUE"""),"Completeness is one of the main quality attributes of requirements specifications. If functional requirements are expressed as use cases, one can be interested in event completeness. A use case is event complete if it contains description of all the event"&amp;"s that can happen when executing the use case. Missing events in any use case can lead to higher project costs. Thus, the question arises of what is a good method of identification of events in use cases and what accuracy and review speed one can expect f"&amp;"rom it. The goal of this study was to check if (1) HAZOP-based event identification is more effective than ad hoc review and (2) what is the review speed of these two approaches. Two controlled experiments were conducted in order to evaluate ad hoc approa"&amp;"ch and H4U method to event identification. The first experiment included 18 students, while the second experiment was conducted with the help of 82 professionals. In both cases, accuracy and review speed of the investigated methods were measured and analy"&amp;"zed. Moreover, the usage of HAZOP keywords was analyzed. In both experiments, a benchmark specification based on use cases was used. The first experiment with students showed that a HAZOP-based review is more effective in event identification than ad hoc "&amp;"review and this result is statistically significant. However, the reviewing speed of HAZOP-based reviews is lower. The second experiment with professionals confirmed these results. These experiments showed also that event completeness is hard to achieve. "&amp;"It on average ranged from 0.15 to 0.26. HAZOP-based identification of events in use cases is an useful alternative to ad hoc reviews. It can achieve higher event completeness at the cost of an increase in effort. © 2013, The Author(s).")</f>
        <v>Completeness is one of the main quality attributes of requirements specifications. If functional requirements are expressed as use cases, one can be interested in event completeness. A use case is event complete if it contains description of all the events that can happen when executing the use case. Missing events in any use case can lead to higher project costs. Thus, the question arises of what is a good method of identification of events in use cases and what accuracy and review speed one can expect from it. The goal of this study was to check if (1) HAZOP-based event identification is more effective than ad hoc review and (2) what is the review speed of these two approaches. Two controlled experiments were conducted in order to evaluate ad hoc approach and H4U method to event identification. The first experiment included 18 students, while the second experiment was conducted with the help of 82 professionals. In both cases, accuracy and review speed of the investigated methods were measured and analyzed. Moreover, the usage of HAZOP keywords was analyzed. In both experiments, a benchmark specification based on use cases was used. The first experiment with students showed that a HAZOP-based review is more effective in event identification than ad hoc review and this result is statistically significant. However, the reviewing speed of HAZOP-based reviews is lower. The second experiment with professionals confirmed these results. These experiments showed also that event completeness is hard to achieve. It on average ranged from 0.15 to 0.26. HAZOP-based identification of events in use cases is an useful alternative to ad hoc reviews. It can achieve higher event completeness at the cost of an increase in effort. © 2013, The Author(s).</v>
      </c>
      <c r="H234" s="8" t="str">
        <f>IFERROR(__xludf.DUMMYFUNCTION("""COMPUTED_VALUE"""),"Controlled experiment; HAZOP; Requirements engineering; Software quality; Use cases")</f>
        <v>Controlled experiment; HAZOP; Requirements engineering; Software quality; Use cases</v>
      </c>
      <c r="I234" s="9" t="b">
        <v>1</v>
      </c>
      <c r="J234" s="9" t="b">
        <v>1</v>
      </c>
      <c r="K234" s="10" t="b">
        <v>0</v>
      </c>
      <c r="L234" s="10" t="b">
        <v>0</v>
      </c>
      <c r="M234" s="10" t="b">
        <v>0</v>
      </c>
      <c r="N234" s="10" t="b">
        <v>0</v>
      </c>
      <c r="O234" s="11" t="b">
        <f t="shared" si="1"/>
        <v>0</v>
      </c>
      <c r="P234" s="16" t="b">
        <v>0</v>
      </c>
      <c r="Q234" s="7"/>
    </row>
    <row r="235">
      <c r="A235" s="5" t="b">
        <v>1</v>
      </c>
      <c r="B235" s="5" t="s">
        <v>272</v>
      </c>
      <c r="C235" s="6" t="str">
        <f>IFERROR(__xludf.DUMMYFUNCTION("""COMPUTED_VALUE"""),"10.1007/s10664-017-9561-x")</f>
        <v>10.1007/s10664-017-9561-x</v>
      </c>
      <c r="D235" s="7" t="str">
        <f>IFERROR(__xludf.DUMMYFUNCTION("""COMPUTED_VALUE"""),"Rahimi M.; Cleland-Huang J.")</f>
        <v>Rahimi M.; Cleland-Huang J.</v>
      </c>
      <c r="E235" s="7" t="str">
        <f>IFERROR(__xludf.DUMMYFUNCTION("""COMPUTED_VALUE"""),"Evolving software trace links between requirements and source code")</f>
        <v>Evolving software trace links between requirements and source code</v>
      </c>
      <c r="F235" s="7" t="str">
        <f>IFERROR(__xludf.DUMMYFUNCTION("""COMPUTED_VALUE"""),"EMSE")</f>
        <v>EMSE</v>
      </c>
      <c r="G235" s="7" t="str">
        <f>IFERROR(__xludf.DUMMYFUNCTION("""COMPUTED_VALUE"""),"Traceability provides support for diverse software engineering activities including safety analysis, compliance verification, test-case selection, and impact prediction. However, in practice, there is a tendency for trace links to degrade over time as the"&amp;" system continually evolves. This is especially true for links between source-code and upstream artifacts such as requirements – because developers frequently refactor and change code without updating the links. In this paper we present TLE (Trace Link Ev"&amp;"olver), a solution for automating the evolution of bidirectional trace links between source code classes or methods and requirements. TLE depends on a set of heuristics coupled with refactoring detection tools and informational retrieval algorithms to det"&amp;"ect predefined change scenarios that occur across contiguous versions of a software system. We first evaluate TLE at the class level in a controlled experiment to evolve trace links for revisions of two Java applications. Second, we comparatively evaluate"&amp;" several variants of TLE across six releases of our in-house Dronology project. We study the results of integrating human analyst feed back in the evolution cycle of this emerging project. Additionally, in this system, we compare the efficacy of class-lev"&amp;"el versus method-level evolution of trace links. Finally, we evaluate TLE in a larger scale across 27 releases of the Cassandra Database System and show that the evolved trace links are significantly more accurate than those generated using only informati"&amp;"on retrieval techniques. © 2017, Springer Science+Business Media, LLC.")</f>
        <v>Traceability provides support for diverse software engineering activities including safety analysis, compliance verification, test-case selection, and impact prediction. However, in practice, there is a tendency for trace links to degrade over time as the system continually evolves. This is especially true for links between source-code and upstream artifacts such as requirements – because developers frequently refactor and change code without updating the links. In this paper we present TLE (Trace Link Evolver), a solution for automating the evolution of bidirectional trace links between source code classes or methods and requirements. TLE depends on a set of heuristics coupled with refactoring detection tools and informational retrieval algorithms to detect predefined change scenarios that occur across contiguous versions of a software system. We first evaluate TLE at the class level in a controlled experiment to evolve trace links for revisions of two Java applications. Second, we comparatively evaluate several variants of TLE across six releases of our in-house Dronology project. We study the results of integrating human analyst feed back in the evolution cycle of this emerging project. Additionally, in this system, we compare the efficacy of class-level versus method-level evolution of trace links. Finally, we evaluate TLE in a larger scale across 27 releases of the Cassandra Database System and show that the evolved trace links are significantly more accurate than those generated using only information retrieval techniques. © 2017, Springer Science+Business Media, LLC.</v>
      </c>
      <c r="H235" s="8" t="str">
        <f>IFERROR(__xludf.DUMMYFUNCTION("""COMPUTED_VALUE"""),"Evolution; Maintenance; Traceability")</f>
        <v>Evolution; Maintenance; Traceability</v>
      </c>
      <c r="I235" s="10" t="b">
        <v>0</v>
      </c>
      <c r="J235" s="10" t="b">
        <v>0</v>
      </c>
      <c r="K235" s="10" t="b">
        <v>0</v>
      </c>
      <c r="L235" s="10" t="b">
        <v>0</v>
      </c>
      <c r="M235" s="10" t="b">
        <v>0</v>
      </c>
      <c r="N235" s="10" t="b">
        <v>0</v>
      </c>
      <c r="O235" s="11" t="b">
        <f t="shared" si="1"/>
        <v>0</v>
      </c>
      <c r="P235" s="16" t="b">
        <v>0</v>
      </c>
      <c r="Q235" s="7"/>
    </row>
    <row r="236">
      <c r="A236" s="5" t="b">
        <v>1</v>
      </c>
      <c r="B236" s="5" t="s">
        <v>273</v>
      </c>
      <c r="C236" s="6" t="str">
        <f>IFERROR(__xludf.DUMMYFUNCTION("""COMPUTED_VALUE"""),"10.1007/s10664-012-9227-7")</f>
        <v>10.1007/s10664-012-9227-7</v>
      </c>
      <c r="D236" s="7" t="str">
        <f>IFERROR(__xludf.DUMMYFUNCTION("""COMPUTED_VALUE"""),"Da Silva F.Q.B.; Suassuna M.; França A.C.C.; Grubb A.M.; Gouveia T.B.; Monteiro C.V.F.; Dos Santos I.E.")</f>
        <v>Da Silva F.Q.B.; Suassuna M.; França A.C.C.; Grubb A.M.; Gouveia T.B.; Monteiro C.V.F.; Dos Santos I.E.</v>
      </c>
      <c r="E236" s="7" t="str">
        <f>IFERROR(__xludf.DUMMYFUNCTION("""COMPUTED_VALUE"""),"Replication of empirical studies in software engineering research: A systematic mapping study")</f>
        <v>Replication of empirical studies in software engineering research: A systematic mapping study</v>
      </c>
      <c r="F236" s="7" t="str">
        <f>IFERROR(__xludf.DUMMYFUNCTION("""COMPUTED_VALUE"""),"EMSE")</f>
        <v>EMSE</v>
      </c>
      <c r="G236" s="7" t="str">
        <f>IFERROR(__xludf.DUMMYFUNCTION("""COMPUTED_VALUE"""),"In this article, we present a systematic mapping study of replications in software engineering. The goal is to plot the landscape of current published replications of empirical studies in software engineering research. We applied the systematic review met"&amp;"hod to search and select published articles, and to extract and synthesize data from the selected articles that reported replications. Our search retrieved more than 16,000 articles, from which we selected 96 articles, reporting 133 replications performed"&amp;" between 1994 and 2010, of 72 original studies. Nearly 70 % of the replications were published after 2004 and 70 % of these studies were internal replications. The topics of software requirements, software construction, and software quality concentrated o"&amp;"ver 55 % of the replications, while software design, configuration management, and software tools and methods were the topics with the smallest number of replications. We conclude that the number of replications has grown in the last few years, but the ab"&amp;"solute number of replications is still small, in particular considering the breadth of topics in software engineering. We still need incentives to perform external replications, better standards to report empirical studies and their replications, and coll"&amp;"aborative research agendas that could speed up development and publication of replications. © 2012 Springer Science+Business Media, LLC.")</f>
        <v>In this article, we present a systematic mapping study of replications in software engineering. The goal is to plot the landscape of current published replications of empirical studies in software engineering research. We applied the systematic review method to search and select published articles, and to extract and synthesize data from the selected articles that reported replications. Our search retrieved more than 16,000 articles, from which we selected 96 articles, reporting 133 replications performed between 1994 and 2010, of 72 original studies. Nearly 70 % of the replications were published after 2004 and 70 % of these studies were internal replications. The topics of software requirements, software construction, and software quality concentrated over 55 % of the replications, while software design, configuration management, and software tools and methods were the topics with the smallest number of replications. We conclude that the number of replications has grown in the last few years, but the absolute number of replications is still small, in particular considering the breadth of topics in software engineering. We still need incentives to perform external replications, better standards to report empirical studies and their replications, and collaborative research agendas that could speed up development and publication of replications. © 2012 Springer Science+Business Media, LLC.</v>
      </c>
      <c r="H236" s="8" t="str">
        <f>IFERROR(__xludf.DUMMYFUNCTION("""COMPUTED_VALUE"""),"Empirical studies; Experiments; Mapping study; Replications; Software engineering; Systematic literature review")</f>
        <v>Empirical studies; Experiments; Mapping study; Replications; Software engineering; Systematic literature review</v>
      </c>
      <c r="I236" s="10" t="b">
        <v>0</v>
      </c>
      <c r="J236" s="10" t="b">
        <v>0</v>
      </c>
      <c r="K236" s="10" t="b">
        <v>0</v>
      </c>
      <c r="L236" s="10" t="b">
        <v>0</v>
      </c>
      <c r="M236" s="10" t="b">
        <v>0</v>
      </c>
      <c r="N236" s="10" t="b">
        <v>0</v>
      </c>
      <c r="O236" s="11" t="b">
        <f t="shared" si="1"/>
        <v>0</v>
      </c>
      <c r="P236" s="16" t="b">
        <v>0</v>
      </c>
      <c r="Q236" s="7"/>
    </row>
    <row r="237">
      <c r="A237" s="5" t="b">
        <v>1</v>
      </c>
      <c r="B237" s="5" t="s">
        <v>274</v>
      </c>
      <c r="C237" s="6" t="str">
        <f>IFERROR(__xludf.DUMMYFUNCTION("""COMPUTED_VALUE"""),"10.1007/s10664-011-9156-x")</f>
        <v>10.1007/s10664-011-9156-x</v>
      </c>
      <c r="D237" s="7" t="str">
        <f>IFERROR(__xludf.DUMMYFUNCTION("""COMPUTED_VALUE"""),"Gonzales C.K.; Leroy G.")</f>
        <v>Gonzales C.K.; Leroy G.</v>
      </c>
      <c r="E237" s="7" t="str">
        <f>IFERROR(__xludf.DUMMYFUNCTION("""COMPUTED_VALUE"""),"Eliciting user requirements using Appreciative inquiry")</f>
        <v>Eliciting user requirements using Appreciative inquiry</v>
      </c>
      <c r="F237" s="7" t="str">
        <f>IFERROR(__xludf.DUMMYFUNCTION("""COMPUTED_VALUE"""),"EMSE")</f>
        <v>EMSE</v>
      </c>
      <c r="G237" s="7" t="str">
        <f>IFERROR(__xludf.DUMMYFUNCTION("""COMPUTED_VALUE"""),"For decades and still today, software development projects have failed because they do not meet the needs of users, are over-budget, and abandoned. To help address this problem, the user requirements elicitation process was modified based on principles of"&amp;" Appreciative Inquiry. Appreciative Inquiry, commonly used in organizational development, aims to build organizations, processes, or systems based on success stories using a hopeful vision for an ideal future. In four studies, Appreciative Inquiry was eva"&amp;"luated for its effectiveness with eliciting user requirements in different circumstances. In the first two studies, it was compared with brainstorming, a traditional approach, with end-users (study 1) and proxy-users (study 2). The third study was a quasi"&amp;"-experiment comparing the use of Appreciative Inquiry in different phases in the software development cycle (study 3). The final (fourth) study combined all lessons learned using Appreciative Inquiry in a cross-case comparison study of 3 cases to gain add"&amp;"itional understanding of the requirements gathered during various project phases. In each of the four studies, the requirements gathered, developer and user attitudes, and the Appreciative Inquiry process itself were evaluated. Requirements were evaluated"&amp;" for their quantity and type regardless of whether they were implemented or not. Attitudes were evaluated for commitment to the requirements and project using process feedback. The Appreciative Inquiry process was evaluated with differing groups, projects"&amp;", and project phases to determine how and when it is best applied. Potentially interceding factors were also evaluated including: team effectiveness, Emotional Intelligence, and perceived stress. Appreciative Inquiry produced positive results for the part"&amp;"icipants, the requirements obtained, and the general requirements eliciting-process. Appreciative Inquiry demonstrated benefits to the requirements gathered by increasing the number of unique requirements as well as identifying more quality-based (non-fun"&amp;"ctional) and forward-looking requirements. It worked best when there was time for participants to reflect on the thought-provoking questions and when the facilitator was knowledgeable of the subject-matter and had extra time to extract and translate the r"&amp;"equirements. The participants (end-users and developers) expressed improved project understanding. End-users participated consistently with immediate buy-in and enthusiasm, especially those users who were technically-inhibited. We conclude that Appreciati"&amp;"ve Inquiry can augment existing methods by presenting a positive and future aspect for a proposed system resulting in improved user requirements. © 2011 Springer Science+Business Media, LLC.")</f>
        <v>For decades and still today, software development projects have failed because they do not meet the needs of users, are over-budget, and abandoned. To help address this problem, the user requirements elicitation process was modified based on principles of Appreciative Inquiry. Appreciative Inquiry, commonly used in organizational development, aims to build organizations, processes, or systems based on success stories using a hopeful vision for an ideal future. In four studies, Appreciative Inquiry was evaluated for its effectiveness with eliciting user requirements in different circumstances. In the first two studies, it was compared with brainstorming, a traditional approach, with end-users (study 1) and proxy-users (study 2). The third study was a quasi-experiment comparing the use of Appreciative Inquiry in different phases in the software development cycle (study 3). The final (fourth) study combined all lessons learned using Appreciative Inquiry in a cross-case comparison study of 3 cases to gain additional understanding of the requirements gathered during various project phases. In each of the four studies, the requirements gathered, developer and user attitudes, and the Appreciative Inquiry process itself were evaluated. Requirements were evaluated for their quantity and type regardless of whether they were implemented or not. Attitudes were evaluated for commitment to the requirements and project using process feedback. The Appreciative Inquiry process was evaluated with differing groups, projects, and project phases to determine how and when it is best applied. Potentially interceding factors were also evaluated including: team effectiveness, Emotional Intelligence, and perceived stress. Appreciative Inquiry produced positive results for the participants, the requirements obtained, and the general requirements eliciting-process. Appreciative Inquiry demonstrated benefits to the requirements gathered by increasing the number of unique requirements as well as identifying more quality-based (non-functional) and forward-looking requirements. It worked best when there was time for participants to reflect on the thought-provoking questions and when the facilitator was knowledgeable of the subject-matter and had extra time to extract and translate the requirements. The participants (end-users and developers) expressed improved project understanding. End-users participated consistently with immediate buy-in and enthusiasm, especially those users who were technically-inhibited. We conclude that Appreciative Inquiry can augment existing methods by presenting a positive and future aspect for a proposed system resulting in improved user requirements. © 2011 Springer Science+Business Media, LLC.</v>
      </c>
      <c r="H237" s="8" t="str">
        <f>IFERROR(__xludf.DUMMYFUNCTION("""COMPUTED_VALUE"""),"Action research; Appreciative Inquiry; Case study; Participatory research; Requirements elicitation")</f>
        <v>Action research; Appreciative Inquiry; Case study; Participatory research; Requirements elicitation</v>
      </c>
      <c r="I237" s="9" t="b">
        <v>1</v>
      </c>
      <c r="J237" s="9" t="b">
        <v>1</v>
      </c>
      <c r="K237" s="10" t="b">
        <v>0</v>
      </c>
      <c r="L237" s="10" t="b">
        <v>0</v>
      </c>
      <c r="M237" s="10" t="b">
        <v>0</v>
      </c>
      <c r="N237" s="10" t="b">
        <v>0</v>
      </c>
      <c r="O237" s="11" t="b">
        <f t="shared" si="1"/>
        <v>0</v>
      </c>
      <c r="P237" s="16" t="b">
        <v>0</v>
      </c>
      <c r="Q237" s="7"/>
    </row>
    <row r="238">
      <c r="A238" s="5" t="b">
        <v>1</v>
      </c>
      <c r="B238" s="5" t="s">
        <v>275</v>
      </c>
      <c r="C238" s="6" t="str">
        <f>IFERROR(__xludf.DUMMYFUNCTION("""COMPUTED_VALUE"""),"10.1023/A:1009724120285")</f>
        <v>10.1023/A:1009724120285</v>
      </c>
      <c r="D238" s="7" t="str">
        <f>IFERROR(__xludf.DUMMYFUNCTION("""COMPUTED_VALUE"""),"Sandahl K.; Blomkvist O.; Karlsson J.; Krysander C.; Lindvall M.; Ohlsson N.")</f>
        <v>Sandahl K.; Blomkvist O.; Karlsson J.; Krysander C.; Lindvall M.; Ohlsson N.</v>
      </c>
      <c r="E238" s="7" t="str">
        <f>IFERROR(__xludf.DUMMYFUNCTION("""COMPUTED_VALUE"""),"An extended replication of an experiment for assessing methods for software requirements inspections")</f>
        <v>An extended replication of an experiment for assessing methods for software requirements inspections</v>
      </c>
      <c r="F238" s="7" t="str">
        <f>IFERROR(__xludf.DUMMYFUNCTION("""COMPUTED_VALUE"""),"EMSE")</f>
        <v>EMSE</v>
      </c>
      <c r="G238" s="7" t="str">
        <f>IFERROR(__xludf.DUMMYFUNCTION("""COMPUTED_VALUE"""),"We have performed an extended replication of the Porter-Votta-Basili experiment comparing the Scenario method and the Checklist method for inspecting requirements specifications using identical instruments. The experiment has been conducted in our educati"&amp;"onal context represented by a more general definition of a defect compared to the original defect list. Our study involving 24 undergraduate students manipulated three independent variables: detection method, requirements specification, and the order of t"&amp;"he inspections. The dependent variable measured is the defect detection rate. We found the requirements specification inspected and not the detection method to be the most probable explanation for the variance in defect detection rate. This suggests that "&amp;"it is important to gather knowledge of how a requirements specification can convey an understandable view of the product and to adapt inspection methods accordingly. Contrary to the original experiment, we can not significantly support the superiority of "&amp;"the Scenario method. This is in accordance with a replication conducted by Fusaro, Lanubile and Visaggio, and might be explained by the lack of individual defect detection skill of our less experienced subjects.")</f>
        <v>We have performed an extended replication of the Porter-Votta-Basili experiment comparing the Scenario method and the Checklist method for inspecting requirements specifications using identical instruments. The experiment has been conducted in our educational context represented by a more general definition of a defect compared to the original defect list. Our study involving 24 undergraduate students manipulated three independent variables: detection method, requirements specification, and the order of the inspections. The dependent variable measured is the defect detection rate. We found the requirements specification inspected and not the detection method to be the most probable explanation for the variance in defect detection rate. This suggests that it is important to gather knowledge of how a requirements specification can convey an understandable view of the product and to adapt inspection methods accordingly. Contrary to the original experiment, we can not significantly support the superiority of the Scenario method. This is in accordance with a replication conducted by Fusaro, Lanubile and Visaggio, and might be explained by the lack of individual defect detection skill of our less experienced subjects.</v>
      </c>
      <c r="H238" s="8" t="str">
        <f>IFERROR(__xludf.DUMMYFUNCTION("""COMPUTED_VALUE"""),"Controlled experiments; Inspections; Method evaluation; Replicated study")</f>
        <v>Controlled experiments; Inspections; Method evaluation; Replicated study</v>
      </c>
      <c r="I238" s="9" t="b">
        <v>1</v>
      </c>
      <c r="J238" s="9" t="b">
        <v>1</v>
      </c>
      <c r="K238" s="10" t="b">
        <v>0</v>
      </c>
      <c r="L238" s="10" t="b">
        <v>0</v>
      </c>
      <c r="M238" s="10" t="b">
        <v>0</v>
      </c>
      <c r="N238" s="10" t="b">
        <v>0</v>
      </c>
      <c r="O238" s="11" t="b">
        <f t="shared" si="1"/>
        <v>0</v>
      </c>
      <c r="P238" s="16" t="b">
        <v>0</v>
      </c>
      <c r="Q238" s="7"/>
    </row>
    <row r="239">
      <c r="A239" s="5" t="b">
        <v>1</v>
      </c>
      <c r="B239" s="5" t="s">
        <v>276</v>
      </c>
      <c r="C239" s="6" t="str">
        <f>IFERROR(__xludf.DUMMYFUNCTION("""COMPUTED_VALUE"""),"10.1007/s10664-009-9126-8")</f>
        <v>10.1007/s10664-009-9126-8</v>
      </c>
      <c r="D239" s="7" t="str">
        <f>IFERROR(__xludf.DUMMYFUNCTION("""COMPUTED_VALUE"""),"Zheng Z.; Lyu M.R.")</f>
        <v>Zheng Z.; Lyu M.R.</v>
      </c>
      <c r="E239" s="7" t="str">
        <f>IFERROR(__xludf.DUMMYFUNCTION("""COMPUTED_VALUE"""),"An adaptive QoS-aware fault tolerance strategy for web services")</f>
        <v>An adaptive QoS-aware fault tolerance strategy for web services</v>
      </c>
      <c r="F239" s="7" t="str">
        <f>IFERROR(__xludf.DUMMYFUNCTION("""COMPUTED_VALUE"""),"EMSE")</f>
        <v>EMSE</v>
      </c>
      <c r="G239" s="7" t="str">
        <f>IFERROR(__xludf.DUMMYFUNCTION("""COMPUTED_VALUE"""),"Service-Oriented Architecture (SOA) is widely adopted for building mission-critical systems, ranging from on-line stores to complex airline management systems. How to build reliable SOA systems becomes a big challenge due to the compositional nature of We"&amp;"b services. This paper proposes an adaptive QoS-aware fault tolerance strategy for Web services. Based on a user-collaborated QoS-aware middleware, SOA systems can dynamically adjust their optimal fault tolerance configurations to achieve optimal service "&amp;"reliability as well as good overall performance. Both the subjective user requirements and the objective system performance of the Web services are considered in our adaptive fault tolerance strategy. Experiments are conducted to illustrate the advantages"&amp;" of the proposed adaptive fault tolerance strategy. Performance and effectiveness comparisons of the proposed adaptive fault tolerance strategy and various traditional fault tolerance strategies are also provided. © Springer Science+Business Media, LLC 20"&amp;"09.")</f>
        <v>Service-Oriented Architecture (SOA) is widely adopted for building mission-critical systems, ranging from on-line stores to complex airline management systems. How to build reliable SOA systems becomes a big challenge due to the compositional nature of Web services. This paper proposes an adaptive QoS-aware fault tolerance strategy for Web services. Based on a user-collaborated QoS-aware middleware, SOA systems can dynamically adjust their optimal fault tolerance configurations to achieve optimal service reliability as well as good overall performance. Both the subjective user requirements and the objective system performance of the Web services are considered in our adaptive fault tolerance strategy. Experiments are conducted to illustrate the advantages of the proposed adaptive fault tolerance strategy. Performance and effectiveness comparisons of the proposed adaptive fault tolerance strategy and various traditional fault tolerance strategies are also provided. © Springer Science+Business Media, LLC 2009.</v>
      </c>
      <c r="H239" s="8" t="str">
        <f>IFERROR(__xludf.DUMMYFUNCTION("""COMPUTED_VALUE"""),"Fault tolerance; Middleware; Qos; Web service")</f>
        <v>Fault tolerance; Middleware; Qos; Web service</v>
      </c>
      <c r="I239" s="10" t="b">
        <v>0</v>
      </c>
      <c r="J239" s="10" t="b">
        <v>0</v>
      </c>
      <c r="K239" s="10" t="b">
        <v>0</v>
      </c>
      <c r="L239" s="10" t="b">
        <v>0</v>
      </c>
      <c r="M239" s="10" t="b">
        <v>0</v>
      </c>
      <c r="N239" s="10" t="b">
        <v>0</v>
      </c>
      <c r="O239" s="11" t="b">
        <f t="shared" si="1"/>
        <v>0</v>
      </c>
      <c r="P239" s="16" t="b">
        <v>0</v>
      </c>
      <c r="Q239" s="7"/>
    </row>
    <row r="240">
      <c r="A240" s="5" t="b">
        <v>1</v>
      </c>
      <c r="B240" s="5" t="s">
        <v>277</v>
      </c>
      <c r="C240" s="6" t="str">
        <f>IFERROR(__xludf.DUMMYFUNCTION("""COMPUTED_VALUE"""),"10.1007/s10664-008-9078-4")</f>
        <v>10.1007/s10664-008-9078-4</v>
      </c>
      <c r="D240" s="7" t="str">
        <f>IFERROR(__xludf.DUMMYFUNCTION("""COMPUTED_VALUE"""),"Lormans M.; Van Deursen A.; Gross H.-G.")</f>
        <v>Lormans M.; Van Deursen A.; Gross H.-G.</v>
      </c>
      <c r="E240" s="7" t="str">
        <f>IFERROR(__xludf.DUMMYFUNCTION("""COMPUTED_VALUE"""),"An industrial case study in reconstructing requirements views")</f>
        <v>An industrial case study in reconstructing requirements views</v>
      </c>
      <c r="F240" s="7" t="str">
        <f>IFERROR(__xludf.DUMMYFUNCTION("""COMPUTED_VALUE"""),"EMSE")</f>
        <v>EMSE</v>
      </c>
      <c r="G240" s="7" t="str">
        <f>IFERROR(__xludf.DUMMYFUNCTION("""COMPUTED_VALUE"""),"Requirements views, such as coverage and status views, are an important asset for monitoring and managing software development projects. We have developed a method that automates the process of reconstructing these views, and we have built a tool, ReqAnal"&amp;"yst, that supports this method. This paper presents an investigation as to which extent requirements views can be automatically generated in order to monitor requirements in industrial practice. The paper focuses on monitoring the requirements in test cat"&amp;"egories and test cases. In order to retrieve the necessary data, an information retrieval technique, called Latent Semantic Indexing, was used. The method was applied in an industrial study. A number of requirements views were defined and experiments were"&amp;" carried out with different reconstruction settings for generating these views. Finally, we explored how these views can help the developers during the software development process.")</f>
        <v>Requirements views, such as coverage and status views, are an important asset for monitoring and managing software development projects. We have developed a method that automates the process of reconstructing these views, and we have built a tool, ReqAnalyst, that supports this method. This paper presents an investigation as to which extent requirements views can be automatically generated in order to monitor requirements in industrial practice. The paper focuses on monitoring the requirements in test categories and test cases. In order to retrieve the necessary data, an information retrieval technique, called Latent Semantic Indexing, was used. The method was applied in an industrial study. A number of requirements views were defined and experiments were carried out with different reconstruction settings for generating these views. Finally, we explored how these views can help the developers during the software development process.</v>
      </c>
      <c r="H240" s="8" t="str">
        <f>IFERROR(__xludf.DUMMYFUNCTION("""COMPUTED_VALUE"""),"Information retrieval; Requirements management; Requirements traceability reconstruction")</f>
        <v>Information retrieval; Requirements management; Requirements traceability reconstruction</v>
      </c>
      <c r="I240" s="10" t="b">
        <v>0</v>
      </c>
      <c r="J240" s="10" t="b">
        <v>0</v>
      </c>
      <c r="K240" s="10" t="b">
        <v>0</v>
      </c>
      <c r="L240" s="10" t="b">
        <v>0</v>
      </c>
      <c r="M240" s="10" t="b">
        <v>0</v>
      </c>
      <c r="N240" s="10" t="b">
        <v>0</v>
      </c>
      <c r="O240" s="11" t="b">
        <f t="shared" si="1"/>
        <v>0</v>
      </c>
      <c r="P240" s="16" t="b">
        <v>0</v>
      </c>
      <c r="Q240" s="7"/>
    </row>
    <row r="241">
      <c r="A241" s="5" t="b">
        <v>1</v>
      </c>
      <c r="B241" s="5" t="s">
        <v>278</v>
      </c>
      <c r="C241" s="6" t="str">
        <f>IFERROR(__xludf.DUMMYFUNCTION("""COMPUTED_VALUE"""),"10.1007/s10664-012-9209-9")</f>
        <v>10.1007/s10664-012-9209-9</v>
      </c>
      <c r="D241" s="7" t="str">
        <f>IFERROR(__xludf.DUMMYFUNCTION("""COMPUTED_VALUE"""),"Hindle A.; Ernst N.A.; Godfrey M.W.; Mylopoulos J.")</f>
        <v>Hindle A.; Ernst N.A.; Godfrey M.W.; Mylopoulos J.</v>
      </c>
      <c r="E241" s="7" t="str">
        <f>IFERROR(__xludf.DUMMYFUNCTION("""COMPUTED_VALUE"""),"Automated topic naming: Supporting cross-project analysis of software maintenance activities")</f>
        <v>Automated topic naming: Supporting cross-project analysis of software maintenance activities</v>
      </c>
      <c r="F241" s="7" t="str">
        <f>IFERROR(__xludf.DUMMYFUNCTION("""COMPUTED_VALUE"""),"EMSE")</f>
        <v>EMSE</v>
      </c>
      <c r="G241" s="7" t="str">
        <f>IFERROR(__xludf.DUMMYFUNCTION("""COMPUTED_VALUE"""),"Software repositories provide a deluge of software artifacts to analyze. Researchers have attempted to summarize, categorize, and relate these artifacts by using semi-unsupervised machine-learning algorithms, such as Latent Dirichlet Allocation (LDA). LDA"&amp;" is used for concept and topic analysis to suggest candidate word-lists or topics that describe and relate software artifacts. However, these word-lists and topics are difficult to interpret in the absence of meaningful summary labels. Current attempts to"&amp;" interpret topics assume manual labelling and do not use domain-specific knowledge to improve, contextualize, or describe results for the developers. We propose a solution: automated labelled topic extraction. Topics are extracted using LDA from commit-lo"&amp;"g comments recovered from source control systems. These topics are given labels from a generalizable cross-project taxonomy, consisting of non-functional requirements. Our approach was evaluated with experiments and case studies on three large-scale Relat"&amp;"ional Database Management System (RDBMS) projects: MySQL, PostgreSQL and MaxDB. The case studies show that labelled topic extraction can produce appropriate, context-sensitive labels that are relevant to these projects, and provide fresh insight into thei"&amp;"r evolving software development activities. © 2012 Springer Science+Business Media, LLC.")</f>
        <v>Software repositories provide a deluge of software artifacts to analyze. Researchers have attempted to summarize, categorize, and relate these artifacts by using semi-unsupervised machine-learning algorithms, such as Latent Dirichlet Allocation (LDA). LDA is used for concept and topic analysis to suggest candidate word-lists or topics that describe and relate software artifacts. However, these word-lists and topics are difficult to interpret in the absence of meaningful summary labels. Current attempts to interpret topics assume manual labelling and do not use domain-specific knowledge to improve, contextualize, or describe results for the developers. We propose a solution: automated labelled topic extraction. Topics are extracted using LDA from commit-log comments recovered from source control systems. These topics are given labels from a generalizable cross-project taxonomy, consisting of non-functional requirements. Our approach was evaluated with experiments and case studies on three large-scale Relational Database Management System (RDBMS) projects: MySQL, PostgreSQL and MaxDB. The case studies show that labelled topic extraction can produce appropriate, context-sensitive labels that are relevant to these projects, and provide fresh insight into their evolving software development activities. © 2012 Springer Science+Business Media, LLC.</v>
      </c>
      <c r="H241" s="8" t="str">
        <f>IFERROR(__xludf.DUMMYFUNCTION("""COMPUTED_VALUE"""),"Latent Dirichlet allocation; Repository mining; Software maintenance; Topic models")</f>
        <v>Latent Dirichlet allocation; Repository mining; Software maintenance; Topic models</v>
      </c>
      <c r="I241" s="10" t="b">
        <v>0</v>
      </c>
      <c r="J241" s="10" t="b">
        <v>0</v>
      </c>
      <c r="K241" s="10" t="b">
        <v>0</v>
      </c>
      <c r="L241" s="10" t="b">
        <v>0</v>
      </c>
      <c r="M241" s="10" t="b">
        <v>0</v>
      </c>
      <c r="N241" s="10" t="b">
        <v>0</v>
      </c>
      <c r="O241" s="11" t="b">
        <f t="shared" si="1"/>
        <v>0</v>
      </c>
      <c r="P241" s="16" t="b">
        <v>0</v>
      </c>
      <c r="Q241" s="7"/>
    </row>
    <row r="242">
      <c r="A242" s="5" t="b">
        <v>1</v>
      </c>
      <c r="B242" s="5" t="s">
        <v>279</v>
      </c>
      <c r="C242" s="6" t="str">
        <f>IFERROR(__xludf.DUMMYFUNCTION("""COMPUTED_VALUE"""),"10.1007/s10664-011-9174-8")</f>
        <v>10.1007/s10664-011-9174-8</v>
      </c>
      <c r="D242" s="7" t="str">
        <f>IFERROR(__xludf.DUMMYFUNCTION("""COMPUTED_VALUE"""),"Wnuk K.; Höst M.; Regnell B.")</f>
        <v>Wnuk K.; Höst M.; Regnell B.</v>
      </c>
      <c r="E242" s="7" t="str">
        <f>IFERROR(__xludf.DUMMYFUNCTION("""COMPUTED_VALUE"""),"Replication of an experiment on linguistic tool support for consolidation of requirements from multiple sources")</f>
        <v>Replication of an experiment on linguistic tool support for consolidation of requirements from multiple sources</v>
      </c>
      <c r="F242" s="7" t="str">
        <f>IFERROR(__xludf.DUMMYFUNCTION("""COMPUTED_VALUE"""),"EMSE")</f>
        <v>EMSE</v>
      </c>
      <c r="G242" s="7" t="str">
        <f>IFERROR(__xludf.DUMMYFUNCTION("""COMPUTED_VALUE"""),"Large market-driven software companies continuously receive large numbers of requirements and change requests from multiple sources. The task of analyzing those requests against each other and against already analyzed or implemented functionality then rec"&amp;"ording similarities between them, also called the requirements consolidation task, may be challenging and time consuming. This paper presents a replicated experiment designed to further investigate the linguistic tool support for the requirements consolid"&amp;"ation task. In this replication study, 45 subjects, working in pairs on the same set of requirements as in the original study, were assigned to use two methods for the requirements consolidation: (1) lexical similarity and (2) searching and filtering. The"&amp;" results show that the linguistic method used in this experiment is not more efficient in consolidating requirements than the searching and filtering method, which contradicts the findings of the original study. However, we confirm the previous results th"&amp;"at the assisted method (lexical similarity) can deliver more correct links and miss fewer links than the manual method (searching and filtering). © 2011 Springer Science+Business Media, LLC.")</f>
        <v>Large market-driven software companies continuously receive large numbers of requirements and change requests from multiple sources. The task of analyzing those requests against each other and against already analyzed or implemented functionality then recording similarities between them, also called the requirements consolidation task, may be challenging and time consuming. This paper presents a replicated experiment designed to further investigate the linguistic tool support for the requirements consolidation task. In this replication study, 45 subjects, working in pairs on the same set of requirements as in the original study, were assigned to use two methods for the requirements consolidation: (1) lexical similarity and (2) searching and filtering. The results show that the linguistic method used in this experiment is not more efficient in consolidating requirements than the searching and filtering method, which contradicts the findings of the original study. However, we confirm the previous results that the assisted method (lexical similarity) can deliver more correct links and miss fewer links than the manual method (searching and filtering). © 2011 Springer Science+Business Media, LLC.</v>
      </c>
      <c r="H242" s="8" t="str">
        <f>IFERROR(__xludf.DUMMYFUNCTION("""COMPUTED_VALUE"""),"Experiment; Linguistic method; Replication; Requirements engineering")</f>
        <v>Experiment; Linguistic method; Replication; Requirements engineering</v>
      </c>
      <c r="I242" s="9" t="b">
        <v>1</v>
      </c>
      <c r="J242" s="9" t="b">
        <v>1</v>
      </c>
      <c r="K242" s="9" t="b">
        <v>1</v>
      </c>
      <c r="L242" s="10" t="b">
        <v>0</v>
      </c>
      <c r="M242" s="10" t="b">
        <v>0</v>
      </c>
      <c r="N242" s="10" t="b">
        <v>0</v>
      </c>
      <c r="O242" s="11" t="b">
        <f t="shared" si="1"/>
        <v>1</v>
      </c>
      <c r="P242" s="16" t="b">
        <v>0</v>
      </c>
      <c r="Q242" s="13" t="s">
        <v>280</v>
      </c>
    </row>
    <row r="243">
      <c r="A243" s="5" t="b">
        <v>1</v>
      </c>
      <c r="B243" s="5" t="s">
        <v>281</v>
      </c>
      <c r="C243" s="6" t="str">
        <f>IFERROR(__xludf.DUMMYFUNCTION("""COMPUTED_VALUE"""),"10.1007/s10664-022-10204-8")</f>
        <v>10.1007/s10664-022-10204-8</v>
      </c>
      <c r="D243" s="7" t="str">
        <f>IFERROR(__xludf.DUMMYFUNCTION("""COMPUTED_VALUE"""),"Díaz O.; Contell J.P.")</f>
        <v>Díaz O.; Contell J.P.</v>
      </c>
      <c r="E243" s="7" t="str">
        <f>IFERROR(__xludf.DUMMYFUNCTION("""COMPUTED_VALUE"""),"Developing research questions in conversation with the literature: operationalization &amp; tool support")</f>
        <v>Developing research questions in conversation with the literature: operationalization &amp; tool support</v>
      </c>
      <c r="F243" s="7" t="str">
        <f>IFERROR(__xludf.DUMMYFUNCTION("""COMPUTED_VALUE"""),"EMSE")</f>
        <v>EMSE</v>
      </c>
      <c r="G243" s="7" t="str">
        <f>IFERROR(__xludf.DUMMYFUNCTION("""COMPUTED_VALUE"""),"Empirical Software Engineering rests on the understanding of practical problems and their solution counterparts. Frequently, solutions are not absolute but relative to the context where the problem is observed. This tends to imply that the solution and th"&amp;"e problem unveil gradually together, and hence, researchers are not always in the position to state the research question (RQ) at the onset. Like software engineers when facing blurred requirements, researchers might not be familiar enough with the proble"&amp;"m in the early phases of a research to properly scope their RQs (hereafter referred to as RQ Scoping). Here, the literature may play the role of the stakeholders in Agile methods: keeping the focus on the aspects that are essential (vs. accidental) of the"&amp;" RQ. Informed by Inductive Top-Down Theorizing, this article acknowledges RQ Scoping as iterative and incremental, entailing a conversation between the experimental work and literature reviewing. Yet, for literature reviewing to become “Agile” it is not o"&amp;"nly required to be driven by the RQ but also to have tool support. Tools might bring transparency and traceability, both factors especially welcome in a scenario characterized by testing (is my RQ relevant?) and adjustment (how can I make my RQ relevant?)"&amp;". Specifically, the advent of the RQ in close relationship with the literature advises for “Agile” literature reviewing to be conducted at the place where the literature is naturally kept: the Reference Management System (e.g., Mendeley). This article int"&amp;"roduces the theoretical underpinnings, design principles, proof of concept and evaluation for FRAMEndeley, a Mendeley-integrated utility for RQ Scoping. © 2022, The Author(s).")</f>
        <v>Empirical Software Engineering rests on the understanding of practical problems and their solution counterparts. Frequently, solutions are not absolute but relative to the context where the problem is observed. This tends to imply that the solution and the problem unveil gradually together, and hence, researchers are not always in the position to state the research question (RQ) at the onset. Like software engineers when facing blurred requirements, researchers might not be familiar enough with the problem in the early phases of a research to properly scope their RQs (hereafter referred to as RQ Scoping). Here, the literature may play the role of the stakeholders in Agile methods: keeping the focus on the aspects that are essential (vs. accidental) of the RQ. Informed by Inductive Top-Down Theorizing, this article acknowledges RQ Scoping as iterative and incremental, entailing a conversation between the experimental work and literature reviewing. Yet, for literature reviewing to become “Agile” it is not only required to be driven by the RQ but also to have tool support. Tools might bring transparency and traceability, both factors especially welcome in a scenario characterized by testing (is my RQ relevant?) and adjustment (how can I make my RQ relevant?). Specifically, the advent of the RQ in close relationship with the literature advises for “Agile” literature reviewing to be conducted at the place where the literature is naturally kept: the Reference Management System (e.g., Mendeley). This article introduces the theoretical underpinnings, design principles, proof of concept and evaluation for FRAMEndeley, a Mendeley-integrated utility for RQ Scoping. © 2022, The Author(s).</v>
      </c>
      <c r="H243" s="8" t="str">
        <f>IFERROR(__xludf.DUMMYFUNCTION("""COMPUTED_VALUE"""),"Inductive Top-Down Theorizing; Literature review; Reference management systems; Research question")</f>
        <v>Inductive Top-Down Theorizing; Literature review; Reference management systems; Research question</v>
      </c>
      <c r="I243" s="10" t="b">
        <v>0</v>
      </c>
      <c r="J243" s="10" t="b">
        <v>0</v>
      </c>
      <c r="K243" s="10" t="b">
        <v>0</v>
      </c>
      <c r="L243" s="10" t="b">
        <v>0</v>
      </c>
      <c r="M243" s="10" t="b">
        <v>0</v>
      </c>
      <c r="N243" s="10" t="b">
        <v>0</v>
      </c>
      <c r="O243" s="11" t="b">
        <f t="shared" si="1"/>
        <v>0</v>
      </c>
      <c r="P243" s="16" t="b">
        <v>0</v>
      </c>
      <c r="Q243" s="7"/>
    </row>
    <row r="244">
      <c r="A244" s="5" t="b">
        <v>1</v>
      </c>
      <c r="B244" s="5" t="s">
        <v>282</v>
      </c>
      <c r="C244" s="6" t="str">
        <f>IFERROR(__xludf.DUMMYFUNCTION("""COMPUTED_VALUE"""),"10.1007/s10664-014-9314-z")</f>
        <v>10.1007/s10664-014-9314-z</v>
      </c>
      <c r="D244" s="7" t="str">
        <f>IFERROR(__xludf.DUMMYFUNCTION("""COMPUTED_VALUE"""),"Mäder P.; Egyed A.")</f>
        <v>Mäder P.; Egyed A.</v>
      </c>
      <c r="E244" s="7" t="str">
        <f>IFERROR(__xludf.DUMMYFUNCTION("""COMPUTED_VALUE"""),"Do developers benefit from requirements traceability when evolving and maintaining a software system?")</f>
        <v>Do developers benefit from requirements traceability when evolving and maintaining a software system?</v>
      </c>
      <c r="F244" s="7" t="str">
        <f>IFERROR(__xludf.DUMMYFUNCTION("""COMPUTED_VALUE"""),"EMSE")</f>
        <v>EMSE</v>
      </c>
      <c r="G244" s="7" t="str">
        <f>IFERROR(__xludf.DUMMYFUNCTION("""COMPUTED_VALUE"""),"Software traceability is a required component of many software development processes. Advocates of requirements traceability cite advantages like easier program comprehension and support for software maintenance (i.e., software change). However, despite i"&amp;"ts growing popularity, there exists no published evaluation about the usefulness of requirements traceability. It is important, if not crucial, to investigate whether the use of requirements traceability can significantly support development tasks to even"&amp;"tually justify its costs. We thus conducted a controlled experiment with 71 subjects re-performing real maintenance tasks on two third-party development projects: half of the tasks with and the other half without traceability. Subjects sketched their task"&amp;" solutions on paper to focus on the their ability to solving the problems rather than their programming skills. Our findings show that subjects with traceability performed on average 24 % faster on a given task and created on average 50 % more correct sol"&amp;"utions—suggesting that traceability not only saves effort but can profoundly improve software maintenance quality. © 2014, Springer Science+Business Media New York.")</f>
        <v>Software traceability is a required component of many software development processes. Advocates of requirements traceability cite advantages like easier program comprehension and support for software maintenance (i.e., software change). However, despite its growing popularity, there exists no published evaluation about the usefulness of requirements traceability. It is important, if not crucial, to investigate whether the use of requirements traceability can significantly support development tasks to eventually justify its costs. We thus conducted a controlled experiment with 71 subjects re-performing real maintenance tasks on two third-party development projects: half of the tasks with and the other half without traceability. Subjects sketched their task solutions on paper to focus on the their ability to solving the problems rather than their programming skills. Our findings show that subjects with traceability performed on average 24 % faster on a given task and created on average 50 % more correct solutions—suggesting that traceability not only saves effort but can profoundly improve software maintenance quality. © 2014, Springer Science+Business Media New York.</v>
      </c>
      <c r="H244" s="8" t="str">
        <f>IFERROR(__xludf.DUMMYFUNCTION("""COMPUTED_VALUE"""),"Controlled experiment; Empirical software engineering; Requirements traceability; Software evolution; Software maintenance; Software traceability; Study; Traceability benefit; Traceability effect; Traceability usage")</f>
        <v>Controlled experiment; Empirical software engineering; Requirements traceability; Software evolution; Software maintenance; Software traceability; Study; Traceability benefit; Traceability effect; Traceability usage</v>
      </c>
      <c r="I244" s="9" t="b">
        <v>1</v>
      </c>
      <c r="J244" s="9" t="b">
        <v>1</v>
      </c>
      <c r="K244" s="9" t="b">
        <v>1</v>
      </c>
      <c r="L244" s="10" t="b">
        <v>0</v>
      </c>
      <c r="M244" s="10" t="b">
        <v>0</v>
      </c>
      <c r="N244" s="10" t="b">
        <v>0</v>
      </c>
      <c r="O244" s="11" t="b">
        <f t="shared" si="1"/>
        <v>1</v>
      </c>
      <c r="P244" s="16" t="b">
        <v>0</v>
      </c>
      <c r="Q244" s="7"/>
    </row>
    <row r="245">
      <c r="A245" s="5" t="b">
        <v>1</v>
      </c>
      <c r="B245" s="5" t="s">
        <v>283</v>
      </c>
      <c r="C245" s="6" t="str">
        <f>IFERROR(__xludf.DUMMYFUNCTION("""COMPUTED_VALUE"""),"10.1007/s10664-018-9623-8")</f>
        <v>10.1007/s10664-018-9623-8</v>
      </c>
      <c r="D245" s="7" t="str">
        <f>IFERROR(__xludf.DUMMYFUNCTION("""COMPUTED_VALUE"""),"Hu W.; Carver J.C.; Anu V.; Walia G.S.; Bradshaw G.L.")</f>
        <v>Hu W.; Carver J.C.; Anu V.; Walia G.S.; Bradshaw G.L.</v>
      </c>
      <c r="E245" s="7" t="str">
        <f>IFERROR(__xludf.DUMMYFUNCTION("""COMPUTED_VALUE"""),"Using human error information for error prevention")</f>
        <v>Using human error information for error prevention</v>
      </c>
      <c r="F245" s="7" t="str">
        <f>IFERROR(__xludf.DUMMYFUNCTION("""COMPUTED_VALUE"""),"EMSE")</f>
        <v>EMSE</v>
      </c>
      <c r="G245" s="7" t="str">
        <f>IFERROR(__xludf.DUMMYFUNCTION("""COMPUTED_VALUE"""),"Developing error-free software requirements is of critical importance to the success of a software project. Problems that occur during requirements collection and specification, if not fixed early, are costly to fix later. Therefore, it is important to de"&amp;"velop techniques that help requirements engineers detect and prevent requirements problems. As a human-centric activity, requirements engineering can be influenced by psychological research about human errors, which are the failings of human cognition dur"&amp;"ing the process of planning and executinge a task. We have employed human error research to describe the types of problems that occur during requirements engineering. The goals of this research are: (1) to evaluate whether understanding human errors contr"&amp;"ibutes to the prevention of errors and concomitant faults during requirements engineering and (2) to identify error prevention techniques used in industrial practice. We conducted a controlled classroom experiment to evaluate the benefits that knowledge o"&amp;"f errors has on error prevention. We then analyzed data from two industrial surveys to identify specific prevention and mitigation approaches employed in practice. The classroom study showed that the better a requirements engineer understands human errors"&amp;", the fewer errors and concomitant faults that engineer makes when developing a new requirements document. Furthermore, different types of Human Errors have different impacts on fault prevention. The industry study results identified prevention and mitiga"&amp;"tion mechanisms for each error type. Human error information is useful for fault prevention during requirements engineering. There are practices that requirements engineers can employ to prevent or mitigate specific human errors. © 2018, Springer Science+"&amp;"Business Media, LLC, part of Springer Nature.")</f>
        <v>Developing error-free software requirements is of critical importance to the success of a software project. Problems that occur during requirements collection and specification, if not fixed early, are costly to fix later. Therefore, it is important to develop techniques that help requirements engineers detect and prevent requirements problems. As a human-centric activity, requirements engineering can be influenced by psychological research about human errors, which are the failings of human cognition during the process of planning and executinge a task. We have employed human error research to describe the types of problems that occur during requirements engineering. The goals of this research are: (1) to evaluate whether understanding human errors contributes to the prevention of errors and concomitant faults during requirements engineering and (2) to identify error prevention techniques used in industrial practice. We conducted a controlled classroom experiment to evaluate the benefits that knowledge of errors has on error prevention. We then analyzed data from two industrial surveys to identify specific prevention and mitigation approaches employed in practice. The classroom study showed that the better a requirements engineer understands human errors, the fewer errors and concomitant faults that engineer makes when developing a new requirements document. Furthermore, different types of Human Errors have different impacts on fault prevention. The industry study results identified prevention and mitigation mechanisms for each error type. Human error information is useful for fault prevention during requirements engineering. There are practices that requirements engineers can employ to prevent or mitigate specific human errors. © 2018, Springer Science+Business Media, LLC, part of Springer Nature.</v>
      </c>
      <c r="H245" s="8" t="str">
        <f>IFERROR(__xludf.DUMMYFUNCTION("""COMPUTED_VALUE"""),"Empirical study; Error prevention; Fault prevention; Human errors; Human factors; Software requirements")</f>
        <v>Empirical study; Error prevention; Fault prevention; Human errors; Human factors; Software requirements</v>
      </c>
      <c r="I245" s="9" t="b">
        <v>1</v>
      </c>
      <c r="J245" s="9" t="b">
        <v>1</v>
      </c>
      <c r="K245" s="10" t="b">
        <v>0</v>
      </c>
      <c r="L245" s="10" t="b">
        <v>0</v>
      </c>
      <c r="M245" s="10" t="b">
        <v>0</v>
      </c>
      <c r="N245" s="10" t="b">
        <v>0</v>
      </c>
      <c r="O245" s="11" t="b">
        <f t="shared" si="1"/>
        <v>0</v>
      </c>
      <c r="P245" s="16" t="b">
        <v>0</v>
      </c>
      <c r="Q245" s="7"/>
    </row>
    <row r="246">
      <c r="A246" s="5" t="b">
        <v>1</v>
      </c>
      <c r="B246" s="5" t="s">
        <v>284</v>
      </c>
      <c r="C246" s="6" t="str">
        <f>IFERROR(__xludf.DUMMYFUNCTION("""COMPUTED_VALUE"""),"10.1007/s10664-015-9418-0")</f>
        <v>10.1007/s10664-015-9418-0</v>
      </c>
      <c r="D246" s="7" t="str">
        <f>IFERROR(__xludf.DUMMYFUNCTION("""COMPUTED_VALUE"""),"Li Y.; Yue T.; Ali S.; Zhang L.")</f>
        <v>Li Y.; Yue T.; Ali S.; Zhang L.</v>
      </c>
      <c r="E246" s="7" t="str">
        <f>IFERROR(__xludf.DUMMYFUNCTION("""COMPUTED_VALUE"""),"Zen-ReqOptimizer: a search-based approach for requirements assignment optimization")</f>
        <v>Zen-ReqOptimizer: a search-based approach for requirements assignment optimization</v>
      </c>
      <c r="F246" s="7" t="str">
        <f>IFERROR(__xludf.DUMMYFUNCTION("""COMPUTED_VALUE"""),"EMSE")</f>
        <v>EMSE</v>
      </c>
      <c r="G246" s="7" t="str">
        <f>IFERROR(__xludf.DUMMYFUNCTION("""COMPUTED_VALUE"""),"At early phases of a product development lifecycle of large scale Cyber-Physical Systems (CPSs), a large number of requirements need to be assigned to stakeholders from different organizations or departments of the same organization for review, clarificat"&amp;"ion and checking their conformance to standards and regulations. These requirements have various characteristics such as extents of importance to the organization, complexity, and dependencies between each other, thereby requiring different effort (worklo"&amp;"ad) to review and clarify. While working with our industrial partners in the domain of CPSs, we discovered an optimization problem, where an optimal solution is required for assigning requirements to various stakeholders by maximizing their familiarity to"&amp;" assigned requirements, meanwhile balancing the overall workload of each stakeholder. In this direction, we propose a fitness function that takes into account all the above-mentioned factors to guide a search algorithm to find an optimal solution. As a pi"&amp;"lot experiment, we first investigated four commonly applied search algorithms (i.e., GA, (1 + 1) EA, AVM, RS) together with the proposed fitness function and results show that (1 + 1) EA performs significantly better than the other algorithms. Since our o"&amp;"ptimization problem is multi-objective, we further empirically evaluated the performance of the fitness function with six multi-objective search algorithms (CellDE, MOCell, NSGA-II, PAES, SMPSO, SPEA2) together with (1 + 1) EA (the best in the pilot study"&amp;") and RS (as the baseline) in terms of finding an optimal solution using an real-world case study and 120 artificial problems of varying complexity. Results show that both for the real-world case study and the artificial problems (1 + 1) EA achieved the b"&amp;"est performance for each single objective and NSGA-II achieved the best performance for the overall fitness. NSGA-II has the ability to solve a wide range of problems without having their performance degraded significantly and (1 + 1) EA is not fit for pr"&amp;"oblems with less than 250 requirements Therefore we recommend that, if a project manager is interested in a particular objective then (1 + 1) EA should be used; otherwise, NSGA-II should be applied to obtain optimal solutions when putting the overall fitn"&amp;"ess as the first priority. © 2016, Springer Science+Business Media New York.")</f>
        <v>At early phases of a product development lifecycle of large scale Cyber-Physical Systems (CPSs), a large number of requirements need to be assigned to stakeholders from different organizations or departments of the same organization for review, clarification and checking their conformance to standards and regulations. These requirements have various characteristics such as extents of importance to the organization, complexity, and dependencies between each other, thereby requiring different effort (workload) to review and clarify. While working with our industrial partners in the domain of CPSs, we discovered an optimization problem, where an optimal solution is required for assigning requirements to various stakeholders by maximizing their familiarity to assigned requirements, meanwhile balancing the overall workload of each stakeholder. In this direction, we propose a fitness function that takes into account all the above-mentioned factors to guide a search algorithm to find an optimal solution. As a pilot experiment, we first investigated four commonly applied search algorithms (i.e., GA, (1 + 1) EA, AVM, RS) together with the proposed fitness function and results show that (1 + 1) EA performs significantly better than the other algorithms. Since our optimization problem is multi-objective, we further empirically evaluated the performance of the fitness function with six multi-objective search algorithms (CellDE, MOCell, NSGA-II, PAES, SMPSO, SPEA2) together with (1 + 1) EA (the best in the pilot study) and RS (as the baseline) in terms of finding an optimal solution using an real-world case study and 120 artificial problems of varying complexity. Results show that both for the real-world case study and the artificial problems (1 + 1) EA achieved the best performance for each single objective and NSGA-II achieved the best performance for the overall fitness. NSGA-II has the ability to solve a wide range of problems without having their performance degraded significantly and (1 + 1) EA is not fit for problems with less than 250 requirements Therefore we recommend that, if a project manager is interested in a particular objective then (1 + 1) EA should be used; otherwise, NSGA-II should be applied to obtain optimal solutions when putting the overall fitness as the first priority. © 2016, Springer Science+Business Media New York.</v>
      </c>
      <c r="H246" s="8" t="str">
        <f>IFERROR(__xludf.DUMMYFUNCTION("""COMPUTED_VALUE"""),"Optimization and empirical evaluation; Requirements assignment; Search based software engineering")</f>
        <v>Optimization and empirical evaluation; Requirements assignment; Search based software engineering</v>
      </c>
      <c r="I246" s="9" t="b">
        <v>1</v>
      </c>
      <c r="J246" s="9" t="b">
        <v>1</v>
      </c>
      <c r="K246" s="10" t="b">
        <v>0</v>
      </c>
      <c r="L246" s="10" t="b">
        <v>0</v>
      </c>
      <c r="M246" s="10" t="b">
        <v>0</v>
      </c>
      <c r="N246" s="10" t="b">
        <v>0</v>
      </c>
      <c r="O246" s="11" t="b">
        <f t="shared" si="1"/>
        <v>0</v>
      </c>
      <c r="P246" s="16" t="b">
        <v>0</v>
      </c>
      <c r="Q246" s="7"/>
    </row>
    <row r="247">
      <c r="A247" s="5" t="b">
        <v>1</v>
      </c>
      <c r="B247" s="5" t="s">
        <v>285</v>
      </c>
      <c r="C247" s="6" t="str">
        <f>IFERROR(__xludf.DUMMYFUNCTION("""COMPUTED_VALUE"""),"10.1007/s10664-018-9668-8")</f>
        <v>10.1007/s10664-018-9668-8</v>
      </c>
      <c r="D247" s="7" t="str">
        <f>IFERROR(__xludf.DUMMYFUNCTION("""COMPUTED_VALUE"""),"Salman I.; Turhan B.; Vegas S.")</f>
        <v>Salman I.; Turhan B.; Vegas S.</v>
      </c>
      <c r="E247" s="7" t="str">
        <f>IFERROR(__xludf.DUMMYFUNCTION("""COMPUTED_VALUE"""),"A controlled experiment on time pressure and confirmation bias in functional software testing")</f>
        <v>A controlled experiment on time pressure and confirmation bias in functional software testing</v>
      </c>
      <c r="F247" s="7" t="str">
        <f>IFERROR(__xludf.DUMMYFUNCTION("""COMPUTED_VALUE"""),"EMSE")</f>
        <v>EMSE</v>
      </c>
      <c r="G247" s="7" t="str">
        <f>IFERROR(__xludf.DUMMYFUNCTION("""COMPUTED_VALUE"""),"Context: Confirmation bias is a person’s tendency to look for evidence that strengthens his/her prior beliefs rather than refutes them. Manifestation of confirmation bias in software testing may have adverse effects on software quality. Psychology researc"&amp;"h suggests that time pressure could trigger confirmation bias. Objective: In the software industry, this phenomenon may deteriorate software quality. In this study, we investigate whether testers manifest confirmation bias and how it is affected by time p"&amp;"ressure in functional software testing. Method: We performed a controlled experiment with 42 graduate students to assess manifestation of confirmation bias in terms of the conformity of their designed test cases to the provided requirements specification."&amp;" We employed a one factor with two treatments between-subjects experimental design. Results: We observed, overall, participants designed significantly more confirmatory test cases as compared to disconfirmatory ones, which is in line with previous researc"&amp;"h. However, we did not observe time pressure as an antecedent to an increased rate of confirmatory testing behaviour. Conclusion: People tend to design confirmatory test cases regardless of time pressure. For practice, we find it necessary that testers de"&amp;"velop self-awareness of confirmation bias and counter its potential adverse effects with a disconfirmatory attitude. We recommend further replications to investigate the effect of time pressure as a potential contributor to the manifestation of confirmati"&amp;"on bias. © 2018, The Author(s).")</f>
        <v>Context: Confirmation bias is a person’s tendency to look for evidence that strengthens his/her prior beliefs rather than refutes them. Manifestation of confirmation bias in software testing may have adverse effects on software quality. Psychology research suggests that time pressure could trigger confirmation bias. Objective: In the software industry, this phenomenon may deteriorate software quality. In this study, we investigate whether testers manifest confirmation bias and how it is affected by time pressure in functional software testing. Method: We performed a controlled experiment with 42 graduate students to assess manifestation of confirmation bias in terms of the conformity of their designed test cases to the provided requirements specification. We employed a one factor with two treatments between-subjects experimental design. Results: We observed, overall, participants designed significantly more confirmatory test cases as compared to disconfirmatory ones, which is in line with previous research. However, we did not observe time pressure as an antecedent to an increased rate of confirmatory testing behaviour. Conclusion: People tend to design confirmatory test cases regardless of time pressure. For practice, we find it necessary that testers develop self-awareness of confirmation bias and counter its potential adverse effects with a disconfirmatory attitude. We recommend further replications to investigate the effect of time pressure as a potential contributor to the manifestation of confirmation bias. © 2018, The Author(s).</v>
      </c>
      <c r="H247" s="8" t="str">
        <f>IFERROR(__xludf.DUMMYFUNCTION("""COMPUTED_VALUE"""),"Cognitive biases; Confirmation bias; Experiment; Human factors; Software testing; Test quality; Time pressure")</f>
        <v>Cognitive biases; Confirmation bias; Experiment; Human factors; Software testing; Test quality; Time pressure</v>
      </c>
      <c r="I247" s="9" t="b">
        <v>1</v>
      </c>
      <c r="J247" s="9" t="b">
        <v>1</v>
      </c>
      <c r="K247" s="9" t="b">
        <v>1</v>
      </c>
      <c r="L247" s="10" t="b">
        <v>0</v>
      </c>
      <c r="M247" s="10" t="b">
        <v>0</v>
      </c>
      <c r="N247" s="10" t="b">
        <v>0</v>
      </c>
      <c r="O247" s="11" t="b">
        <f t="shared" si="1"/>
        <v>1</v>
      </c>
      <c r="P247" s="16" t="b">
        <v>0</v>
      </c>
      <c r="Q247" s="7"/>
    </row>
    <row r="248">
      <c r="A248" s="5" t="b">
        <v>1</v>
      </c>
      <c r="B248" s="5" t="s">
        <v>286</v>
      </c>
      <c r="C248" s="6" t="str">
        <f>IFERROR(__xludf.DUMMYFUNCTION("""COMPUTED_VALUE"""),"10.1007/s10664-006-5967-6")</f>
        <v>10.1007/s10664-006-5967-6</v>
      </c>
      <c r="D248" s="7" t="str">
        <f>IFERROR(__xludf.DUMMYFUNCTION("""COMPUTED_VALUE"""),"Maldonado J.C.; Carver J.; Shull F.; Fabbri S.; Dória E.; Martimiano L.; Mendonça M.; Basili V.")</f>
        <v>Maldonado J.C.; Carver J.; Shull F.; Fabbri S.; Dória E.; Martimiano L.; Mendonça M.; Basili V.</v>
      </c>
      <c r="E248" s="7" t="str">
        <f>IFERROR(__xludf.DUMMYFUNCTION("""COMPUTED_VALUE"""),"Perspective-based reading: A replicated experiment focused on individual reviewer effectiveness")</f>
        <v>Perspective-based reading: A replicated experiment focused on individual reviewer effectiveness</v>
      </c>
      <c r="F248" s="7" t="str">
        <f>IFERROR(__xludf.DUMMYFUNCTION("""COMPUTED_VALUE"""),"EMSE")</f>
        <v>EMSE</v>
      </c>
      <c r="G248" s="7" t="str">
        <f>IFERROR(__xludf.DUMMYFUNCTION("""COMPUTED_VALUE"""),"This paper describes a replication conducted to compare the effectiveness of inspectors using Perspective Based Reading (PBR) to the effectiveness of inspectors using a checklist. The goal of this replication was to better understand the complementary asp"&amp;"ects of the PBR perspectives. To this end, a brief discussion of the original study is provided as well as a more detailed description of the replication. A detailed statistical analysis is then provided along with analysis of the PBR perspectives. For th"&amp;"e individual PBR perspectives, we saw an interesting dichotomy: In the original study there was little overlap among the sets of defects found by each of the three perspectives, while in the replication two of the three perspectives found similar sets of "&amp;"defects on one of the two documents used in the study. Interestingly this document was the only case where the users of PBR were not more effective than the users of a checklist. This result leads to a new hypothesis that the complementary aspect of the P"&amp;"BR perspectives is the characteristic that provides the benefit over other defect detection techniques. © Springer Science + Business Media, Inc. 2006.")</f>
        <v>This paper describes a replication conducted to compare the effectiveness of inspectors using Perspective Based Reading (PBR) to the effectiveness of inspectors using a checklist. The goal of this replication was to better understand the complementary aspects of the PBR perspectives. To this end, a brief discussion of the original study is provided as well as a more detailed description of the replication. A detailed statistical analysis is then provided along with analysis of the PBR perspectives. For the individual PBR perspectives, we saw an interesting dichotomy: In the original study there was little overlap among the sets of defects found by each of the three perspectives, while in the replication two of the three perspectives found similar sets of defects on one of the two documents used in the study. Interestingly this document was the only case where the users of PBR were not more effective than the users of a checklist. This result leads to a new hypothesis that the complementary aspect of the PBR perspectives is the characteristic that provides the benefit over other defect detection techniques. © Springer Science + Business Media, Inc. 2006.</v>
      </c>
      <c r="H248" s="8" t="str">
        <f>IFERROR(__xludf.DUMMYFUNCTION("""COMPUTED_VALUE"""),"Experimental replication; Laboratory package; Requirements documents; Software inspections; Software reading techniques")</f>
        <v>Experimental replication; Laboratory package; Requirements documents; Software inspections; Software reading techniques</v>
      </c>
      <c r="I248" s="9" t="b">
        <v>1</v>
      </c>
      <c r="J248" s="9" t="b">
        <v>1</v>
      </c>
      <c r="K248" s="10" t="b">
        <v>0</v>
      </c>
      <c r="L248" s="10" t="b">
        <v>0</v>
      </c>
      <c r="M248" s="10" t="b">
        <v>0</v>
      </c>
      <c r="N248" s="10" t="b">
        <v>0</v>
      </c>
      <c r="O248" s="11" t="b">
        <f t="shared" si="1"/>
        <v>0</v>
      </c>
      <c r="P248" s="16" t="b">
        <v>0</v>
      </c>
      <c r="Q248" s="7"/>
    </row>
    <row r="249">
      <c r="A249" s="5" t="b">
        <v>1</v>
      </c>
      <c r="B249" s="5" t="s">
        <v>287</v>
      </c>
      <c r="C249" s="6" t="str">
        <f>IFERROR(__xludf.DUMMYFUNCTION("""COMPUTED_VALUE"""),"10.1007/s10664-016-9475-z")</f>
        <v>10.1007/s10664-016-9475-z</v>
      </c>
      <c r="D249" s="7" t="str">
        <f>IFERROR(__xludf.DUMMYFUNCTION("""COMPUTED_VALUE"""),"Sakhnini V.; Mich L.; Berry D.M.")</f>
        <v>Sakhnini V.; Mich L.; Berry D.M.</v>
      </c>
      <c r="E249" s="7" t="str">
        <f>IFERROR(__xludf.DUMMYFUNCTION("""COMPUTED_VALUE"""),"Group versus individual use of power-only EPMcreate as a creativity enhancement technique for requirements elicitation")</f>
        <v>Group versus individual use of power-only EPMcreate as a creativity enhancement technique for requirements elicitation</v>
      </c>
      <c r="F249" s="7" t="str">
        <f>IFERROR(__xludf.DUMMYFUNCTION("""COMPUTED_VALUE"""),"EMSE")</f>
        <v>EMSE</v>
      </c>
      <c r="G249" s="7" t="str">
        <f>IFERROR(__xludf.DUMMYFUNCTION("""COMPUTED_VALUE"""),"Creativity is often needed in requirements elicitation, i.e., generating ideas for requirements, and therefore, techniques to enhance creativity are believed to be useful. How does the size of a group using the Power-Only EPMcreate (POEPMcreate) creativit"&amp;"y enhancement technique affect the group’s and each member of the group’s effectiveness in generating requirement ideas? This paper describes an experiment in which individuals and two-person and four-person groups used POEPMcreate to generate ideas for r"&amp;"equirements for enhancing a high school’s public Web site. The data of this experiment combined with the data of two previous experiments involving two-person and four-person groups using POEPMcreate show that, similar to what has been observed for brains"&amp;"torming, the size of a group using POEPMcreate does affect the number of raw and new requirement ideas generated by the group and by the average member of the group. The data allow concluding that a two-person group using POEPMcreate generates more raw an"&amp;"d new requirement ideas, both per group and per group member or individual, than does a four-person group and than does an individual. This conclusion is partially corroborated by qualitative data gathered from a survey of professional business or require"&amp;"ments analysts about group sizes and creativity enhancement techniques. © 2017, Springer Science+Business Media New York.")</f>
        <v>Creativity is often needed in requirements elicitation, i.e., generating ideas for requirements, and therefore, techniques to enhance creativity are believed to be useful. How does the size of a group using the Power-Only EPMcreate (POEPMcreate) creativity enhancement technique affect the group’s and each member of the group’s effectiveness in generating requirement ideas? This paper describes an experiment in which individuals and two-person and four-person groups used POEPMcreate to generate ideas for requirements for enhancing a high school’s public Web site. The data of this experiment combined with the data of two previous experiments involving two-person and four-person groups using POEPMcreate show that, similar to what has been observed for brainstorming, the size of a group using POEPMcreate does affect the number of raw and new requirement ideas generated by the group and by the average member of the group. The data allow concluding that a two-person group using POEPMcreate generates more raw and new requirement ideas, both per group and per group member or individual, than does a four-person group and than does an individual. This conclusion is partially corroborated by qualitative data gathered from a survey of professional business or requirements analysts about group sizes and creativity enhancement techniques. © 2017, Springer Science+Business Media New York.</v>
      </c>
      <c r="H249" s="8"/>
      <c r="I249" s="9" t="b">
        <v>1</v>
      </c>
      <c r="J249" s="9" t="b">
        <v>1</v>
      </c>
      <c r="K249" s="10" t="b">
        <v>0</v>
      </c>
      <c r="L249" s="10" t="b">
        <v>0</v>
      </c>
      <c r="M249" s="10" t="b">
        <v>0</v>
      </c>
      <c r="N249" s="10" t="b">
        <v>0</v>
      </c>
      <c r="O249" s="11" t="b">
        <f t="shared" si="1"/>
        <v>0</v>
      </c>
      <c r="P249" s="16" t="b">
        <v>0</v>
      </c>
      <c r="Q249" s="7"/>
    </row>
    <row r="250">
      <c r="A250" s="5" t="b">
        <v>1</v>
      </c>
      <c r="B250" s="5" t="s">
        <v>288</v>
      </c>
      <c r="C250" s="6" t="str">
        <f>IFERROR(__xludf.DUMMYFUNCTION("""COMPUTED_VALUE"""),"10.1007/s10664-020-09815-w")</f>
        <v>10.1007/s10664-020-09815-w</v>
      </c>
      <c r="D250" s="7" t="str">
        <f>IFERROR(__xludf.DUMMYFUNCTION("""COMPUTED_VALUE"""),"Pudlitz F.; Brokhausen F.; Vogelsang A.")</f>
        <v>Pudlitz F.; Brokhausen F.; Vogelsang A.</v>
      </c>
      <c r="E250" s="7" t="str">
        <f>IFERROR(__xludf.DUMMYFUNCTION("""COMPUTED_VALUE"""),"What am I testing and where? Comparing testing procedures based on lightweight requirements annotations")</f>
        <v>What am I testing and where? Comparing testing procedures based on lightweight requirements annotations</v>
      </c>
      <c r="F250" s="7" t="str">
        <f>IFERROR(__xludf.DUMMYFUNCTION("""COMPUTED_VALUE"""),"EMSE")</f>
        <v>EMSE</v>
      </c>
      <c r="G250" s="7" t="str">
        <f>IFERROR(__xludf.DUMMYFUNCTION("""COMPUTED_VALUE"""),"Context: The testing of software-intensive systems is performed in different test stages each having a large number of test cases. These test cases are commonly derived from requirements. Each test stages exhibits specific demands and constraints with res"&amp;"pect to their degree of detail and what can be tested. Therefore, specific test suites are defined for each test stage. In this paper, the focus is on the domain of embedded systems, where, among others, typical test stages are Software- and Hardware-in-t"&amp;"he-loop. Objective: Monitoring and controlling which requirements are verified in which detail and in which test stage is a challenge for engineers. However, this information is necessary to assure a certain test coverage, to minimize redundant testing pr"&amp;"ocedures, and to avoid inconsistencies between test stages. In addition, engineers are reluctant to state their requirements in terms of structured languages or models that would facilitate the relation of requirements to test executions. Method: With our"&amp;" approach, we close the gap between requirements specifications and test executions. Previously, we have proposed a lightweight markup language for requirements which provides a set of annotations that can be applied to natural language requirements. The "&amp;"annotations are mapped to events and signals in test executions. As a result, meaningful insights from a set of test executions can be directly related to artifacts in the requirements specification. In this paper, we use the markup language to compare di"&amp;"fferent test stages with one another. Results: We annotate 443 natural language requirements of a driver assistance system with the means of our lightweight markup language. The annotations are then linked to 1300 test executions from a simulation environ"&amp;"ment and 53 test executions from test drives with human drivers. Based on the annotations, we are able to analyze how similar the test stages are and how well test stages and test cases are aligned with the requirements. Further, we highlight the general "&amp;"applicability of our approach through this extensive experimental evaluation. Conclusion: With our approach, the results of several test levels are linked to the requirements and enable the evaluation of complex test executions. By this means, practitione"&amp;"rs can easily evaluate how well a systems performs with regards to its specification and, additionally, can reason about the expressiveness of the applied test stage. © 2020, The Author(s).")</f>
        <v>Context: The testing of software-intensive systems is performed in different test stages each having a large number of test cases. These test cases are commonly derived from requirements. Each test stages exhibits specific demands and constraints with respect to their degree of detail and what can be tested. Therefore, specific test suites are defined for each test stage. In this paper, the focus is on the domain of embedded systems, where, among others, typical test stages are Software- and Hardware-in-the-loop. Objective: Monitoring and controlling which requirements are verified in which detail and in which test stage is a challenge for engineers. However, this information is necessary to assure a certain test coverage, to minimize redundant testing procedures, and to avoid inconsistencies between test stages. In addition, engineers are reluctant to state their requirements in terms of structured languages or models that would facilitate the relation of requirements to test executions. Method: With our approach, we close the gap between requirements specifications and test executions. Previously, we have proposed a lightweight markup language for requirements which provides a set of annotations that can be applied to natural language requirements. The annotations are mapped to events and signals in test executions. As a result, meaningful insights from a set of test executions can be directly related to artifacts in the requirements specification. In this paper, we use the markup language to compare different test stages with one another. Results: We annotate 443 natural language requirements of a driver assistance system with the means of our lightweight markup language. The annotations are then linked to 1300 test executions from a simulation environment and 53 test executions from test drives with human drivers. Based on the annotations, we are able to analyze how similar the test stages are and how well test stages and test cases are aligned with the requirements. Further, we highlight the general applicability of our approach through this extensive experimental evaluation. Conclusion: With our approach, the results of several test levels are linked to the requirements and enable the evaluation of complex test executions. By this means, practitioners can easily evaluate how well a systems performs with regards to its specification and, additionally, can reason about the expressiveness of the applied test stage. © 2020, The Author(s).</v>
      </c>
      <c r="H250" s="8" t="str">
        <f>IFERROR(__xludf.DUMMYFUNCTION("""COMPUTED_VALUE"""),"Markup language; Requirements modeling; Simulation; Test stage comparison; Test stage evaluation")</f>
        <v>Markup language; Requirements modeling; Simulation; Test stage comparison; Test stage evaluation</v>
      </c>
      <c r="I250" s="10" t="b">
        <v>0</v>
      </c>
      <c r="J250" s="10" t="b">
        <v>0</v>
      </c>
      <c r="K250" s="10" t="b">
        <v>0</v>
      </c>
      <c r="L250" s="10" t="b">
        <v>0</v>
      </c>
      <c r="M250" s="10" t="b">
        <v>0</v>
      </c>
      <c r="N250" s="10" t="b">
        <v>0</v>
      </c>
      <c r="O250" s="11" t="b">
        <f t="shared" si="1"/>
        <v>0</v>
      </c>
      <c r="P250" s="16" t="b">
        <v>0</v>
      </c>
      <c r="Q250" s="7"/>
    </row>
    <row r="251">
      <c r="A251" s="5" t="b">
        <v>1</v>
      </c>
      <c r="B251" s="5" t="s">
        <v>289</v>
      </c>
      <c r="C251" s="6" t="str">
        <f>IFERROR(__xludf.DUMMYFUNCTION("""COMPUTED_VALUE"""),"10.1007/s10664-014-9334-8")</f>
        <v>10.1007/s10664-014-9334-8</v>
      </c>
      <c r="D251" s="7" t="str">
        <f>IFERROR(__xludf.DUMMYFUNCTION("""COMPUTED_VALUE"""),"McZara J.; Sarkani S.; Holzer T.; Eveleigh T.")</f>
        <v>McZara J.; Sarkani S.; Holzer T.; Eveleigh T.</v>
      </c>
      <c r="E251" s="7" t="str">
        <f>IFERROR(__xludf.DUMMYFUNCTION("""COMPUTED_VALUE"""),"Software requirements prioritization and selection using linguistic tools and constraint solvers—a controlled experiment")</f>
        <v>Software requirements prioritization and selection using linguistic tools and constraint solvers—a controlled experiment</v>
      </c>
      <c r="F251" s="7" t="str">
        <f>IFERROR(__xludf.DUMMYFUNCTION("""COMPUTED_VALUE"""),"EMSE")</f>
        <v>EMSE</v>
      </c>
      <c r="G251" s="7" t="str">
        <f>IFERROR(__xludf.DUMMYFUNCTION("""COMPUTED_VALUE"""),"Implementing the entire set of requirements for a software system is often not feasible owing to time and resource limitations. A key driver for successful delivery of any software system is the ability to prioritize the large number of requirements. Prio"&amp;"ritization of requirements is a key challenge because current methods are not scalable to handle a realistic number of requirements. Current methods for requirements prioritization in market-driven software development projects are neither sufficient nor "&amp;"proven. A prioritization technique that is more time-efficient, accurate, and easier to implement for large-scale projects than current practices is needed. We address these challenges with a prioritization method that incorporates the use of a linguistic"&amp;" tool and constraint solver. In this paper we propose a method, referred to as SNIPR, for requirements prioritization and selection based on natural language processing and satisfiability modulo theories solvers. We present a controlled experiment in whic"&amp;"h 40 systems engineers prioritized and selected 20 requirements from a list of 100 using SNIPR and the weighted sum model. Results show that the SNIPR method consumes less time, improves selection accuracy, and is easier to perform than the weighted sum m"&amp;"odel. These results motivate further research using linguistic tools and constraint solvers for the prioritization of large sets of requirements. © 2014, Springer Science+Business Media New York.")</f>
        <v>Implementing the entire set of requirements for a software system is often not feasible owing to time and resource limitations. A key driver for successful delivery of any software system is the ability to prioritize the large number of requirements. Prioritization of requirements is a key challenge because current methods are not scalable to handle a realistic number of requirements. Current methods for requirements prioritization in market-driven software development projects are neither sufficient nor proven. A prioritization technique that is more time-efficient, accurate, and easier to implement for large-scale projects than current practices is needed. We address these challenges with a prioritization method that incorporates the use of a linguistic tool and constraint solver. In this paper we propose a method, referred to as SNIPR, for requirements prioritization and selection based on natural language processing and satisfiability modulo theories solvers. We present a controlled experiment in which 40 systems engineers prioritized and selected 20 requirements from a list of 100 using SNIPR and the weighted sum model. Results show that the SNIPR method consumes less time, improves selection accuracy, and is easier to perform than the weighted sum model. These results motivate further research using linguistic tools and constraint solvers for the prioritization of large sets of requirements. © 2014, Springer Science+Business Media New York.</v>
      </c>
      <c r="H251" s="8" t="str">
        <f>IFERROR(__xludf.DUMMYFUNCTION("""COMPUTED_VALUE"""),"Controlled experiment; NLP; Release planning; Requirements engineering; Requirements prioritization; SMT solver")</f>
        <v>Controlled experiment; NLP; Release planning; Requirements engineering; Requirements prioritization; SMT solver</v>
      </c>
      <c r="I251" s="9" t="b">
        <v>1</v>
      </c>
      <c r="J251" s="9" t="b">
        <v>1</v>
      </c>
      <c r="K251" s="9" t="b">
        <v>1</v>
      </c>
      <c r="L251" s="10" t="b">
        <v>0</v>
      </c>
      <c r="M251" s="10" t="b">
        <v>0</v>
      </c>
      <c r="N251" s="10" t="b">
        <v>0</v>
      </c>
      <c r="O251" s="11" t="b">
        <f t="shared" si="1"/>
        <v>1</v>
      </c>
      <c r="P251" s="16" t="b">
        <v>0</v>
      </c>
      <c r="Q251" s="7"/>
    </row>
    <row r="252">
      <c r="A252" s="5" t="b">
        <v>1</v>
      </c>
      <c r="B252" s="5" t="s">
        <v>290</v>
      </c>
      <c r="C252" s="6" t="str">
        <f>IFERROR(__xludf.DUMMYFUNCTION("""COMPUTED_VALUE"""),"10.1007/s10664-006-6401-9")</f>
        <v>10.1007/s10664-006-6401-9</v>
      </c>
      <c r="D252" s="7" t="str">
        <f>IFERROR(__xludf.DUMMYFUNCTION("""COMPUTED_VALUE"""),"Sinha A.; Smidts C.")</f>
        <v>Sinha A.; Smidts C.</v>
      </c>
      <c r="E252" s="7" t="str">
        <f>IFERROR(__xludf.DUMMYFUNCTION("""COMPUTED_VALUE"""),"An experimental evaluation of a higher-ordered-typed-functional specification-based test-generation technique")</f>
        <v>An experimental evaluation of a higher-ordered-typed-functional specification-based test-generation technique</v>
      </c>
      <c r="F252" s="7" t="str">
        <f>IFERROR(__xludf.DUMMYFUNCTION("""COMPUTED_VALUE"""),"EMSE")</f>
        <v>EMSE</v>
      </c>
      <c r="G252" s="7" t="str">
        <f>IFERROR(__xludf.DUMMYFUNCTION("""COMPUTED_VALUE"""),"HOTTest is a model based test automation technique of software systems based on models of the system described using HaskellDB. HaskellDB is an embedded domain specific language derived from Haskell. HOTTest enforces a systematic abstraction process and e"&amp;"xploits system invariants for automatically producing test cases for domain specific requirements. Use of functional languages for system modeling is a new concept and hence HOTTest is subject to concerns of usability, like any other new technique. Also, "&amp;"the syntax and the declarative style of Haskell based languages make them difficult to learn. Similar concerns can be raised for HOTTest as it shares the same syntax with Haskell. In this paper we describe an experiment designed to study the usability of "&amp;"HOTTest and to compare it with existing model based test design techniques. The results show that HOTTest is more usable than the traditional technique and demonstrate that the test suites produced by HOTTest are more effective and efficient than those ge"&amp;"nerated using the traditional model based test design technique. © Springer Science + Business Media, Inc. 2006.")</f>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 Springer Science + Business Media, Inc. 2006.</v>
      </c>
      <c r="H252" s="8" t="str">
        <f>IFERROR(__xludf.DUMMYFUNCTION("""COMPUTED_VALUE"""),"Controlled experiment; EFSM software model; Empirical study; Functional specification language; Software test automation")</f>
        <v>Controlled experiment; EFSM software model; Empirical study; Functional specification language; Software test automation</v>
      </c>
      <c r="I252" s="10" t="b">
        <v>0</v>
      </c>
      <c r="J252" s="10" t="b">
        <v>0</v>
      </c>
      <c r="K252" s="10" t="b">
        <v>0</v>
      </c>
      <c r="L252" s="10" t="b">
        <v>0</v>
      </c>
      <c r="M252" s="10" t="b">
        <v>0</v>
      </c>
      <c r="N252" s="10" t="b">
        <v>0</v>
      </c>
      <c r="O252" s="11" t="b">
        <f t="shared" si="1"/>
        <v>0</v>
      </c>
      <c r="P252" s="16" t="b">
        <v>0</v>
      </c>
      <c r="Q252" s="7"/>
    </row>
    <row r="253">
      <c r="A253" s="5" t="b">
        <v>1</v>
      </c>
      <c r="B253" s="5" t="s">
        <v>291</v>
      </c>
      <c r="C253" s="6" t="str">
        <f>IFERROR(__xludf.DUMMYFUNCTION("""COMPUTED_VALUE"""),"10.1023/B:EMSE.0000048321.46871.2e")</f>
        <v>10.1023/B:EMSE.0000048321.46871.2e</v>
      </c>
      <c r="D253" s="7" t="str">
        <f>IFERROR(__xludf.DUMMYFUNCTION("""COMPUTED_VALUE"""),"Moløkken-Østvold K.; Jørgensen M.")</f>
        <v>Moløkken-Østvold K.; Jørgensen M.</v>
      </c>
      <c r="E253" s="7" t="str">
        <f>IFERROR(__xludf.DUMMYFUNCTION("""COMPUTED_VALUE"""),"Expert estimation of web-development projects: Are software professionals in technical roles more optimistic than those in non-technical roles?")</f>
        <v>Expert estimation of web-development projects: Are software professionals in technical roles more optimistic than those in non-technical roles?</v>
      </c>
      <c r="F253" s="7" t="str">
        <f>IFERROR(__xludf.DUMMYFUNCTION("""COMPUTED_VALUE"""),"EMSE")</f>
        <v>EMSE</v>
      </c>
      <c r="G253" s="7" t="str">
        <f>IFERROR(__xludf.DUMMYFUNCTION("""COMPUTED_VALUE"""),"Estimating the effort required to complete web-development projects involves input from people in both technical (e.g., programming), and non-technical (e.g., user interaction design) roles. This paper examines how the employees' role and type of competen"&amp;"ce may affect their estimation strategy and performance. An analysis of actual web-development project data and results from an experiment suggest that people with technical competence provided less realistic project effort estimates than those with less "&amp;"technical competence. This means that more knowledge about how to implement a requirement specification does not always lead to better estimation performance. We discuss, amongst others, two possible reasons for this observation: (1) Technical competence "&amp;"induces a bottom-up, construction-based estimation strategy, while lack of this competence induces a more ""outside"" view of the project, using a top-down estimation strategy. An ""outside"" view may encourage greater use of the history of previous proje"&amp;"cts and reduce the bias towards over-optimism. (2) Software professionals in technical roles perceive that they are evaluated as more skilled when providing low effort estimates. A consequence of our findings is that the choice of estimation strategy, est"&amp;"imation evaluation criteria and feedback are important aspects to consider when seeking to improve estimation accuracy. © 2005 Springer Science + Business Media, Inc.")</f>
        <v>Estimating the effort required to complete web-development projects involves input from people in both technical (e.g., programming), and non-technical (e.g., user interaction design) roles. This paper examines how the employees' role and type of competence may affect their estimation strategy and performance. An analysis of actual web-development project data and results from an experiment suggest that people with technical competence provided less realistic project effort estimates than those with less technical competence. This means that more knowledge about how to implement a requirement specification does not always lead to better estimation performance. We discuss, amongst others, two possible reasons for this observation: (1) Technical competence induces a bottom-up, construction-based estimation strategy, while lack of this competence induces a more "outside" view of the project, using a top-down estimation strategy. An "outside" view may encourage greater use of the history of previous projects and reduce the bias towards over-optimism. (2) Software professionals in technical roles perceive that they are evaluated as more skilled when providing low effort estimates. A consequence of our findings is that the choice of estimation strategy, estimation evaluation criteria and feedback are important aspects to consider when seeking to improve estimation accuracy. © 2005 Springer Science + Business Media, Inc.</v>
      </c>
      <c r="H253" s="8" t="str">
        <f>IFERROR(__xludf.DUMMYFUNCTION("""COMPUTED_VALUE"""),"Bidding process; Effort estimation; Individual differences; Web development")</f>
        <v>Bidding process; Effort estimation; Individual differences; Web development</v>
      </c>
      <c r="I253" s="9" t="b">
        <v>1</v>
      </c>
      <c r="J253" s="9" t="b">
        <v>1</v>
      </c>
      <c r="K253" s="9" t="b">
        <v>1</v>
      </c>
      <c r="L253" s="10" t="b">
        <v>0</v>
      </c>
      <c r="M253" s="10" t="b">
        <v>0</v>
      </c>
      <c r="N253" s="10" t="b">
        <v>0</v>
      </c>
      <c r="O253" s="11" t="b">
        <f t="shared" si="1"/>
        <v>1</v>
      </c>
      <c r="P253" s="12" t="b">
        <v>0</v>
      </c>
      <c r="Q253" s="13"/>
    </row>
    <row r="254">
      <c r="A254" s="5" t="b">
        <v>1</v>
      </c>
      <c r="B254" s="5" t="s">
        <v>292</v>
      </c>
      <c r="C254" s="6" t="str">
        <f>IFERROR(__xludf.DUMMYFUNCTION("""COMPUTED_VALUE"""),"10.1023/A:1009834811663")</f>
        <v>10.1023/A:1009834811663</v>
      </c>
      <c r="D254" s="7" t="str">
        <f>IFERROR(__xludf.DUMMYFUNCTION("""COMPUTED_VALUE"""),"Antoniol G.; Lokan C.; Caldiera G.; Fiutem R.")</f>
        <v>Antoniol G.; Lokan C.; Caldiera G.; Fiutem R.</v>
      </c>
      <c r="E254" s="7" t="str">
        <f>IFERROR(__xludf.DUMMYFUNCTION("""COMPUTED_VALUE"""),"Function point-like measure for object-oriented software")</f>
        <v>Function point-like measure for object-oriented software</v>
      </c>
      <c r="F254" s="7" t="str">
        <f>IFERROR(__xludf.DUMMYFUNCTION("""COMPUTED_VALUE"""),"EMSE")</f>
        <v>EMSE</v>
      </c>
      <c r="G254" s="7" t="str">
        <f>IFERROR(__xludf.DUMMYFUNCTION("""COMPUTED_VALUE"""),"We present a method for estimating the size, and consequently effort and duration, of object oriented software development projects. Different estimates may be made in different phases of the development process, according to the available information. We"&amp;" define an adaptation of traditional function points, called `Object Oriented Function Points', to enable the measurement of object oriented analysis and design specifications. Tools have been constructed to automate the counting method. The novel aspect "&amp;"of our method is its flexibility. An organization can experiment with different counting policies, to find the most accurate predictors of size, effort, etc. in its environment. The method and preliminary results of its application in an industrial enviro"&amp;"nment are presented and discussed.")</f>
        <v>We present a method for estimating the size, and consequently effort and duration, of object oriented software development projects. Different estimates may be made in different phases of the development process, according to the available information. We define an adaptation of traditional function points, called `Object Oriented Function Points', to enable the measurement of object oriented analysis and design specifications. Tools have been constructed to automate the counting method. The novel aspect of our method is its flexibility. An organization can experiment with different counting policies, to find the most accurate predictors of size, effort, etc. in its environment. The method and preliminary results of its application in an industrial environment are presented and discussed.</v>
      </c>
      <c r="H254" s="8"/>
      <c r="I254" s="10" t="b">
        <v>0</v>
      </c>
      <c r="J254" s="10" t="b">
        <v>0</v>
      </c>
      <c r="K254" s="10" t="b">
        <v>0</v>
      </c>
      <c r="L254" s="10" t="b">
        <v>0</v>
      </c>
      <c r="M254" s="10" t="b">
        <v>0</v>
      </c>
      <c r="N254" s="10" t="b">
        <v>0</v>
      </c>
      <c r="O254" s="11" t="b">
        <f t="shared" si="1"/>
        <v>0</v>
      </c>
      <c r="P254" s="16" t="b">
        <v>0</v>
      </c>
      <c r="Q254" s="7"/>
    </row>
    <row r="255">
      <c r="A255" s="5" t="b">
        <v>1</v>
      </c>
      <c r="B255" s="5" t="s">
        <v>293</v>
      </c>
      <c r="C255" s="6" t="str">
        <f>IFERROR(__xludf.DUMMYFUNCTION("""COMPUTED_VALUE"""),"10.1007/s10664-023-10353-4")</f>
        <v>10.1007/s10664-023-10353-4</v>
      </c>
      <c r="D255" s="7" t="str">
        <f>IFERROR(__xludf.DUMMYFUNCTION("""COMPUTED_VALUE"""),"Kaleeswaran A.P.; Nordmann A.; Vogel T.; Grunske L.")</f>
        <v>Kaleeswaran A.P.; Nordmann A.; Vogel T.; Grunske L.</v>
      </c>
      <c r="E255" s="7" t="str">
        <f>IFERROR(__xludf.DUMMYFUNCTION("""COMPUTED_VALUE"""),"A user study for evaluation of formal verification results and their explanation at Bosch")</f>
        <v>A user study for evaluation of formal verification results and their explanation at Bosch</v>
      </c>
      <c r="F255" s="7" t="str">
        <f>IFERROR(__xludf.DUMMYFUNCTION("""COMPUTED_VALUE"""),"EMSE")</f>
        <v>EMSE</v>
      </c>
      <c r="G255" s="7" t="str">
        <f>IFERROR(__xludf.DUMMYFUNCTION("""COMPUTED_VALUE"""),"Context: Ensuring safety for any sophisticated system is getting more complex due to the rising number of features and functionalities. This calls for formal methods to entrust confidence in such systems. Nevertheless, using formal methods in industry is "&amp;"demanding because of their lack of usability and the difficulty of understanding verification results. Objective: We evaluate the acceptance of formal methods by Bosch automotive engineers, particularly whether the difficulty of understanding verification"&amp;" results can be reduced. Method: We perform two different exploratory studies. First, we conduct a user survey to explore challenges in identifying inconsistent specifications and using formal methods by Bosch automotive engineers. Second, we perform a on"&amp;"e-group pretest-posttest experiment to collect impressions from Bosch engineers familiar with formal methods to evaluate whether understanding verification results is simplified by our counterexample explanation approach. Results: The results from the use"&amp;"r survey indicate that identifying refinement inconsistencies, understanding formal notations, and interpreting verification results are challenging. Nevertheless, engineers are still interested in using formal methods in real-world development processes "&amp;"because it could reduce the manual effort for verification. Additionally, they also believe formal methods could make the system safer. Furthermore, the one-group pretest-posttest experiment results indicate that engineers are more comfortable understandi"&amp;"ng the counterexample explanation than the raw model checker output. Limitations: The main limitation of this study is the generalizability beyond the target group of Bosch automotive engineers. © 2023, The Author(s).")</f>
        <v>Context: Ensuring safety for any sophisticated system is getting more complex due to the rising number of features and functionalities. This calls for formal methods to entrust confidence in such systems. Nevertheless, using formal methods in industry is demanding because of their lack of usability and the difficulty of understanding verification results. Objective: We evaluate the acceptance of formal methods by Bosch automotive engineers, particularly whether the difficulty of understanding verification results can be reduced. Method: We perform two different exploratory studies. First, we conduct a user survey to explore challenges in identifying inconsistent specifications and using formal methods by Bosch automotive engineers. Second, we perform a one-group pretest-posttest experiment to collect impressions from Bosch engineers familiar with formal methods to evaluate whether understanding verification results is simplified by our counterexample explanation approach. Results: The results from the user survey indicate that identifying refinement inconsistencies, understanding formal notations, and interpreting verification results are challenging. Nevertheless, engineers are still interested in using formal methods in real-world development processes because it could reduce the manual effort for verification. Additionally, they also believe formal methods could make the system safer. Furthermore, the one-group pretest-posttest experiment results indicate that engineers are more comfortable understanding the counterexample explanation than the raw model checker output. Limitations: The main limitation of this study is the generalizability beyond the target group of Bosch automotive engineers. © 2023, The Author(s).</v>
      </c>
      <c r="H255" s="8" t="str">
        <f>IFERROR(__xludf.DUMMYFUNCTION("""COMPUTED_VALUE"""),"Counterexample interpretation; Error comprehension; Formal methods; Model checker; User study")</f>
        <v>Counterexample interpretation; Error comprehension; Formal methods; Model checker; User study</v>
      </c>
      <c r="I255" s="9" t="b">
        <v>1</v>
      </c>
      <c r="J255" s="10" t="b">
        <v>0</v>
      </c>
      <c r="K255" s="9" t="b">
        <v>1</v>
      </c>
      <c r="L255" s="10" t="b">
        <v>0</v>
      </c>
      <c r="M255" s="10" t="b">
        <v>0</v>
      </c>
      <c r="N255" s="10" t="b">
        <v>0</v>
      </c>
      <c r="O255" s="11" t="b">
        <f t="shared" si="1"/>
        <v>0</v>
      </c>
      <c r="P255" s="16" t="b">
        <v>0</v>
      </c>
      <c r="Q255" s="7"/>
    </row>
    <row r="256">
      <c r="A256" s="5" t="b">
        <v>1</v>
      </c>
      <c r="B256" s="5" t="s">
        <v>294</v>
      </c>
      <c r="C256" s="6" t="str">
        <f>IFERROR(__xludf.DUMMYFUNCTION("""COMPUTED_VALUE"""),"10.1007/s10664-019-09717-6")</f>
        <v>10.1007/s10664-019-09717-6</v>
      </c>
      <c r="D256" s="7" t="str">
        <f>IFERROR(__xludf.DUMMYFUNCTION("""COMPUTED_VALUE"""),"Khan M.U.; Sartaj H.; Iqbal M.Z.; Usman M.; Arshad N.")</f>
        <v>Khan M.U.; Sartaj H.; Iqbal M.Z.; Usman M.; Arshad N.</v>
      </c>
      <c r="E256" s="7" t="str">
        <f>IFERROR(__xludf.DUMMYFUNCTION("""COMPUTED_VALUE"""),"AspectOCL: using aspects to ease maintenance of evolving constraint specification")</f>
        <v>AspectOCL: using aspects to ease maintenance of evolving constraint specification</v>
      </c>
      <c r="F256" s="7" t="str">
        <f>IFERROR(__xludf.DUMMYFUNCTION("""COMPUTED_VALUE"""),"EMSE")</f>
        <v>EMSE</v>
      </c>
      <c r="G256" s="7" t="str">
        <f>IFERROR(__xludf.DUMMYFUNCTION("""COMPUTED_VALUE"""),"Constraints play an important role in Model-Driven Software Engineering. Industrial systems commonly exhibit cross-cutting behaviors in design artifacts. Aspect-orientation is a well-established approach to deal with cross-cutting behaviors and has been s"&amp;"uccessfully used for programming and design languages. In model-driven software engineering, the presence of cross-cutting constraints makes it difficult to maintain constraints defined on the models of large-scale industrial systems. In this work, we imp"&amp;"rove our previous work on AspectOCL, which is an extension of OCL that allows modeling of cross-cutting constraints. We provide the abstract and concrete syntax of the language. We add support for new constructs such as composite aspects and invariant spe"&amp;"cification on a package. We also provide tool support for writing cross-cutting constraints using AspectOCL. To evaluate AspectOCL, we apply it on benchmark case studies from the OCL repository. The results show that by separating the cross-cutting constr"&amp;"aints, the number of constructs in the constraint specifications can be reduced to a large amount. AspectOCL reduces the maintenance effort by up to 55% in one case study. To explore the impact on maintenance time and accuracy, we also perform a controlle"&amp;"d experiment with 90 student subjects. The results show that AspectOCL has a small magnitude of improvement in terms of maintenance time when compared to OCL, whereas modifications to OCL specification are more accurate. The post-experiment survey indicat"&amp;"es that the majority of subjects favored AspectOCL, but faced challenges in applying aspect-orientation to constraint specification due to a lack of prior exposure. © 2019, Springer Science+Business Media, LLC, part of Springer Nature.")</f>
        <v>Constraints play an important role in Model-Driven Software Engineering. Industrial systems commonly exhibit cross-cutting behaviors in design artifacts. Aspect-orientation is a well-established approach to deal with cross-cutting behaviors and has been successfully used for programming and design languages. In model-driven software engineering, the presence of cross-cutting constraints makes it difficult to maintain constraints defined on the models of large-scale industrial systems. In this work, we improve our previous work on AspectOCL, which is an extension of OCL that allows modeling of cross-cutting constraints. We provide the abstract and concrete syntax of the language. We add support for new constructs such as composite aspects and invariant specification on a package. We also provide tool support for writing cross-cutting constraints using AspectOCL. To evaluate AspectOCL, we apply it on benchmark case studies from the OCL repository. The results show that by separating the cross-cutting constraints, the number of constructs in the constraint specifications can be reduced to a large amount. AspectOCL reduces the maintenance effort by up to 55% in one case study. To explore the impact on maintenance time and accuracy, we also perform a controlled experiment with 90 student subjects. The results show that AspectOCL has a small magnitude of improvement in terms of maintenance time when compared to OCL, whereas modifications to OCL specification are more accurate. The post-experiment survey indicates that the majority of subjects favored AspectOCL, but faced challenges in applying aspect-orientation to constraint specification due to a lack of prior exposure. © 2019, Springer Science+Business Media, LLC, part of Springer Nature.</v>
      </c>
      <c r="H256" s="8" t="str">
        <f>IFERROR(__xludf.DUMMYFUNCTION("""COMPUTED_VALUE"""),"Aspect-orientation; Cross-cutting constraints; Empirical evaluation; Model-Driven Software Engineering (MDSE); Object Constraint Language (OCL)")</f>
        <v>Aspect-orientation; Cross-cutting constraints; Empirical evaluation; Model-Driven Software Engineering (MDSE); Object Constraint Language (OCL)</v>
      </c>
      <c r="I256" s="9" t="b">
        <v>1</v>
      </c>
      <c r="J256" s="9" t="b">
        <v>1</v>
      </c>
      <c r="K256" s="9" t="b">
        <v>1</v>
      </c>
      <c r="L256" s="10" t="b">
        <v>0</v>
      </c>
      <c r="M256" s="10" t="b">
        <v>0</v>
      </c>
      <c r="N256" s="10" t="b">
        <v>0</v>
      </c>
      <c r="O256" s="11" t="b">
        <f t="shared" si="1"/>
        <v>1</v>
      </c>
      <c r="P256" s="12" t="b">
        <v>0</v>
      </c>
      <c r="Q256" s="13"/>
    </row>
    <row r="257">
      <c r="A257" s="5" t="b">
        <v>1</v>
      </c>
      <c r="B257" s="5" t="s">
        <v>295</v>
      </c>
      <c r="C257" s="6" t="str">
        <f>IFERROR(__xludf.DUMMYFUNCTION("""COMPUTED_VALUE"""),"10.1007/s10664-013-9287-3")</f>
        <v>10.1007/s10664-013-9287-3</v>
      </c>
      <c r="D257" s="7" t="str">
        <f>IFERROR(__xludf.DUMMYFUNCTION("""COMPUTED_VALUE"""),"del Sagrado J.; del Águila I.M.; Orellana F.J.")</f>
        <v>del Sagrado J.; del Águila I.M.; Orellana F.J.</v>
      </c>
      <c r="E257" s="7" t="str">
        <f>IFERROR(__xludf.DUMMYFUNCTION("""COMPUTED_VALUE"""),"Multi-objective ant colony optimization for requirements selection")</f>
        <v>Multi-objective ant colony optimization for requirements selection</v>
      </c>
      <c r="F257" s="7" t="str">
        <f>IFERROR(__xludf.DUMMYFUNCTION("""COMPUTED_VALUE"""),"EMSE")</f>
        <v>EMSE</v>
      </c>
      <c r="G257" s="7" t="str">
        <f>IFERROR(__xludf.DUMMYFUNCTION("""COMPUTED_VALUE"""),"The selection of a set of requirements between all the requirements previously defined by customers is an important process, repeated at the beginning of each development step when an incremental or agile software development approach is adopted. The set "&amp;"of selected requirements will be developed during the actual iteration. This selection problem can be reformulated as a search problem, allowing its treatment with metaheuristic optimization techniques. This paper studies how to apply Ant Colony Optimizat"&amp;"ion algorithms to select requirements. First, we describe this problem formally extending an earlier version of the problem, and introduce a method based on Ant Colony System to find a variety of efficient solutions. The performance achieved by the Ant Co"&amp;"lony System is compared with that of Greedy Randomized Adaptive Search Procedure and Non-dominated Sorting Genetic Algorithm, by means of computational experiments carried out on two instances of the problem constructed from data provided by the experts. "&amp;"© 2013, Springer Science+Business Media New York.")</f>
        <v>The selection of a set of requirements between all the requirements previously defined by customers is an important process, repeated at the beginning of each development step when an incremental or agile software development approach is adopted. The set of selected requirements will be developed during the actual iteration. This selection problem can be reformulated as a search problem, allowing its treatment with metaheuristic optimization techniques. This paper studies how to apply Ant Colony Optimization algorithms to select requirements. First, we describe this problem formally extending an earlier version of the problem, and introduce a method based on Ant Colony System to find a variety of efficient solutions. The performance achieved by the Ant Colony System is compared with that of Greedy Randomized Adaptive Search Procedure and Non-dominated Sorting Genetic Algorithm, by means of computational experiments carried out on two instances of the problem constructed from data provided by the experts. © 2013, Springer Science+Business Media New York.</v>
      </c>
      <c r="H257" s="8" t="str">
        <f>IFERROR(__xludf.DUMMYFUNCTION("""COMPUTED_VALUE"""),"Ant colony optimization; Next release problem; Search based software engineering; Software requirements")</f>
        <v>Ant colony optimization; Next release problem; Search based software engineering; Software requirements</v>
      </c>
      <c r="I257" s="10" t="b">
        <v>0</v>
      </c>
      <c r="J257" s="10" t="b">
        <v>0</v>
      </c>
      <c r="K257" s="10" t="b">
        <v>0</v>
      </c>
      <c r="L257" s="10" t="b">
        <v>0</v>
      </c>
      <c r="M257" s="10" t="b">
        <v>0</v>
      </c>
      <c r="N257" s="10" t="b">
        <v>0</v>
      </c>
      <c r="O257" s="11" t="b">
        <f t="shared" si="1"/>
        <v>0</v>
      </c>
      <c r="P257" s="16" t="b">
        <v>0</v>
      </c>
      <c r="Q257" s="7"/>
    </row>
    <row r="258">
      <c r="A258" s="5" t="b">
        <v>1</v>
      </c>
      <c r="B258" s="5" t="s">
        <v>296</v>
      </c>
      <c r="C258" s="6" t="str">
        <f>IFERROR(__xludf.DUMMYFUNCTION("""COMPUTED_VALUE"""),"10.1023/A:1026542700033")</f>
        <v>10.1023/A:1026542700033</v>
      </c>
      <c r="D258" s="7" t="str">
        <f>IFERROR(__xludf.DUMMYFUNCTION("""COMPUTED_VALUE"""),"Cox K.; Phalp K.")</f>
        <v>Cox K.; Phalp K.</v>
      </c>
      <c r="E258" s="7" t="str">
        <f>IFERROR(__xludf.DUMMYFUNCTION("""COMPUTED_VALUE"""),"Replicating the CREWS use case authoring guidelines experiment")</f>
        <v>Replicating the CREWS use case authoring guidelines experiment</v>
      </c>
      <c r="F258" s="7" t="str">
        <f>IFERROR(__xludf.DUMMYFUNCTION("""COMPUTED_VALUE"""),"EMSE")</f>
        <v>EMSE</v>
      </c>
      <c r="G258" s="7" t="str">
        <f>IFERROR(__xludf.DUMMYFUNCTION("""COMPUTED_VALUE"""),"Use cases have become an important tool in software engineering. There has been much focus on the diagram notation but relatively little on use-case descriptions. As part of a welcome and important research project into the use of scenarios in requirement"&amp;"s engineering, the CREWS (Co-operative Requirements Engineering With Scenarios, an EU funded ESPRIT project 21903) team has proposed a set of guidelines for writing use-case descriptions. This paper describes the replication of a CREWS project experiment "&amp;"that suggests CREWS use-case authoring guidelines improve the completeness of use-case descriptions. Our results show that the CREWS guidelines do not necessarily improve the use-case descriptions, only that the subjects implemented varying numbers of gui"&amp;"delines in their use-case descriptions. Subjects in the control group implemented a significant percentage of the guidelines by 'chance'. To further justify our results, we also apply a different marking scheme to compare with the CREWS approach. The resu"&amp;"lts from the alternative marking approach show that there was no significant difference between the qualities of the use-case descriptions across the various groups.")</f>
        <v>Use cases have become an important tool in software engineering. There has been much focus on the diagram notation but relatively little on use-case descriptions. As part of a welcome and important research project into the use of scenarios in requirements engineering, the CREWS (Co-operative Requirements Engineering With Scenarios, an EU funded ESPRIT project 21903) team has proposed a set of guidelines for writing use-case descriptions. This paper describes the replication of a CREWS project experiment that suggests CREWS use-case authoring guidelines improve the completeness of use-case descriptions. Our results show that the CREWS guidelines do not necessarily improve the use-case descriptions, only that the subjects implemented varying numbers of guidelines in their use-case descriptions. Subjects in the control group implemented a significant percentage of the guidelines by 'chance'. To further justify our results, we also apply a different marking scheme to compare with the CREWS approach. The results from the alternative marking approach show that there was no significant difference between the qualities of the use-case descriptions across the various groups.</v>
      </c>
      <c r="H258" s="8"/>
      <c r="I258" s="9" t="b">
        <v>1</v>
      </c>
      <c r="J258" s="9" t="b">
        <v>1</v>
      </c>
      <c r="K258" s="10" t="b">
        <v>0</v>
      </c>
      <c r="L258" s="10" t="b">
        <v>0</v>
      </c>
      <c r="M258" s="10" t="b">
        <v>0</v>
      </c>
      <c r="N258" s="10" t="b">
        <v>0</v>
      </c>
      <c r="O258" s="11" t="b">
        <f t="shared" si="1"/>
        <v>0</v>
      </c>
      <c r="P258" s="16" t="b">
        <v>0</v>
      </c>
      <c r="Q258" s="7"/>
    </row>
    <row r="259">
      <c r="A259" s="5" t="b">
        <v>1</v>
      </c>
      <c r="B259" s="5" t="s">
        <v>297</v>
      </c>
      <c r="C259" s="6" t="str">
        <f>IFERROR(__xludf.DUMMYFUNCTION("""COMPUTED_VALUE"""),"10.1023/A:1009848320066")</f>
        <v>10.1023/A:1009848320066</v>
      </c>
      <c r="D259" s="7" t="str">
        <f>IFERROR(__xludf.DUMMYFUNCTION("""COMPUTED_VALUE"""),"Regnell B.; Runeson P.; Thelin T.")</f>
        <v>Regnell B.; Runeson P.; Thelin T.</v>
      </c>
      <c r="E259" s="7" t="str">
        <f>IFERROR(__xludf.DUMMYFUNCTION("""COMPUTED_VALUE"""),"Are the perspectives really different? Further experimentation on scenario-based reading of requirements")</f>
        <v>Are the perspectives really different? Further experimentation on scenario-based reading of requirements</v>
      </c>
      <c r="F259" s="7" t="str">
        <f>IFERROR(__xludf.DUMMYFUNCTION("""COMPUTED_VALUE"""),"EMSE")</f>
        <v>EMSE</v>
      </c>
      <c r="G259" s="7" t="str">
        <f>IFERROR(__xludf.DUMMYFUNCTION("""COMPUTED_VALUE"""),"Perspective-Based Reading (PBR) is a scenario-based inspection technique where several reviewers read a document from different perspectives (e.g. user, designer, tester). The reading is made according to a special scenario, specific for each perspective."&amp;" The basic assumption behind PBR is that the perspectives find different defects and a combination of several perspectives detects more defects compared to the same amount of reading with a single perspective. This paper presents a study which analyses th"&amp;"e differences in perspectives. The study is a partial replication of previous studies. It is conducted in an academic environment using graduate students as subjects. Each perspective applies a specific modelling technique: Use case modelling for the user"&amp;" perspective, equivalence partitioning for the tester perspective and structured analysis for the design perspective. A total of 30 subjects were divided into 3 groups, giving 10 subjects per perspective. The analysis results show that (1) there is no sig"&amp;"nificant difference among the three perspectives in terms of defect detection rate and number of defects found per hour, (2) there is no significant difference in the defect coverage of the three perspectives, and (3) a simulation study shows that 30 subj"&amp;"ects is enough to detect relatively small perspective differences with the chosen statistical test. The results suggest that a combination of multiple perspectives may not give higher coverage of the defects compared to single-perspective reading, but fur"&amp;"ther studies are needed to increase the understanding of perspective difference.")</f>
        <v>Perspective-Based Reading (PBR) is a scenario-based inspection technique where several reviewers read a document from different perspectives (e.g. user, designer, tester). The reading is made according to a special scenario, specific for each perspective. The basic assumption behind PBR is that the perspectives find different defects and a combination of several perspectives detects more defects compared to the same amount of reading with a single perspective. This paper presents a study which analyses the differences in perspectives. The study is a partial replication of previous studies. It is conducted in an academic environment using graduate students as subjects. Each perspective applies a specific modelling technique: Use case modelling for the user perspective, equivalence partitioning for the tester perspective and structured analysis for the design perspective. A total of 30 subjects were divided into 3 groups, giving 10 subjects per perspective. The analysis results show that (1) there is no significant difference among the three perspectives in terms of defect detection rate and number of defects found per hour, (2) there is no significant difference in the defect coverage of the three perspectives, and (3) a simulation study shows that 30 subjects is enough to detect relatively small perspective differences with the chosen statistical test. The results suggest that a combination of multiple perspectives may not give higher coverage of the defects compared to single-perspective reading, but further studies are needed to increase the understanding of perspective difference.</v>
      </c>
      <c r="H259" s="8"/>
      <c r="I259" s="9" t="b">
        <v>1</v>
      </c>
      <c r="J259" s="9" t="b">
        <v>1</v>
      </c>
      <c r="K259" s="10" t="b">
        <v>0</v>
      </c>
      <c r="L259" s="10" t="b">
        <v>0</v>
      </c>
      <c r="M259" s="10" t="b">
        <v>0</v>
      </c>
      <c r="N259" s="10" t="b">
        <v>0</v>
      </c>
      <c r="O259" s="11" t="b">
        <f t="shared" si="1"/>
        <v>0</v>
      </c>
      <c r="P259" s="16" t="b">
        <v>0</v>
      </c>
      <c r="Q259" s="7"/>
    </row>
    <row r="260">
      <c r="A260" s="5" t="b">
        <v>1</v>
      </c>
      <c r="B260" s="5" t="s">
        <v>298</v>
      </c>
      <c r="C260" s="6" t="str">
        <f>IFERROR(__xludf.DUMMYFUNCTION("""COMPUTED_VALUE"""),"10.1007/s10664-014-9353-5")</f>
        <v>10.1007/s10664-014-9353-5</v>
      </c>
      <c r="D260" s="7" t="str">
        <f>IFERROR(__xludf.DUMMYFUNCTION("""COMPUTED_VALUE"""),"Asadi M.; Soltani S.; Gašević D.; Hatala M.")</f>
        <v>Asadi M.; Soltani S.; Gašević D.; Hatala M.</v>
      </c>
      <c r="E260" s="7" t="str">
        <f>IFERROR(__xludf.DUMMYFUNCTION("""COMPUTED_VALUE"""),"The effects of visualization and interaction techniques on feature model configuration")</f>
        <v>The effects of visualization and interaction techniques on feature model configuration</v>
      </c>
      <c r="F260" s="7" t="str">
        <f>IFERROR(__xludf.DUMMYFUNCTION("""COMPUTED_VALUE"""),"EMSE")</f>
        <v>EMSE</v>
      </c>
      <c r="G260" s="7" t="str">
        <f>IFERROR(__xludf.DUMMYFUNCTION("""COMPUTED_VALUE"""),"A Software Product Line is a set of software systems of a domain, which share some common features but also have significant variability. A feature model is a variability modeling artifact which represents differences among software products with respect "&amp;"to variability relationships among their features. Having a feature model along with a reference model developed in the domain engineering lifecycle, a concrete product of the family is derived by selecting features in the feature model (referred to as th"&amp;"e configuration process) and by instantiating the reference model. However, feature model configuration can be a cumbersome task because: 1) feature models may consist of a large number of features, which are hard to comprehend and maintain; and 2) many f"&amp;"actors including technical limitations, implementation costs, stakeholders’ requirements and expectations must be considered in the configuration process. Recognizing these issues, a significant amount of research efforts has been dedicated to different a"&amp;"spects of feature model configuration such as automating the configuration process. Several approaches have been proposed to alleviate the feature model configuration challenges through applying visualization and interaction techniques. However, there hav"&amp;"e been limited empirical insights available into the impact of visualization and interaction techniques on the feature model configuration process. In this paper, we present a set of visualization and interaction interventions for representing and configu"&amp;"ring feature models, which are then empirically validated to measure the impact of the proposed interventions. An empirical study was conducted by following the principles of control experiments in software engineering and by applying the well-known softw"&amp;"are quality standard ISO 9126 to operationalize the variables investigated in the experiment. The results of the empirical study revealed that the employed visualization and interaction interventions significantly improved completion time of comprehension"&amp;" and changing of the feature model configuration. Additionally, according to results, the proposed interventions are easy-to-use and easy-to-learn for the participants. © 2015, Springer Science+Business Media New York.")</f>
        <v>A Software Product Line is a set of software systems of a domain, which share some common features but also have significant variability. A feature model is a variability modeling artifact which represents differences among software products with respect to variability relationships among their features. Having a feature model along with a reference model developed in the domain engineering lifecycle, a concrete product of the family is derived by selecting features in the feature model (referred to as the configuration process) and by instantiating the reference model. However, feature model configuration can be a cumbersome task because: 1) feature models may consist of a large number of features, which are hard to comprehend and maintain; and 2) many factors including technical limitations, implementation costs, stakeholders’ requirements and expectations must be considered in the configuration process. Recognizing these issues, a significant amount of research efforts has been dedicated to different aspects of feature model configuration such as automating the configuration process. Several approaches have been proposed to alleviate the feature model configuration challenges through applying visualization and interaction techniques. However, there have been limited empirical insights available into the impact of visualization and interaction techniques on the feature model configuration process. In this paper, we present a set of visualization and interaction interventions for representing and configuring feature models, which are then empirically validated to measure the impact of the proposed interventions. An empirical study was conducted by following the principles of control experiments in software engineering and by applying the well-known software quality standard ISO 9126 to operationalize the variables investigated in the experiment. The results of the empirical study revealed that the employed visualization and interaction interventions significantly improved completion time of comprehension and changing of the feature model configuration. Additionally, according to results, the proposed interventions are easy-to-use and easy-to-learn for the participants. © 2015, Springer Science+Business Media New York.</v>
      </c>
      <c r="H260" s="8" t="str">
        <f>IFERROR(__xludf.DUMMYFUNCTION("""COMPUTED_VALUE"""),"Controlled experiment; Software product line engineering; Tools")</f>
        <v>Controlled experiment; Software product line engineering; Tools</v>
      </c>
      <c r="I260" s="9" t="b">
        <v>1</v>
      </c>
      <c r="J260" s="9" t="b">
        <v>1</v>
      </c>
      <c r="K260" s="9" t="b">
        <v>1</v>
      </c>
      <c r="L260" s="10" t="b">
        <v>0</v>
      </c>
      <c r="M260" s="10" t="b">
        <v>0</v>
      </c>
      <c r="N260" s="10" t="b">
        <v>0</v>
      </c>
      <c r="O260" s="11" t="b">
        <f t="shared" si="1"/>
        <v>1</v>
      </c>
      <c r="P260" s="12" t="b">
        <v>0</v>
      </c>
      <c r="Q260" s="7"/>
    </row>
    <row r="261">
      <c r="A261" s="5" t="b">
        <v>1</v>
      </c>
      <c r="B261" s="5" t="s">
        <v>299</v>
      </c>
      <c r="C261" s="6" t="str">
        <f>IFERROR(__xludf.DUMMYFUNCTION("""COMPUTED_VALUE"""),"10.1007/s10664-012-9215-y")</f>
        <v>10.1007/s10664-012-9215-y</v>
      </c>
      <c r="D261" s="7" t="str">
        <f>IFERROR(__xludf.DUMMYFUNCTION("""COMPUTED_VALUE"""),"Pontes R.P.; Véras P.C.; Ambrosio A.M.; Villani E.")</f>
        <v>Pontes R.P.; Véras P.C.; Ambrosio A.M.; Villani E.</v>
      </c>
      <c r="E261" s="7" t="str">
        <f>IFERROR(__xludf.DUMMYFUNCTION("""COMPUTED_VALUE"""),"Contributions of model checking and CoFI methodology to the development of space embedded software")</f>
        <v>Contributions of model checking and CoFI methodology to the development of space embedded software</v>
      </c>
      <c r="F261" s="7" t="str">
        <f>IFERROR(__xludf.DUMMYFUNCTION("""COMPUTED_VALUE"""),"EMSE")</f>
        <v>EMSE</v>
      </c>
      <c r="G261" s="7" t="str">
        <f>IFERROR(__xludf.DUMMYFUNCTION("""COMPUTED_VALUE"""),"The role of embedded software in the last space accidents highlights the importance of verification and validation techniques for the development of space embedded software. In this context, this work analyses the contribution of two verification techniqu"&amp;"es applied to the onboard data handling software of space products. The first technique is model checking. The system is modeled by a set of timed automata and the verification of safety and liveness properties is performed using UPPAAL model checker. The"&amp;" verified model is then used to generate the embedded software. The second technique analyzed in this work is model based approach for the generation of test cases. The Conformance and Fault Injection (CoFI) testing methodology is used to guide the develo"&amp;"pment of a set of Finite State Machine (FSM) models from the software specification. The test suite is automatically generated from the FSM models. The contributions of the two methodologies are analyzed based on the results provided by an experiment. Two"&amp;" software products are used as case study, each one implementing two services of the Packet Utilization Standard (PUS). These services represent the functionalities offered by a satellite onboard data handling computer. One of the products is developed wi"&amp;"th the aid of model checking, while the other is developed according to the practices currently used at the Instituto Nacional de Pesquisas Espaciais (INPE). Both software products are tested by the CoFI methodology. The experiment highlights the advantag"&amp;"es and vulnerable points of model checking. It also demonstrates that the main contribution of CoFI testing methodology is to highlight problems related to situations that have not been considered in the software specification, such as the occurrence of i"&amp;"nopportune events. This analysis helps to understand how different techniques can be integrated in the design of critical embedded software. © 2012 Springer Science+Business Media, LLC.")</f>
        <v>The role of embedded software in the last space accidents highlights the importance of verification and validation techniques for the development of space embedded software. In this context, this work analyses the contribution of two verification techniques applied to the onboard data handling software of space products. The first technique is model checking. The system is modeled by a set of timed automata and the verification of safety and liveness properties is performed using UPPAAL model checker. The verified model is then used to generate the embedded software. The second technique analyzed in this work is model based approach for the generation of test cases. The Conformance and Fault Injection (CoFI) testing methodology is used to guide the development of a set of Finite State Machine (FSM) models from the software specification. The test suite is automatically generated from the FSM models. The contributions of the two methodologies are analyzed based on the results provided by an experiment. Two software products are used as case study, each one implementing two services of the Packet Utilization Standard (PUS). These services represent the functionalities offered by a satellite onboard data handling computer. One of the products is developed with the aid of model checking, while the other is developed according to the practices currently used at the Instituto Nacional de Pesquisas Espaciais (INPE). Both software products are tested by the CoFI methodology. The experiment highlights the advantages and vulnerable points of model checking. It also demonstrates that the main contribution of CoFI testing methodology is to highlight problems related to situations that have not been considered in the software specification, such as the occurrence of inopportune events. This analysis helps to understand how different techniques can be integrated in the design of critical embedded software. © 2012 Springer Science+Business Media, LLC.</v>
      </c>
      <c r="H261" s="8" t="str">
        <f>IFERROR(__xludf.DUMMYFUNCTION("""COMPUTED_VALUE"""),"Embedded software; Model based testing; Model checking; Packet Utilization Standard (PUS); Space application; Verification")</f>
        <v>Embedded software; Model based testing; Model checking; Packet Utilization Standard (PUS); Space application; Verification</v>
      </c>
      <c r="I261" s="10" t="b">
        <v>0</v>
      </c>
      <c r="J261" s="10" t="b">
        <v>0</v>
      </c>
      <c r="K261" s="10" t="b">
        <v>0</v>
      </c>
      <c r="L261" s="10" t="b">
        <v>0</v>
      </c>
      <c r="M261" s="10" t="b">
        <v>0</v>
      </c>
      <c r="N261" s="10" t="b">
        <v>0</v>
      </c>
      <c r="O261" s="11" t="b">
        <f t="shared" si="1"/>
        <v>0</v>
      </c>
      <c r="P261" s="16" t="b">
        <v>0</v>
      </c>
      <c r="Q261" s="7"/>
    </row>
    <row r="262">
      <c r="A262" s="5" t="b">
        <v>1</v>
      </c>
      <c r="B262" s="5" t="s">
        <v>300</v>
      </c>
      <c r="C262" s="6" t="str">
        <f>IFERROR(__xludf.DUMMYFUNCTION("""COMPUTED_VALUE"""),"10.1007/s10664-023-10363-2")</f>
        <v>10.1007/s10664-023-10363-2</v>
      </c>
      <c r="D262" s="7" t="str">
        <f>IFERROR(__xludf.DUMMYFUNCTION("""COMPUTED_VALUE"""),"Nouwou Mindom P.S.; Nikanjam A.; Khomh F.")</f>
        <v>Nouwou Mindom P.S.; Nikanjam A.; Khomh F.</v>
      </c>
      <c r="E262" s="7" t="str">
        <f>IFERROR(__xludf.DUMMYFUNCTION("""COMPUTED_VALUE"""),"A comparison of reinforcement learning frameworks for software testing tasks")</f>
        <v>A comparison of reinforcement learning frameworks for software testing tasks</v>
      </c>
      <c r="F262" s="7" t="str">
        <f>IFERROR(__xludf.DUMMYFUNCTION("""COMPUTED_VALUE"""),"EMSE")</f>
        <v>EMSE</v>
      </c>
      <c r="G262" s="7" t="str">
        <f>IFERROR(__xludf.DUMMYFUNCTION("""COMPUTED_VALUE"""),"Software testing activities scrutinize the artifacts and the behavior of a software product to find possible defects and ensure that the product meets its expected requirements. Although various approaches of software testing have shown to be very promisi"&amp;"ng in revealing defects in software, some of them lack automation or are partly automated which increases the testing time, the manpower needed, and overall software testing costs. Recently, Deep Reinforcement Learning (DRL) has been successfully employed"&amp;" in complex testing tasks such as game testing, regression testing, and test case prioritization to automate the process and provide continuous adaptation. Practitioners can employ DRL by implementing from scratch a DRL algorithm or using a DRL framework."&amp;" DRL frameworks offer well-maintained implemented state-of-the-art DRL algorithms to facilitate and speed up the development of DRL applications. Developers have widely used these frameworks to solve problems in various domains including software testing."&amp;" However, to the best of our knowledge, there is no study that empirically evaluates the effectiveness and performance of implemented algorithms in DRL frameworks. Moreover, some guidelines are lacking from the literature that would help practitioners cho"&amp;"ose one DRL framework over another. In this paper, therefore, we empirically investigate the applications of carefully selected DRL algorithms (based on the characteristics of algorithms and environments) on two important software testing tasks: test case"&amp;" prioritization in the context of Continuous Integration (CI) and game testing. For the game testing task, we conduct experiments on a simple game and use DRL algorithms to explore the game to detect bugs. Results show that some of the selected DRL framew"&amp;"orks such as Tensorforce outperform recent approaches in the literature. To prioritize test cases, we run extensive experiments on a CI environment where DRL algorithms from different frameworks are used to rank the test cases. We find some cases where ou"&amp;"r DRL configurations outperform the implementation of the baseline. Our results show that the performance difference between implemented algorithms in some cases is considerable, motivating further investigation. Moreover, empirical evaluations on some be"&amp;"nchmark problems are recommended for researchers looking to select DRL frameworks, to make sure that DRL algorithms perform as intended. © 2023, The Author(s), under exclusive licence to Springer Science+Business Media, LLC, part of Springer Nature.")</f>
        <v>Software testing activities scrutinize the artifacts and the behavior of a software product to find possible defects and ensure that the product meets its expected requirements. Although various approaches of software testing have shown to be very promising in revealing defects in software, some of them lack automation or are partly automated which increases the testing time, the manpower needed, and overall software testing costs. Recently, Deep Reinforcement Learning (DRL) has been successfully employed in complex testing tasks such as game testing, regression testing, and test case prioritization to automate the process and provide continuous adaptation. Practitioners can employ DRL by implementing from scratch a DRL algorithm or using a DRL framework. DRL frameworks offer well-maintained implemented state-of-the-art DRL algorithms to facilitate and speed up the development of DRL applications. Developers have widely used these frameworks to solve problems in various domains including software testing. However, to the best of our knowledge, there is no study that empirically evaluates the effectiveness and performance of implemented algorithms in DRL frameworks. Moreover, some guidelines are lacking from the literature that would help practitioners choose one DRL framework over another. In this paper, therefore, we empirically investigate the applications of carefully selected DRL algorithms (based on the characteristics of algorithms and environments) on two important software testing tasks: test case prioritization in the context of Continuous Integration (CI) and game testing. For the game testing task, we conduct experiments on a simple game and use DRL algorithms to explore the game to detect bugs. Results show that some of the selected DRL frameworks such as Tensorforce outperform recent approaches in the literature. To prioritize test cases, we run extensive experiments on a CI environment where DRL algorithms from different frameworks are used to rank the test cases. We find some cases where our DRL configurations outperform the implementation of the baseline. Our results show that the performance difference between implemented algorithms in some cases is considerable, motivating further investigation. Moreover, empirical evaluations on some benchmark problems are recommended for researchers looking to select DRL frameworks, to make sure that DRL algorithms perform as intended. © 2023, The Author(s), under exclusive licence to Springer Science+Business Media, LLC, part of Springer Nature.</v>
      </c>
      <c r="H262" s="8" t="str">
        <f>IFERROR(__xludf.DUMMYFUNCTION("""COMPUTED_VALUE"""),"Game testing; Reinforcement learning; Software testing; Test case prioritization")</f>
        <v>Game testing; Reinforcement learning; Software testing; Test case prioritization</v>
      </c>
      <c r="I262" s="10" t="b">
        <v>0</v>
      </c>
      <c r="J262" s="10" t="b">
        <v>0</v>
      </c>
      <c r="K262" s="10" t="b">
        <v>0</v>
      </c>
      <c r="L262" s="10" t="b">
        <v>0</v>
      </c>
      <c r="M262" s="10" t="b">
        <v>0</v>
      </c>
      <c r="N262" s="10" t="b">
        <v>0</v>
      </c>
      <c r="O262" s="11" t="b">
        <f t="shared" si="1"/>
        <v>0</v>
      </c>
      <c r="P262" s="16" t="b">
        <v>0</v>
      </c>
      <c r="Q262" s="7"/>
    </row>
    <row r="263">
      <c r="A263" s="5" t="b">
        <v>1</v>
      </c>
      <c r="B263" s="5" t="s">
        <v>301</v>
      </c>
      <c r="C263" s="6" t="str">
        <f>IFERROR(__xludf.DUMMYFUNCTION("""COMPUTED_VALUE"""),"10.1007/s10664-018-9619-4")</f>
        <v>10.1007/s10664-018-9619-4</v>
      </c>
      <c r="D263" s="7" t="str">
        <f>IFERROR(__xludf.DUMMYFUNCTION("""COMPUTED_VALUE"""),"Yu Z.; Martinez M.; Danglot B.; Durieux T.; Monperrus M.")</f>
        <v>Yu Z.; Martinez M.; Danglot B.; Durieux T.; Monperrus M.</v>
      </c>
      <c r="E263" s="7" t="str">
        <f>IFERROR(__xludf.DUMMYFUNCTION("""COMPUTED_VALUE"""),"Alleviating patch overfitting with automatic test generation: a study of feasibility and effectiveness for the Nopol repair system")</f>
        <v>Alleviating patch overfitting with automatic test generation: a study of feasibility and effectiveness for the Nopol repair system</v>
      </c>
      <c r="F263" s="7" t="str">
        <f>IFERROR(__xludf.DUMMYFUNCTION("""COMPUTED_VALUE"""),"EMSE")</f>
        <v>EMSE</v>
      </c>
      <c r="G263" s="7" t="str">
        <f>IFERROR(__xludf.DUMMYFUNCTION("""COMPUTED_VALUE"""),"Among the many different kinds of program repair techniques, one widely studied family of techniques is called test suite based repair. However, test suites are in essence input-output specifications and are thus typically inadequate for completely specif"&amp;"ying the expected behavior of the program under repair. Consequently, the patches generated by test suite based repair techniques can just overfit to the used test suite, and fail to generalize to other tests. We deeply analyze the overfitting problem in "&amp;"program repair and give a classification of this problem. This classification will help the community to better understand and design techniques to defeat the overfitting problem. We further propose and evaluate an approach called UnsatGuided, which aims "&amp;"to alleviate the overfitting problem for synthesis-based repair techniques with automatic test case generation. The approach uses additional automatically generated tests to strengthen the repair constraint used by synthesis-based repair techniques. We an"&amp;"alyze the effectiveness of UnsatGuided: 1) analytically with respect to alleviating two different kinds of overfitting issues; 2) empirically based on an experiment over the 224 bugs of the Defects4J repository. The main result is that automatic test gene"&amp;"ration is effective in alleviating one kind of overfitting, issue–regression introduction, but due to oracle problem, has minimal positive impact on alleviating the other kind of overfitting issue–incomplete fixing. © 2018, Springer Science+Business Media"&amp;", LLC, part of Springer Nature.")</f>
        <v>Among the many different kinds of program repair techniques, one widely studied family of techniques is called test suite based repair. However, test suites are in essence input-output specifications and are thus typically inadequate for completely specifying the expected behavior of the program under repair. Consequently, the patches generated by test suite based repair techniques can just overfit to the used test suite, and fail to generalize to other tests. We deeply analyze the overfitting problem in program repair and give a classification of this problem. This classification will help the community to better understand and design techniques to defeat the overfitting problem. We further propose and evaluate an approach called UnsatGuided, which aims to alleviate the overfitting problem for synthesis-based repair techniques with automatic test case generation. The approach uses additional automatically generated tests to strengthen the repair constraint used by synthesis-based repair techniques. We analyze the effectiveness of UnsatGuided: 1) analytically with respect to alleviating two different kinds of overfitting issues; 2) empirically based on an experiment over the 224 bugs of the Defects4J repository. The main result is that automatic test generation is effective in alleviating one kind of overfitting, issue–regression introduction, but due to oracle problem, has minimal positive impact on alleviating the other kind of overfitting issue–incomplete fixing. © 2018, Springer Science+Business Media, LLC, part of Springer Nature.</v>
      </c>
      <c r="H263" s="8" t="str">
        <f>IFERROR(__xludf.DUMMYFUNCTION("""COMPUTED_VALUE"""),"Automatic test case generation; Patch overfitting; Program repair; Synthesis-based repair")</f>
        <v>Automatic test case generation; Patch overfitting; Program repair; Synthesis-based repair</v>
      </c>
      <c r="I263" s="10" t="b">
        <v>0</v>
      </c>
      <c r="J263" s="10" t="b">
        <v>0</v>
      </c>
      <c r="K263" s="10" t="b">
        <v>0</v>
      </c>
      <c r="L263" s="10" t="b">
        <v>0</v>
      </c>
      <c r="M263" s="10" t="b">
        <v>0</v>
      </c>
      <c r="N263" s="10" t="b">
        <v>0</v>
      </c>
      <c r="O263" s="11" t="b">
        <f t="shared" si="1"/>
        <v>0</v>
      </c>
      <c r="P263" s="16" t="b">
        <v>0</v>
      </c>
      <c r="Q263" s="7"/>
    </row>
    <row r="264">
      <c r="A264" s="5" t="b">
        <v>1</v>
      </c>
      <c r="B264" s="5" t="s">
        <v>302</v>
      </c>
      <c r="C264" s="6" t="str">
        <f>IFERROR(__xludf.DUMMYFUNCTION("""COMPUTED_VALUE"""),"10.1007/s10664-008-9069-5")</f>
        <v>10.1007/s10664-008-9069-5</v>
      </c>
      <c r="D264" s="7" t="str">
        <f>IFERROR(__xludf.DUMMYFUNCTION("""COMPUTED_VALUE"""),"Knodel J.; Muthig D.; Naab M.")</f>
        <v>Knodel J.; Muthig D.; Naab M.</v>
      </c>
      <c r="E264" s="7" t="str">
        <f>IFERROR(__xludf.DUMMYFUNCTION("""COMPUTED_VALUE"""),"An experiment on the role of graphical elements in architecture visualization")</f>
        <v>An experiment on the role of graphical elements in architecture visualization</v>
      </c>
      <c r="F264" s="7" t="str">
        <f>IFERROR(__xludf.DUMMYFUNCTION("""COMPUTED_VALUE"""),"EMSE")</f>
        <v>EMSE</v>
      </c>
      <c r="G264" s="7" t="str">
        <f>IFERROR(__xludf.DUMMYFUNCTION("""COMPUTED_VALUE"""),"The evolution and maintenance of large-scale software systems requires first an understanding of its architecture before delving into lower-level details. Tools facilitating the architecture comprehension tasks by visualization provide different sets of c"&amp;"onfigurable, graphical elements to present information to their users. We conducted a controlled experiment that exemplifies the critical role of such graphical elements when aiming at understanding the architecture. In our setting, a different configurat"&amp;"ion of graphical elements had significant influence on program comprehension tasks. In particular, a 63% gain in effectiveness in architectural analysis tasks was achieved simply by changing the configuration of the graphical elements of the same tool. Ba"&amp;"sed on the results, we claim that significant effort should be spent on the configuration of architecture visualization tools and that configurability should be a requirement for such tools. © 2008 Springer Science+Business Media, LLC.")</f>
        <v>The evolution and maintenance of large-scale software systems requires first an understanding of its architecture before delving into lower-level details. Tools facilitating the architecture comprehension tasks by visualization provide different sets of configurable, graphical elements to present information to their users. We conducted a controlled experiment that exemplifies the critical role of such graphical elements when aiming at understanding the architecture. In our setting, a different configuration of graphical elements had significant influence on program comprehension tasks. In particular, a 63% gain in effectiveness in architectural analysis tasks was achieved simply by changing the configuration of the graphical elements of the same tool. Based on the results, we claim that significant effort should be spent on the configuration of architecture visualization tools and that configurability should be a requirement for such tools. © 2008 Springer Science+Business Media, LLC.</v>
      </c>
      <c r="H264" s="8" t="str">
        <f>IFERROR(__xludf.DUMMYFUNCTION("""COMPUTED_VALUE"""),"Architecture; Configurability; Experiment; Graphical elements; Maintenance; Program comprehension; SAVE; Visualization")</f>
        <v>Architecture; Configurability; Experiment; Graphical elements; Maintenance; Program comprehension; SAVE; Visualization</v>
      </c>
      <c r="I264" s="9" t="b">
        <v>1</v>
      </c>
      <c r="J264" s="10" t="b">
        <v>0</v>
      </c>
      <c r="K264" s="9" t="b">
        <v>1</v>
      </c>
      <c r="L264" s="10" t="b">
        <v>0</v>
      </c>
      <c r="M264" s="10" t="b">
        <v>0</v>
      </c>
      <c r="N264" s="10" t="b">
        <v>0</v>
      </c>
      <c r="O264" s="11" t="b">
        <f t="shared" si="1"/>
        <v>0</v>
      </c>
      <c r="P264" s="16" t="b">
        <v>0</v>
      </c>
      <c r="Q264" s="7"/>
    </row>
    <row r="265">
      <c r="A265" s="5" t="b">
        <v>1</v>
      </c>
      <c r="B265" s="5" t="s">
        <v>303</v>
      </c>
      <c r="C265" s="6" t="str">
        <f>IFERROR(__xludf.DUMMYFUNCTION("""COMPUTED_VALUE"""),"10.1007/s10664-015-9374-8")</f>
        <v>10.1007/s10664-015-9374-8</v>
      </c>
      <c r="D265" s="7" t="str">
        <f>IFERROR(__xludf.DUMMYFUNCTION("""COMPUTED_VALUE"""),"Tu Y.-C.; Tempero E.; Thomborson C.")</f>
        <v>Tu Y.-C.; Tempero E.; Thomborson C.</v>
      </c>
      <c r="E265" s="7" t="str">
        <f>IFERROR(__xludf.DUMMYFUNCTION("""COMPUTED_VALUE"""),"An experiment on the impact of transparency on the effectiveness of requirements documents")</f>
        <v>An experiment on the impact of transparency on the effectiveness of requirements documents</v>
      </c>
      <c r="F265" s="7" t="str">
        <f>IFERROR(__xludf.DUMMYFUNCTION("""COMPUTED_VALUE"""),"EMSE")</f>
        <v>EMSE</v>
      </c>
      <c r="G265" s="7" t="str">
        <f>IFERROR(__xludf.DUMMYFUNCTION("""COMPUTED_VALUE"""),"Effective communication is important to successful software development, but it is difficult to achieve. We believe transparency — the visibility of information to stakeholders — is an important factor in the effectiveness of communication in software pro"&amp;"jects. We theorise that more effective communication results from more transparent requirements documents. To test our theory, we conducted an experiment. We developed an operational definition of transparency with three attributes: accessibility, underst"&amp;"andability, and relevance. We had students and software practitioners use requirements documents of differing levels of transparency based on these attributes to answer questions. We found that participants with the more transparent document spent less ti"&amp;"me, answered more questions correctly, and were more confident about their answers, than participants with the less transparent document. The results of our experiment provide evidence that our view of transparency may help evaluate the effectiveness of d"&amp;"ocuments as a form of communication. Further work is needed to reproduce our results, and to determine whether they are generalizable to other types of stakeholders and forms of communication. © 2015, Springer Science+Business Media New York.")</f>
        <v>Effective communication is important to successful software development, but it is difficult to achieve. We believe transparency — the visibility of information to stakeholders — is an important factor in the effectiveness of communication in software projects. We theorise that more effective communication results from more transparent requirements documents. To test our theory, we conducted an experiment. We developed an operational definition of transparency with three attributes: accessibility, understandability, and relevance. We had students and software practitioners use requirements documents of differing levels of transparency based on these attributes to answer questions. We found that participants with the more transparent document spent less time, answered more questions correctly, and were more confident about their answers, than participants with the less transparent document. The results of our experiment provide evidence that our view of transparency may help evaluate the effectiveness of documents as a form of communication. Further work is needed to reproduce our results, and to determine whether they are generalizable to other types of stakeholders and forms of communication. © 2015, Springer Science+Business Media New York.</v>
      </c>
      <c r="H265" s="8" t="str">
        <f>IFERROR(__xludf.DUMMYFUNCTION("""COMPUTED_VALUE"""),"Communication; Controlled experiments; Functional requirements; Requirements specification; Transparency; Use case models")</f>
        <v>Communication; Controlled experiments; Functional requirements; Requirements specification; Transparency; Use case models</v>
      </c>
      <c r="I265" s="9" t="b">
        <v>1</v>
      </c>
      <c r="J265" s="9" t="b">
        <v>1</v>
      </c>
      <c r="K265" s="9" t="b">
        <v>1</v>
      </c>
      <c r="L265" s="10" t="b">
        <v>0</v>
      </c>
      <c r="M265" s="10" t="b">
        <v>0</v>
      </c>
      <c r="N265" s="10" t="b">
        <v>0</v>
      </c>
      <c r="O265" s="11" t="b">
        <f t="shared" si="1"/>
        <v>1</v>
      </c>
      <c r="P265" s="16" t="b">
        <v>0</v>
      </c>
      <c r="Q265" s="7"/>
    </row>
    <row r="266">
      <c r="A266" s="5" t="b">
        <v>1</v>
      </c>
      <c r="B266" s="5" t="s">
        <v>304</v>
      </c>
      <c r="C266" s="6" t="str">
        <f>IFERROR(__xludf.DUMMYFUNCTION("""COMPUTED_VALUE"""),"10.1007/s10664-009-9105-0")</f>
        <v>10.1007/s10664-009-9105-0</v>
      </c>
      <c r="D266" s="7" t="str">
        <f>IFERROR(__xludf.DUMMYFUNCTION("""COMPUTED_VALUE"""),"Herrmann A.; Paech B.")</f>
        <v>Herrmann A.; Paech B.</v>
      </c>
      <c r="E266" s="7" t="str">
        <f>IFERROR(__xludf.DUMMYFUNCTION("""COMPUTED_VALUE"""),"Practical challenges of requirements prioritization based on risk estimation")</f>
        <v>Practical challenges of requirements prioritization based on risk estimation</v>
      </c>
      <c r="F266" s="7" t="str">
        <f>IFERROR(__xludf.DUMMYFUNCTION("""COMPUTED_VALUE"""),"EMSE")</f>
        <v>EMSE</v>
      </c>
      <c r="G266" s="7" t="str">
        <f>IFERROR(__xludf.DUMMYFUNCTION("""COMPUTED_VALUE"""),"Requirements prioritization and risk estimation are known to be difficult. However, so far, risk-based requirements prioritization has not been investigated empirically and quantitatively. In two quantitative experiments, we explored practical challenges "&amp;"and needs of risk estimations in general and of our method MOQARE specifically. In the first experiment, ten students made individual estimations. In the second one, twenty-four students estimated risks in seven moderated groups. The students prioritized "&amp;"the same requirements with different methods (risk estimation and ranking). During the first experiment, we identified factors which influence the quality of the prioritization. In the second experiment, the results of the risk estimation could be improve"&amp;"d by discussing risk estimations in a group of experts, gathering risk statistics, and defining requirements, risks and prioritization criteria more tangibly. This first quantitative study on risk-based requirements prioritization helps to understand the "&amp;"practical challenges of this task and thus can serve as a basis for further research on this topic. © 2009 Springer Science+Business Media, LLC.")</f>
        <v>Requirements prioritization and risk estimation are known to be difficult. However, so far, risk-based requirements prioritization has not been investigated empirically and quantitatively. In two quantitative experiments, we explored practical challenges and needs of risk estimations in general and of our method MOQARE specifically. In the first experiment, ten students made individual estimations. In the second one, twenty-four students estimated risks in seven moderated groups. The students prioritized the same requirements with different methods (risk estimation and ranking). During the first experiment, we identified factors which influence the quality of the prioritization. In the second experiment, the results of the risk estimation could be improved by discussing risk estimations in a group of experts, gathering risk statistics, and defining requirements, risks and prioritization criteria more tangibly. This first quantitative study on risk-based requirements prioritization helps to understand the practical challenges of this task and thus can serve as a basis for further research on this topic. © 2009 Springer Science+Business Media, LLC.</v>
      </c>
      <c r="H266" s="8" t="str">
        <f>IFERROR(__xludf.DUMMYFUNCTION("""COMPUTED_VALUE"""),"Requirements prioritization; Risk; Risk analysis; Risk estimation; Risk prediction")</f>
        <v>Requirements prioritization; Risk; Risk analysis; Risk estimation; Risk prediction</v>
      </c>
      <c r="I266" s="9" t="b">
        <v>1</v>
      </c>
      <c r="J266" s="9" t="b">
        <v>1</v>
      </c>
      <c r="K266" s="9" t="b">
        <v>1</v>
      </c>
      <c r="L266" s="10" t="b">
        <v>0</v>
      </c>
      <c r="M266" s="10" t="b">
        <v>0</v>
      </c>
      <c r="N266" s="10" t="b">
        <v>0</v>
      </c>
      <c r="O266" s="11" t="b">
        <f t="shared" si="1"/>
        <v>1</v>
      </c>
      <c r="P266" s="16" t="b">
        <v>0</v>
      </c>
      <c r="Q266" s="7"/>
    </row>
    <row r="267">
      <c r="A267" s="5" t="b">
        <v>1</v>
      </c>
      <c r="B267" s="5" t="s">
        <v>305</v>
      </c>
      <c r="C267" s="6" t="str">
        <f>IFERROR(__xludf.DUMMYFUNCTION("""COMPUTED_VALUE"""),"10.1007/s10664-013-9294-4")</f>
        <v>10.1007/s10664-013-9294-4</v>
      </c>
      <c r="D267" s="7" t="str">
        <f>IFERROR(__xludf.DUMMYFUNCTION("""COMPUTED_VALUE"""),"De O. Barros M.")</f>
        <v>De O. Barros M.</v>
      </c>
      <c r="E267" s="7" t="str">
        <f>IFERROR(__xludf.DUMMYFUNCTION("""COMPUTED_VALUE"""),"An experimental evaluation of the importance of randomness in hill climbing searches applied to software engineering problems")</f>
        <v>An experimental evaluation of the importance of randomness in hill climbing searches applied to software engineering problems</v>
      </c>
      <c r="F267" s="7" t="str">
        <f>IFERROR(__xludf.DUMMYFUNCTION("""COMPUTED_VALUE"""),"EMSE")</f>
        <v>EMSE</v>
      </c>
      <c r="G267" s="7" t="str">
        <f>IFERROR(__xludf.DUMMYFUNCTION("""COMPUTED_VALUE"""),"Random number generators are a core component of heuristic search algorithms. They are used to build candidate solutions and reduce bias while transforming these solutions during the search. Despite their usefulness, random numbers also have drawbacks, as"&amp;" one cannot guarantee that all portions of the search space are covered by the search and must run an algorithm many times to statistically assess its behavior. Determine whether deterministic quasi-random sequences can be used as an alternative to pseudo"&amp;"-random numbers in feeding ""randomness"" into Hill Climbing searches addressing Software Engineering problems. We have designed and executed three experimental studies in which a Hill Climbing search was used to find solutions for two Software Engineerin"&amp;"g problems: software module clustering and requirement selection. The algorithm was executed using both pseudo-random numbers and three distinct quasi-random sequences (Faure, Halton, and Sobol). The software clustering problem was evaluated for 32 real-w"&amp;"orld instances and the requirement selection problem was addressed using 15 instances reused from previous research works. The experimental studies were chained to allow varying as few as possible experimental factors between any given study and its subse"&amp;"quent one. Results found by searches powered by distinct quasi-random sequences were compared to those produced by the pseudo-random search on a per instance basis. The comparison evaluated search efficiency (processing time required to run the search) an"&amp;"d effectiveness (quality of results produced by the search). Contrary to previous findings observed in the context of other heuristic search algorithms, we found evidence that quasi-random sequences cannot outperform pseudo-random numbers regularly in Hil"&amp;"l Climbing searches. Detailed statistical analysis is provided to support the evidence favoring pseudo-random numbers. © 2014 Springer Science+Business Media New York.")</f>
        <v>Random number generators are a core component of heuristic search algorithms. They are used to build candidate solutions and reduce bias while transforming these solutions during the search. Despite their usefulness, random numbers also have drawbacks, as one cannot guarantee that all portions of the search space are covered by the search and must run an algorithm many times to statistically assess its behavior. Determine whether deterministic quasi-random sequences can be used as an alternative to pseudo-random numbers in feeding "randomness" into Hill Climbing searches addressing Software Engineering problems. We have designed and executed three experimental studies in which a Hill Climbing search was used to find solutions for two Software Engineering problems: software module clustering and requirement selection. The algorithm was executed using both pseudo-random numbers and three distinct quasi-random sequences (Faure, Halton, and Sobol). The software clustering problem was evaluated for 32 real-world instances and the requirement selection problem was addressed using 15 instances reused from previous research works. The experimental studies were chained to allow varying as few as possible experimental factors between any given study and its subsequent one. Results found by searches powered by distinct quasi-random sequences were compared to those produced by the pseudo-random search on a per instance basis. The comparison evaluated search efficiency (processing time required to run the search) and effectiveness (quality of results produced by the search). Contrary to previous findings observed in the context of other heuristic search algorithms, we found evidence that quasi-random sequences cannot outperform pseudo-random numbers regularly in Hill Climbing searches. Detailed statistical analysis is provided to support the evidence favoring pseudo-random numbers. © 2014 Springer Science+Business Media New York.</v>
      </c>
      <c r="H267" s="8" t="str">
        <f>IFERROR(__xludf.DUMMYFUNCTION("""COMPUTED_VALUE"""),"Hill climbing; Next release problem; Pseudo-random number generation; Quasi-random sequences; Software module clustering")</f>
        <v>Hill climbing; Next release problem; Pseudo-random number generation; Quasi-random sequences; Software module clustering</v>
      </c>
      <c r="I267" s="9" t="b">
        <v>0</v>
      </c>
      <c r="J267" s="10" t="b">
        <v>0</v>
      </c>
      <c r="K267" s="10" t="b">
        <v>0</v>
      </c>
      <c r="L267" s="10" t="b">
        <v>0</v>
      </c>
      <c r="M267" s="10" t="b">
        <v>0</v>
      </c>
      <c r="N267" s="10" t="b">
        <v>0</v>
      </c>
      <c r="O267" s="11" t="b">
        <f t="shared" si="1"/>
        <v>0</v>
      </c>
      <c r="P267" s="16" t="b">
        <v>0</v>
      </c>
      <c r="Q267" s="7"/>
    </row>
    <row r="268">
      <c r="A268" s="5" t="b">
        <v>1</v>
      </c>
      <c r="B268" s="5" t="s">
        <v>306</v>
      </c>
      <c r="C268" s="6" t="str">
        <f>IFERROR(__xludf.DUMMYFUNCTION("""COMPUTED_VALUE"""),"10.1023/A:1009742216007")</f>
        <v>10.1023/A:1009742216007</v>
      </c>
      <c r="D268" s="7" t="str">
        <f>IFERROR(__xludf.DUMMYFUNCTION("""COMPUTED_VALUE"""),"Fusaro P.; Lanubile F.; Visaggio G.")</f>
        <v>Fusaro P.; Lanubile F.; Visaggio G.</v>
      </c>
      <c r="E268" s="7" t="str">
        <f>IFERROR(__xludf.DUMMYFUNCTION("""COMPUTED_VALUE"""),"A Replicated Experiment to Assess Requirements Inspection Techniques")</f>
        <v>A Replicated Experiment to Assess Requirements Inspection Techniques</v>
      </c>
      <c r="F268" s="7" t="str">
        <f>IFERROR(__xludf.DUMMYFUNCTION("""COMPUTED_VALUE"""),"EMSE")</f>
        <v>EMSE</v>
      </c>
      <c r="G268" s="7" t="str">
        <f>IFERROR(__xludf.DUMMYFUNCTION("""COMPUTED_VALUE"""),"This paper presents the independent replication of a controlled experiment which compared three defect detection techniques (Ad Hoc, Checklist, and Defect-based Scenario) for software requirements inspections, and evaluated the benefits of collection meet"&amp;"ings after individual reviews. The results of our replication were partially different from those of the original experiment. Unlike the original experiment, we did not find any empirical evidence of better performance when using scenarios. To explain the"&amp;"se negative findings we provide a list of hypotheses. On the other hand, the replication confirmed one result of the original experiment: the defect detection rate is not improved by collection meetings. The independent replication was made possible by th"&amp;"e existence of an experimental kit provided by the original investigators. We discuss what difficulties we encountered in applying the package to our environment, as a result of different cultures and skills. Using our results, experience and suggestions,"&amp;" other researchers will be able to improve the original experimental design before attempting further replications.")</f>
        <v>This paper presents the independent replication of a controlled experiment which compared three defect detection techniques (Ad Hoc, Checklist, and Defect-based Scenario) for software requirements inspections, and evaluated the benefits of collection meetings after individual reviews. The results of our replication were partially different from those of the original experiment. Unlike the original experiment, we did not find any empirical evidence of better performance when using scenarios. To explain these negative findings we provide a list of hypotheses. On the other hand, the replication confirmed one result of the original experiment: the defect detection rate is not improved by collection meetings. The independent replication was made possible by the existence of an experimental kit provided by the original investigators. We discuss what difficulties we encountered in applying the package to our environment, as a result of different cultures and skills. Using our results, experience and suggestions, other researchers will be able to improve the original experimental design before attempting further replications.</v>
      </c>
      <c r="H268" s="8" t="str">
        <f>IFERROR(__xludf.DUMMYFUNCTION("""COMPUTED_VALUE"""),"Inspection; Reading technique; Replicated experiments; Technique and process evaluation")</f>
        <v>Inspection; Reading technique; Replicated experiments; Technique and process evaluation</v>
      </c>
      <c r="I268" s="9" t="b">
        <v>1</v>
      </c>
      <c r="J268" s="9" t="b">
        <v>1</v>
      </c>
      <c r="K268" s="10" t="b">
        <v>0</v>
      </c>
      <c r="L268" s="10" t="b">
        <v>0</v>
      </c>
      <c r="M268" s="10" t="b">
        <v>0</v>
      </c>
      <c r="N268" s="10" t="b">
        <v>0</v>
      </c>
      <c r="O268" s="11" t="b">
        <f t="shared" si="1"/>
        <v>0</v>
      </c>
      <c r="P268" s="16" t="b">
        <v>0</v>
      </c>
      <c r="Q268" s="7"/>
    </row>
    <row r="269">
      <c r="A269" s="5" t="b">
        <v>1</v>
      </c>
      <c r="B269" s="5" t="s">
        <v>307</v>
      </c>
      <c r="C269" s="6" t="str">
        <f>IFERROR(__xludf.DUMMYFUNCTION("""COMPUTED_VALUE"""),"10.1007/s10664-021-09947-7")</f>
        <v>10.1007/s10664-021-09947-7</v>
      </c>
      <c r="D269" s="7" t="str">
        <f>IFERROR(__xludf.DUMMYFUNCTION("""COMPUTED_VALUE"""),"Vescan A.; Pintea A.; Linsbauer L.; Egyed A.")</f>
        <v>Vescan A.; Pintea A.; Linsbauer L.; Egyed A.</v>
      </c>
      <c r="E269" s="7" t="str">
        <f>IFERROR(__xludf.DUMMYFUNCTION("""COMPUTED_VALUE"""),"Genetic programming for feature model synthesis: a replication study")</f>
        <v>Genetic programming for feature model synthesis: a replication study</v>
      </c>
      <c r="F269" s="7" t="str">
        <f>IFERROR(__xludf.DUMMYFUNCTION("""COMPUTED_VALUE"""),"EMSE")</f>
        <v>EMSE</v>
      </c>
      <c r="G269" s="7" t="str">
        <f>IFERROR(__xludf.DUMMYFUNCTION("""COMPUTED_VALUE"""),"Software Product Lines (SPLs) make it possible to configure a single system based on features in order to create many different variants and cater to a wide range of customers with varying requirements. This configuration space is often modeled using Feat"&amp;"ure Models (FMs). However, in practice, the SPL (and consequently the FM) is often created after a set of variants has already been created manually. Automating the task of reverse engineering a feature model that describes a set of variants makes the pro"&amp;"cess of adopting an SPL easier. The genetic programming pipeline is a good fit for feature models and has been shown to produce good reverse engineering results. In this paper, we replicate the results of such an existing approach with a larger set of fea"&amp;"ture models and investigate the effects of various genetic programming parameters and operators on the results. The design of our replication experiments employs three perspectives: duplicate the exact conditions using various features models, study the i"&amp;"nteraction of two parameters of the genetic programming approach, and optimize the values for the population and generation parameters and for the mutation and crossover operators. Results reinforce the previously obtained outcome, the original study bein"&amp;"g confirmed. The relations between the number of features and number of generations, respectively number of features and size of populations were also investigated and best values based on obtained results are provided. The current study also aimed to opt"&amp;"imize various parameters of the genetic programming approach, the interpretation of those experiments discovering concrete values. © 2021, The Author(s).")</f>
        <v>Software Product Lines (SPLs) make it possible to configure a single system based on features in order to create many different variants and cater to a wide range of customers with varying requirements. This configuration space is often modeled using Feature Models (FMs). However, in practice, the SPL (and consequently the FM) is often created after a set of variants has already been created manually. Automating the task of reverse engineering a feature model that describes a set of variants makes the process of adopting an SPL easier. The genetic programming pipeline is a good fit for feature models and has been shown to produce good reverse engineering results. In this paper, we replicate the results of such an existing approach with a larger set of feature models and investigate the effects of various genetic programming parameters and operators on the results. The design of our replication experiments employs three perspectives: duplicate the exact conditions using various features models, study the interaction of two parameters of the genetic programming approach, and optimize the values for the population and generation parameters and for the mutation and crossover operators. Results reinforce the previously obtained outcome, the original study being confirmed. The relations between the number of features and number of generations, respectively number of features and size of populations were also investigated and best values based on obtained results are provided. The current study also aimed to optimize various parameters of the genetic programming approach, the interpretation of those experiments discovering concrete values. © 2021, The Author(s).</v>
      </c>
      <c r="H269" s="8" t="str">
        <f>IFERROR(__xludf.DUMMYFUNCTION("""COMPUTED_VALUE"""),"Feature models; Replication study; Reverse engineering; Software product lines")</f>
        <v>Feature models; Replication study; Reverse engineering; Software product lines</v>
      </c>
      <c r="I269" s="10" t="b">
        <v>0</v>
      </c>
      <c r="J269" s="10" t="b">
        <v>0</v>
      </c>
      <c r="K269" s="10" t="b">
        <v>0</v>
      </c>
      <c r="L269" s="10" t="b">
        <v>0</v>
      </c>
      <c r="M269" s="10" t="b">
        <v>0</v>
      </c>
      <c r="N269" s="10" t="b">
        <v>0</v>
      </c>
      <c r="O269" s="11" t="b">
        <f t="shared" si="1"/>
        <v>0</v>
      </c>
      <c r="P269" s="16" t="b">
        <v>0</v>
      </c>
      <c r="Q269" s="7"/>
    </row>
    <row r="270">
      <c r="A270" s="5" t="b">
        <v>1</v>
      </c>
      <c r="B270" s="5" t="s">
        <v>308</v>
      </c>
      <c r="C270" s="6" t="str">
        <f>IFERROR(__xludf.DUMMYFUNCTION("""COMPUTED_VALUE"""),"10.1007/s10664-021-10050-0")</f>
        <v>10.1007/s10664-021-10050-0</v>
      </c>
      <c r="D270" s="7" t="str">
        <f>IFERROR(__xludf.DUMMYFUNCTION("""COMPUTED_VALUE"""),"Lin J.; Liu Y.; Cleland-Huang J.")</f>
        <v>Lin J.; Liu Y.; Cleland-Huang J.</v>
      </c>
      <c r="E270" s="7" t="str">
        <f>IFERROR(__xludf.DUMMYFUNCTION("""COMPUTED_VALUE"""),"Information retrieval versus deep learning approaches for generating traceability links in bilingual projects")</f>
        <v>Information retrieval versus deep learning approaches for generating traceability links in bilingual projects</v>
      </c>
      <c r="F270" s="7" t="str">
        <f>IFERROR(__xludf.DUMMYFUNCTION("""COMPUTED_VALUE"""),"EMSE")</f>
        <v>EMSE</v>
      </c>
      <c r="G270" s="7" t="str">
        <f>IFERROR(__xludf.DUMMYFUNCTION("""COMPUTED_VALUE"""),"Software traceability links are established between diverse artifacts of the software development process in order to support tasks such as compliance analysis, safety assurance, and requirements validation. However, practice has shown that it is difficul"&amp;"t and costly to create and maintain trace links in non-trivially sized projects. For this reason, many researchers have proposed and evaluated automated approaches based on information retrieval and deep-learning. Generating trace links automatically can "&amp;"also be challenging – especially in multi-national projects which include artifacts written in multiple languages. The intermingled language use can reduce the efficiency of automated tracing solutions. In this work, we analyze patterns of intermingled la"&amp;"nguage that we observed in several different projects, and then comparatively evaluate different tracing algorithms. These include Information Retrieval techniques, such as the Vector Space Model (VSM), Latent Semantic Indexing (LSI), Latent Dirichlet All"&amp;"ocation (LDA), and various models that combine mono- and cross-lingual word embeddings with the Generative Vector Space Model (GVSM), and a deep-learning approach based on a BERT language model. Our experimental analysis of trace links generated for 14 Ch"&amp;"inese-English projects indicates that our MultiLingual Trace-BERT approach performed best in large projects with close to 2-times the accuracy of the best IR approach, while the IR-based GVSM with neural machine translation and a monolingual word embeddin"&amp;"g performed best on small projects. © 2021, The Author(s), under exclusive licence to Springer Science+Business Media, LLC, part of Springer Nature.")</f>
        <v>Software traceability links are established between diverse artifacts of the software development process in order to support tasks such as compliance analysis, safety assurance, and requirements validation. However, practice has shown that it is difficult and costly to create and maintain trace links in non-trivially sized projects. For this reason, many researchers have proposed and evaluated automated approaches based on information retrieval and deep-learning. Generating trace links automatically can also be challenging – especially in multi-national projects which include artifacts written in multiple languages. The intermingled language use can reduce the efficiency of automated tracing solutions. In this work, we analyze patterns of intermingled language that we observed in several different projects, and then comparatively evaluate different tracing algorithms. These include Information Retrieval techniques, such as the Vector Space Model (VSM), Latent Semantic Indexing (LSI), Latent Dirichlet Allocation (LDA), and various models that combine mono- and cross-lingual word embeddings with the Generative Vector Space Model (GVSM), and a deep-learning approach based on a BERT language model. Our experimental analysis of trace links generated for 14 Chinese-English projects indicates that our MultiLingual Trace-BERT approach performed best in large projects with close to 2-times the accuracy of the best IR approach, while the IR-based GVSM with neural machine translation and a monolingual word embedding performed best on small projects. © 2021, The Author(s), under exclusive licence to Springer Science+Business Media, LLC, part of Springer Nature.</v>
      </c>
      <c r="H270" s="8" t="str">
        <f>IFERROR(__xludf.DUMMYFUNCTION("""COMPUTED_VALUE"""),"BERT; Cross-lingual information retrieval; Generalized Vector Space Model; Software traceability")</f>
        <v>BERT; Cross-lingual information retrieval; Generalized Vector Space Model; Software traceability</v>
      </c>
      <c r="I270" s="10" t="b">
        <v>0</v>
      </c>
      <c r="J270" s="10" t="b">
        <v>0</v>
      </c>
      <c r="K270" s="10" t="b">
        <v>0</v>
      </c>
      <c r="L270" s="10" t="b">
        <v>0</v>
      </c>
      <c r="M270" s="10" t="b">
        <v>0</v>
      </c>
      <c r="N270" s="10" t="b">
        <v>0</v>
      </c>
      <c r="O270" s="11" t="b">
        <f t="shared" si="1"/>
        <v>0</v>
      </c>
      <c r="P270" s="16" t="b">
        <v>0</v>
      </c>
      <c r="Q270" s="7"/>
    </row>
    <row r="271">
      <c r="A271" s="5" t="b">
        <v>1</v>
      </c>
      <c r="B271" s="5" t="s">
        <v>309</v>
      </c>
      <c r="C271" s="6" t="str">
        <f>IFERROR(__xludf.DUMMYFUNCTION("""COMPUTED_VALUE"""),"10.1007/s10664-017-9580-7")</f>
        <v>10.1007/s10664-017-9580-7</v>
      </c>
      <c r="D271" s="7" t="str">
        <f>IFERROR(__xludf.DUMMYFUNCTION("""COMPUTED_VALUE"""),"Przybyłek A.")</f>
        <v>Przybyłek A.</v>
      </c>
      <c r="E271" s="7" t="str">
        <f>IFERROR(__xludf.DUMMYFUNCTION("""COMPUTED_VALUE"""),"An empirical study on the impact of AspectJ on software evolvability")</f>
        <v>An empirical study on the impact of AspectJ on software evolvability</v>
      </c>
      <c r="F271" s="7" t="str">
        <f>IFERROR(__xludf.DUMMYFUNCTION("""COMPUTED_VALUE"""),"EMSE")</f>
        <v>EMSE</v>
      </c>
      <c r="G271" s="7" t="str">
        <f>IFERROR(__xludf.DUMMYFUNCTION("""COMPUTED_VALUE"""),"Since its inception in 1996, aspect-oriented programming (AOP) has been believed to reduce the effort required to maintain software systems by replacing cross-cutting code with aspects. However, little convincing empirical evidence exists to support this "&amp;"claim, while several studies suggest that AOP brings new obstacles to maintainability. This paper discusses two controlled experiments conducted to evaluate the impact of AspectJ (the most mature and popular aspect-oriented programming language) versus Ja"&amp;"va on software evolvability. We consider evolvability as the ease with which a software system can be updated to fulfill new requirements. Since a minor language was compared to the mainstream, the experiments were designed so as to anticipate that the pa"&amp;"rticipants were much more experienced in one of the treatments. The first experiment was performed on 35 student subjects who were asked to comprehend either Java or AspectJ implementation of the same system, and perform the corresponding comprehension ta"&amp;"sks. Participants of both groups achieved a high rate of correct answers without a statistically significant difference between the groups. Nevertheless, the Java group significantly outperformed the AspectJ group with respect to the average completion ti"&amp;"me. In the second experiment, 24 student subjects were asked to implement (in a non-invasive way) two extension scenarios to the system that they had already known. Each subject evolved either the Java version using Java or the AspectJ version using Aspec"&amp;"tJ. We found out that a typical AspectJ programmer needs significantly fewer atomic changes to implement the change scenarios than a typical Java programmer, but we did not observe a significant difference in completion time. The overall result indicates "&amp;"that AspectJ has a different effect on two sub-characteristics of the evolvability: understandability and changeability. While AspectJ decreases the former, it improves one aspect of the latter. © 2017, The Author(s).")</f>
        <v>Since its inception in 1996, aspect-oriented programming (AOP) has been believed to reduce the effort required to maintain software systems by replacing cross-cutting code with aspects. However, little convincing empirical evidence exists to support this claim, while several studies suggest that AOP brings new obstacles to maintainability. This paper discusses two controlled experiments conducted to evaluate the impact of AspectJ (the most mature and popular aspect-oriented programming language) versus Java on software evolvability. We consider evolvability as the ease with which a software system can be updated to fulfill new requirements. Since a minor language was compared to the mainstream, the experiments were designed so as to anticipate that the participants were much more experienced in one of the treatments. The first experiment was performed on 35 student subjects who were asked to comprehend either Java or AspectJ implementation of the same system, and perform the corresponding comprehension tasks. Participants of both groups achieved a high rate of correct answers without a statistically significant difference between the groups. Nevertheless, the Java group significantly outperformed the AspectJ group with respect to the average completion time. In the second experiment, 24 student subjects were asked to implement (in a non-invasive way) two extension scenarios to the system that they had already known. Each subject evolved either the Java version using Java or the AspectJ version using AspectJ. We found out that a typical AspectJ programmer needs significantly fewer atomic changes to implement the change scenarios than a typical Java programmer, but we did not observe a significant difference in completion time. The overall result indicates that AspectJ has a different effect on two sub-characteristics of the evolvability: understandability and changeability. While AspectJ decreases the former, it improves one aspect of the latter. © 2017, The Author(s).</v>
      </c>
      <c r="H271" s="8" t="str">
        <f>IFERROR(__xludf.DUMMYFUNCTION("""COMPUTED_VALUE"""),"AOP; Aspect-oriented programming; Controlled experiment; Maintainability; Separation of concerns; Understandability")</f>
        <v>AOP; Aspect-oriented programming; Controlled experiment; Maintainability; Separation of concerns; Understandability</v>
      </c>
      <c r="I271" s="9" t="b">
        <v>1</v>
      </c>
      <c r="J271" s="9" t="b">
        <v>1</v>
      </c>
      <c r="K271" s="9" t="b">
        <v>1</v>
      </c>
      <c r="L271" s="10" t="b">
        <v>0</v>
      </c>
      <c r="M271" s="10" t="b">
        <v>0</v>
      </c>
      <c r="N271" s="10" t="b">
        <v>0</v>
      </c>
      <c r="O271" s="11" t="b">
        <f t="shared" si="1"/>
        <v>1</v>
      </c>
      <c r="P271" s="16" t="b">
        <v>0</v>
      </c>
      <c r="Q271" s="7"/>
    </row>
    <row r="272">
      <c r="A272" s="5" t="b">
        <v>1</v>
      </c>
      <c r="B272" s="5" t="s">
        <v>310</v>
      </c>
      <c r="C272" s="6" t="str">
        <f>IFERROR(__xludf.DUMMYFUNCTION("""COMPUTED_VALUE"""),"10.1145/3267339")</f>
        <v>10.1145/3267339</v>
      </c>
      <c r="D272" s="7" t="str">
        <f>IFERROR(__xludf.DUMMYFUNCTION("""COMPUTED_VALUE"""),"Madi T.; Jarraya Y.; Alimohammadifar A.; Majumdar S.; Wang Y.; Pourzandi M.; Wang L.; Debbabi M.")</f>
        <v>Madi T.; Jarraya Y.; Alimohammadifar A.; Majumdar S.; Wang Y.; Pourzandi M.; Wang L.; Debbabi M.</v>
      </c>
      <c r="E272" s="7" t="str">
        <f>IFERROR(__xludf.DUMMYFUNCTION("""COMPUTED_VALUE"""),"ISOTOP: Auditing virtual networks isolation across cloud layers in OpenStack")</f>
        <v>ISOTOP: Auditing virtual networks isolation across cloud layers in OpenStack</v>
      </c>
      <c r="F272" s="7" t="str">
        <f>IFERROR(__xludf.DUMMYFUNCTION("""COMPUTED_VALUE"""),"TOPS")</f>
        <v>TOPS</v>
      </c>
      <c r="G272" s="7" t="str">
        <f>IFERROR(__xludf.DUMMYFUNCTION("""COMPUTED_VALUE"""),"Multi-tenancy in the cloud is a double-edged sword. While it enables cost-effective resource sharing, it increases security risks for the hosted applications. Indeed, multiplexing virtual resources belonging to different tenants on the same physical subst"&amp;"rate may lead to critical security concerns such as cross-tenants data leakage and denial of service. Particularly, virtual networks isolation failures are among the foremost security concerns in the cloud. To remedy these, automated tools are needed to v"&amp;"erify security mechanisms compliance with relevant security policies and standards. However, auditing virtual networks isolation is challenging due to the dynamic and layered nature of the cloud. Particularly, inconsistencies in network isolation mechanis"&amp;"ms across cloud-stack layers, namely, the infrastructure management and the implementation layers, may lead to virtual networks isolation breaches that are undetectable at a single layer. In this article, we propose an offline automated framework for audi"&amp;"ting consistent isolation between virtual networks in OpenStack-managed cloud spanning over overlay and layer 2 by considering both cloud layers’ views. To capture the semantics of the audited data and its relation to consistent isolation requirement, we "&amp;"devise a multi-layered model for data related to each cloud-stack layer’s view. Furthermore, we integrate our auditing system into OpenStack, and present our experimental results on assessing several properties related to virtual network isolation and con"&amp;"sistency. Our results show that our approach can be successfully used to detect virtual network isolation breaches for large OpenStack-based data centers in reasonable time. © 2018 Association for Computing Machinery.")</f>
        <v>Multi-tenancy in the cloud is a double-edged sword. While it enables cost-effective resource sharing, it increases security risks for the hosted applications. Indeed, multiplexing virtual resources belonging to different tenants on the same physical substrate may lead to critical security concerns such as cross-tenants data leakage and denial of service. Particularly, virtual networks isolation failures are among the foremost security concerns in the cloud. To remedy these, automated tools are needed to verify security mechanisms compliance with relevant security policies and standards. However, auditing virtual networks isolation is challenging due to the dynamic and layered nature of the cloud. Particularly, inconsistencies in network isolation mechanisms across cloud-stack layers, namely, the infrastructure management and the implementation layers, may lead to virtual networks isolation breaches that are undetectable at a single layer. In this article, we propose an offline automated framework for auditing consistent isolation between virtual networks in OpenStack-managed cloud spanning over overlay and layer 2 by considering both cloud layers’ views. To capture the semantics of the audited data and its relation to consistent isolation requirement, we devise a multi-layered model for data related to each cloud-stack layer’s view. Furthermore, we integrate our auditing system into OpenStack, and present our experimental results on assessing several properties related to virtual network isolation and consistency. Our results show that our approach can be successfully used to detect virtual network isolation breaches for large OpenStack-based data centers in reasonable time. © 2018 Association for Computing Machinery.</v>
      </c>
      <c r="H272" s="8" t="str">
        <f>IFERROR(__xludf.DUMMYFUNCTION("""COMPUTED_VALUE"""),"Cloud; Compliance verification; Consistency; Network isolation; OpenStack; Security; Virtual infrastructure")</f>
        <v>Cloud; Compliance verification; Consistency; Network isolation; OpenStack; Security; Virtual infrastructure</v>
      </c>
      <c r="I272" s="10" t="b">
        <v>0</v>
      </c>
      <c r="J272" s="10" t="b">
        <v>0</v>
      </c>
      <c r="K272" s="10" t="b">
        <v>0</v>
      </c>
      <c r="L272" s="10" t="b">
        <v>0</v>
      </c>
      <c r="M272" s="10" t="b">
        <v>0</v>
      </c>
      <c r="N272" s="10" t="b">
        <v>0</v>
      </c>
      <c r="O272" s="11" t="b">
        <f t="shared" si="1"/>
        <v>0</v>
      </c>
      <c r="P272" s="16" t="b">
        <v>0</v>
      </c>
      <c r="Q272" s="7"/>
    </row>
    <row r="273">
      <c r="A273" s="5" t="b">
        <v>1</v>
      </c>
      <c r="B273" s="5" t="s">
        <v>311</v>
      </c>
      <c r="C273" s="6" t="str">
        <f>IFERROR(__xludf.DUMMYFUNCTION("""COMPUTED_VALUE"""),"10.1145/3139293")</f>
        <v>10.1145/3139293</v>
      </c>
      <c r="D273" s="7" t="str">
        <f>IFERROR(__xludf.DUMMYFUNCTION("""COMPUTED_VALUE"""),"Rullo A.; Midi D.; Serra E.; Bertino E.")</f>
        <v>Rullo A.; Midi D.; Serra E.; Bertino E.</v>
      </c>
      <c r="E273" s="7" t="str">
        <f>IFERROR(__xludf.DUMMYFUNCTION("""COMPUTED_VALUE"""),"Pareto optimal security resource allocation for Internet of Things")</f>
        <v>Pareto optimal security resource allocation for Internet of Things</v>
      </c>
      <c r="F273" s="7" t="str">
        <f>IFERROR(__xludf.DUMMYFUNCTION("""COMPUTED_VALUE"""),"TOPS")</f>
        <v>TOPS</v>
      </c>
      <c r="G273" s="7" t="str">
        <f>IFERROR(__xludf.DUMMYFUNCTION("""COMPUTED_VALUE"""),"In many Internet of Thing (IoT) application domains security is a critical requirement, because malicious parties can undermine the effectiveness of IoT-based systems by compromising single components and/or communication channels. Thus, a security infras"&amp;"tructure is needed to ensure the proper functioning of such systems even under attack. However, it is also critical that security be at a reasonable resource and energy cost. In this article, we focus on the problem of efficiently and effectively securing"&amp;" IoT networks by carefully allocating security resources in the network area. In particular, given a set of security resources R and a set of attacks to be faced A, our method chooses the subset of R that best addresses the attacks in A, and the set of lo"&amp;"cations where to place them, that ensure the security coverage of all IoT devices at minimum cost and energy consumption. We model our problem according to game theory and provide a Pareto-optimal solution in which the cost of the security infrastructure,"&amp;" its energy consumption, and the probability of a successful attack are minimized. Our experimental evaluation shows that our technique improves the system robustness in terms of packet delivery rate for different network topologies. Furthermore, we also "&amp;"provide a method for handling the computation of the resource allocation plan for large-scale networks scenarios, where the optimization problem may require an unreasonable amount of time to be solved. We show how our proposed method drastically reduces t"&amp;"he computing time, while providing a reasonable approximation of the optimal solution. © 2017 ACM.")</f>
        <v>In many Internet of Thing (IoT) application domains security is a critical requirement, because malicious parties can undermine the effectiveness of IoT-based systems by compromising single components and/or communication channels. Thus, a security infrastructure is needed to ensure the proper functioning of such systems even under attack. However, it is also critical that security be at a reasonable resource and energy cost. In this article, we focus on the problem of efficiently and effectively securing IoT networks by carefully allocating security resources in the network area. In particular, given a set of security resources R and a set of attacks to be faced A, our method chooses the subset of R that best addresses the attacks in A, and the set of locations where to place them, that ensure the security coverage of all IoT devices at minimum cost and energy consumption. We model our problem according to game theory and provide a Pareto-optimal solution in which the cost of the security infrastructure, its energy consumption, and the probability of a successful attack are minimized. Our experimental evaluation shows that our technique improves the system robustness in terms of packet delivery rate for different network topologies. Furthermore, we also provide a method for handling the computation of the resource allocation plan for large-scale networks scenarios, where the optimization problem may require an unreasonable amount of time to be solved. We show how our proposed method drastically reduces the computing time, while providing a reasonable approximation of the optimal solution. © 2017 ACM.</v>
      </c>
      <c r="H273" s="8" t="str">
        <f>IFERROR(__xludf.DUMMYFUNCTION("""COMPUTED_VALUE"""),"Clustering; Internet of things; Pareto analysis; Stochastic allocation")</f>
        <v>Clustering; Internet of things; Pareto analysis; Stochastic allocation</v>
      </c>
      <c r="I273" s="10" t="b">
        <v>0</v>
      </c>
      <c r="J273" s="10" t="b">
        <v>0</v>
      </c>
      <c r="K273" s="10" t="b">
        <v>0</v>
      </c>
      <c r="L273" s="10" t="b">
        <v>0</v>
      </c>
      <c r="M273" s="10" t="b">
        <v>0</v>
      </c>
      <c r="N273" s="10" t="b">
        <v>0</v>
      </c>
      <c r="O273" s="11" t="b">
        <f t="shared" si="1"/>
        <v>0</v>
      </c>
      <c r="P273" s="16" t="b">
        <v>0</v>
      </c>
      <c r="Q273" s="7"/>
    </row>
    <row r="274">
      <c r="A274" s="5" t="b">
        <v>1</v>
      </c>
      <c r="B274" s="5" t="s">
        <v>312</v>
      </c>
      <c r="C274" s="6" t="str">
        <f>IFERROR(__xludf.DUMMYFUNCTION("""COMPUTED_VALUE"""),"10.1145/3517121")</f>
        <v>10.1145/3517121</v>
      </c>
      <c r="D274" s="7" t="str">
        <f>IFERROR(__xludf.DUMMYFUNCTION("""COMPUTED_VALUE"""),"Iyer P.; Masoumzadeh A.")</f>
        <v>Iyer P.; Masoumzadeh A.</v>
      </c>
      <c r="E274" s="7" t="str">
        <f>IFERROR(__xludf.DUMMYFUNCTION("""COMPUTED_VALUE"""),"Learning Relationship-Based Access Control Policies from Black-Box Systems")</f>
        <v>Learning Relationship-Based Access Control Policies from Black-Box Systems</v>
      </c>
      <c r="F274" s="7" t="str">
        <f>IFERROR(__xludf.DUMMYFUNCTION("""COMPUTED_VALUE"""),"TOPS")</f>
        <v>TOPS</v>
      </c>
      <c r="G274" s="7" t="str">
        <f>IFERROR(__xludf.DUMMYFUNCTION("""COMPUTED_VALUE"""),"Access control policies are crucial in securing data in information systems. Unfortunately, often times, such policies are poorly documented, and gaps between their specification and implementation prevent the system users, and even its developers, from u"&amp;"nderstanding the overall enforced policy of a system. To tackle this problem, we propose the first of its kind systematic approach for learning the enforced authorizations from a target system by interacting with and observing it as a black box. The black"&amp;"-box view of the target system provides the advantage of learning its overall access control policy without dealing with its internal design complexities. Furthermore, compared to the previous literature on policy mining and policy inference, we avoid exh"&amp;"austive exploration of the authorization space by minimizing our observations. We focus on learning relationship-based access control (ReBAC) policy, and show how we can construct a deterministic finite automaton (DFA) to formally characterize such an enf"&amp;"orced policy. We theoretically analyze our proposed learning approach by studying its termination, correctness, and complexity. Furthermore, we conduct extensive experimental analysis based on realistic application scenarios to establish its cost, quality"&amp;" of learning, and scalability in practice.  © 2022 Copyright held by the owner/author(s). Publication rights licensed to ACM.")</f>
        <v>Access control policies are crucial in securing data in information systems. Unfortunately, often times, such policies are poorly documented, and gaps between their specification and implementation prevent the system users, and even its developers, from understanding the overall enforced policy of a system. To tackle this problem, we propose the first of its kind systematic approach for learning the enforced authorizations from a target system by interacting with and observing it as a black box. The black-box view of the target system provides the advantage of learning its overall access control policy without dealing with its internal design complexities. Furthermore, compared to the previous literature on policy mining and policy inference, we avoid exhaustive exploration of the authorization space by minimizing our observations. We focus on learning relationship-based access control (ReBAC) policy, and show how we can construct a deterministic finite automaton (DFA) to formally characterize such an enforced policy. We theoretically analyze our proposed learning approach by studying its termination, correctness, and complexity. Furthermore, we conduct extensive experimental analysis based on realistic application scenarios to establish its cost, quality of learning, and scalability in practice.  © 2022 Copyright held by the owner/author(s). Publication rights licensed to ACM.</v>
      </c>
      <c r="H274" s="8" t="str">
        <f>IFERROR(__xludf.DUMMYFUNCTION("""COMPUTED_VALUE"""),"black box; formal analysis; model learning; Relationship-based access control")</f>
        <v>black box; formal analysis; model learning; Relationship-based access control</v>
      </c>
      <c r="I274" s="10" t="b">
        <v>0</v>
      </c>
      <c r="J274" s="10" t="b">
        <v>0</v>
      </c>
      <c r="K274" s="10" t="b">
        <v>0</v>
      </c>
      <c r="L274" s="10" t="b">
        <v>0</v>
      </c>
      <c r="M274" s="10" t="b">
        <v>0</v>
      </c>
      <c r="N274" s="10" t="b">
        <v>0</v>
      </c>
      <c r="O274" s="11" t="b">
        <f t="shared" si="1"/>
        <v>0</v>
      </c>
      <c r="P274" s="16" t="b">
        <v>0</v>
      </c>
      <c r="Q274" s="7"/>
    </row>
    <row r="275">
      <c r="A275" s="5" t="b">
        <v>1</v>
      </c>
      <c r="B275" s="5" t="s">
        <v>313</v>
      </c>
      <c r="C275" s="6" t="str">
        <f>IFERROR(__xludf.DUMMYFUNCTION("""COMPUTED_VALUE"""),"10.1145/3587933")</f>
        <v>10.1145/3587933</v>
      </c>
      <c r="D275" s="7" t="str">
        <f>IFERROR(__xludf.DUMMYFUNCTION("""COMPUTED_VALUE"""),"Hou J.; Wang J.; Zhang M.; Jin Z.; Wei C.; Ding Z.")</f>
        <v>Hou J.; Wang J.; Zhang M.; Jin Z.; Wei C.; Ding Z.</v>
      </c>
      <c r="E275" s="7" t="str">
        <f>IFERROR(__xludf.DUMMYFUNCTION("""COMPUTED_VALUE"""),"Privacy-preserving Resilient Consensus for Multi-agent Systems in a General Topology Structure")</f>
        <v>Privacy-preserving Resilient Consensus for Multi-agent Systems in a General Topology Structure</v>
      </c>
      <c r="F275" s="7" t="str">
        <f>IFERROR(__xludf.DUMMYFUNCTION("""COMPUTED_VALUE"""),"TOPS")</f>
        <v>TOPS</v>
      </c>
      <c r="G275" s="7" t="str">
        <f>IFERROR(__xludf.DUMMYFUNCTION("""COMPUTED_VALUE"""),"Recent advances of consensus control have made it significant in multi-agent systems such as in distributed machine learning, distributed multi-vehicle cooperative systems. However, during its application it is crucial to achieve resilience and privacy; s"&amp;"pecifically, when there are adversary/faulty nodes in a general topology structure, normal agents can also reach consensus while keeping their actual states unobserved.In this article, we modify the state-of-the-art Q-consensus algorithm by introducing pr"&amp;"edefined noise or well-designed cryptography to guarantee the privacy of each agent state. In the former case, we add specified noise on agent state before it is transmitted to the neighbors and then gradually decrease the value of noise so the exact agen"&amp;"t state cannot be evaluated. In the latter one, the Paillier cryptosystem is applied for reconstructing reward function in two consecutive interactions between each pair of neighboring agents. Therefore, multi-agent privacy-preserving resilient consensus "&amp;"(MAPPRC) can be achieved in a general topology structure. Moreover, in the modified version, we reconstruct reward function and credibility function so both convergence rate and stability of the system are improved.The simulation results indicate the algo"&amp;"rithms' tolerance for constant and/or persistent faulty agents as well as their protection of privacy. Compared with the previous studies that consider both resilience and privacy-preserving requirements, the proposed algorithms in this article greatly re"&amp;"lax the topological conditions. At the end of the article, to verify the effectiveness of the proposed algorithms, we conduct two sets of experiments, i.e., a smart-car hardware platform consisting of four vehicles and a distributed machine learning platf"&amp;"orm containing 10 workers and a server.  © 2023 Copyright held by the owner/author(s).")</f>
        <v>Recent advances of consensus control have made it significant in multi-agent systems such as in distributed machine learning, distributed multi-vehicle cooperative systems. However, during its application it is crucial to achieve resilience and privacy; specifically, when there are adversary/faulty nodes in a general topology structure, normal agents can also reach consensus while keeping their actual states unobserved.In this article, we modify the state-of-the-art Q-consensus algorithm by introducing predefined noise or well-designed cryptography to guarantee the privacy of each agent state. In the former case, we add specified noise on agent state before it is transmitted to the neighbors and then gradually decrease the value of noise so the exact agent state cannot be evaluated. In the latter one, the Paillier cryptosystem is applied for reconstructing reward function in two consecutive interactions between each pair of neighboring agents. Therefore, multi-agent privacy-preserving resilient consensus (MAPPRC) can be achieved in a general topology structure. Moreover, in the modified version, we reconstruct reward function and credibility function so both convergence rate and stability of the system are improved.The simulation results indicate the algorithms' tolerance for constant and/or persistent faulty agents as well as their protection of privacy. Compared with the previous studies that consider both resilience and privacy-preserving requirements, the proposed algorithms in this article greatly relax the topological conditions. At the end of the article, to verify the effectiveness of the proposed algorithms, we conduct two sets of experiments, i.e., a smart-car hardware platform consisting of four vehicles and a distributed machine learning platform containing 10 workers and a server.  © 2023 Copyright held by the owner/author(s).</v>
      </c>
      <c r="H275" s="8" t="str">
        <f>IFERROR(__xludf.DUMMYFUNCTION("""COMPUTED_VALUE"""),"multi-agent systems; privacy preserving; Q-consensus; Resilient consensus")</f>
        <v>multi-agent systems; privacy preserving; Q-consensus; Resilient consensus</v>
      </c>
      <c r="I275" s="10" t="b">
        <v>0</v>
      </c>
      <c r="J275" s="10" t="b">
        <v>0</v>
      </c>
      <c r="K275" s="10" t="b">
        <v>0</v>
      </c>
      <c r="L275" s="10" t="b">
        <v>0</v>
      </c>
      <c r="M275" s="10" t="b">
        <v>0</v>
      </c>
      <c r="N275" s="10" t="b">
        <v>0</v>
      </c>
      <c r="O275" s="11" t="b">
        <f t="shared" si="1"/>
        <v>0</v>
      </c>
      <c r="P275" s="16" t="b">
        <v>0</v>
      </c>
      <c r="Q275" s="7"/>
    </row>
    <row r="276">
      <c r="A276" s="5" t="b">
        <v>1</v>
      </c>
      <c r="B276" s="5" t="s">
        <v>314</v>
      </c>
      <c r="C276" s="6" t="str">
        <f>IFERROR(__xludf.DUMMYFUNCTION("""COMPUTED_VALUE"""),"10.1145/2988239")</f>
        <v>10.1145/2988239</v>
      </c>
      <c r="D276" s="7" t="str">
        <f>IFERROR(__xludf.DUMMYFUNCTION("""COMPUTED_VALUE"""),"Crampton J.; Gagarin A.; Gutin G.; Jones M.; Wahlström M.")</f>
        <v>Crampton J.; Gagarin A.; Gutin G.; Jones M.; Wahlström M.</v>
      </c>
      <c r="E276" s="7" t="str">
        <f>IFERROR(__xludf.DUMMYFUNCTION("""COMPUTED_VALUE"""),"On the workflow satisfiability problem with class-independent constraints for hierarchical organizations")</f>
        <v>On the workflow satisfiability problem with class-independent constraints for hierarchical organizations</v>
      </c>
      <c r="F276" s="7" t="str">
        <f>IFERROR(__xludf.DUMMYFUNCTION("""COMPUTED_VALUE"""),"TOPS")</f>
        <v>TOPS</v>
      </c>
      <c r="G276" s="7" t="str">
        <f>IFERROR(__xludf.DUMMYFUNCTION("""COMPUTED_VALUE"""),"A workflow specification defines a set of steps, a set of users, and an access control policy. The policy determines which steps a user is authorized to perform and imposes constraints on which sets of users can perform which sets of steps. The workflow s"&amp;"atisfiability problem (WSP) is the problem of determining whether there exists an assignment of users to workflow steps that satisfies the policy. Given the computational hardness of WSP and its importance in the context of workflow management systems, it"&amp;" is important to develop algorithms that are as efficient as possible to solve WSP. In this article, we study the fixed-parameter tractability of WSP in the presence of class-independent constraints, which enable us to (1) model security requirements base"&amp;"d on the groups to which users belong and (2) generalize the notion of a user-independent constraint. Class-independent constraints are defined in terms of equivalence relations over the set of users. We consider sets of nested equivalence relations becau"&amp;"se this enables us to model security requirements in hierarchical organizations. We prove that WSP is fixed-parameter tractable (FPT) for class-independent constraints defined over nested equivalence relations and develop an FPT algorithm to solve WSP ins"&amp;"tances incorporating such constraints. We perform experiments to evaluate the performance of our algorithm and compare it with that of SAT4J, an off-the-shelf pseudo-Boolean SAT solver. The results of these experiments demonstrate that our algorithm signi"&amp;"ficantly outperforms SAT4J for many instances of WSP. © 2016 ACM.")</f>
        <v>A workflow specification defines a set of steps, a set of users, and an access control policy. The policy determines which steps a user is authorized to perform and imposes constraints on which sets of users can perform which sets of steps. The workflow satisfiability problem (WSP) is the problem of determining whether there exists an assignment of users to workflow steps that satisfies the policy. Given the computational hardness of WSP and its importance in the context of workflow management systems, it is important to develop algorithms that are as efficient as possible to solve WSP. In this article, we study the fixed-parameter tractability of WSP in the presence of class-independent constraints, which enable us to (1) model security requirements based on the groups to which users belong and (2) generalize the notion of a user-independent constraint. Class-independent constraints are defined in terms of equivalence relations over the set of users. We consider sets of nested equivalence relations because this enables us to model security requirements in hierarchical organizations. We prove that WSP is fixed-parameter tractable (FPT) for class-independent constraints defined over nested equivalence relations and develop an FPT algorithm to solve WSP instances incorporating such constraints. We perform experiments to evaluate the performance of our algorithm and compare it with that of SAT4J, an off-the-shelf pseudo-Boolean SAT solver. The results of these experiments demonstrate that our algorithm significantly outperforms SAT4J for many instances of WSP. © 2016 ACM.</v>
      </c>
      <c r="H276" s="8" t="str">
        <f>IFERROR(__xludf.DUMMYFUNCTION("""COMPUTED_VALUE"""),"Class-independent constraints; Fixed-parameter tractability; Userindependent constraints; Workflow satisfiability problem")</f>
        <v>Class-independent constraints; Fixed-parameter tractability; Userindependent constraints; Workflow satisfiability problem</v>
      </c>
      <c r="I276" s="10" t="b">
        <v>0</v>
      </c>
      <c r="J276" s="10" t="b">
        <v>0</v>
      </c>
      <c r="K276" s="10" t="b">
        <v>0</v>
      </c>
      <c r="L276" s="10" t="b">
        <v>0</v>
      </c>
      <c r="M276" s="10" t="b">
        <v>0</v>
      </c>
      <c r="N276" s="10" t="b">
        <v>0</v>
      </c>
      <c r="O276" s="11" t="b">
        <f t="shared" si="1"/>
        <v>0</v>
      </c>
      <c r="P276" s="16" t="b">
        <v>0</v>
      </c>
      <c r="Q276" s="7"/>
    </row>
    <row r="277">
      <c r="A277" s="5" t="b">
        <v>1</v>
      </c>
      <c r="B277" s="5" t="s">
        <v>315</v>
      </c>
      <c r="C277" s="6" t="str">
        <f>IFERROR(__xludf.DUMMYFUNCTION("""COMPUTED_VALUE"""),"10.1145/3585536")</f>
        <v>10.1145/3585536</v>
      </c>
      <c r="D277" s="7" t="str">
        <f>IFERROR(__xludf.DUMMYFUNCTION("""COMPUTED_VALUE"""),"Alex S.; Dhanaraj K.J.; Deepthi P.P.")</f>
        <v>Alex S.; Dhanaraj K.J.; Deepthi P.P.</v>
      </c>
      <c r="E277" s="7" t="str">
        <f>IFERROR(__xludf.DUMMYFUNCTION("""COMPUTED_VALUE"""),"Energy Efficient and Secure Neural Network-based Disease Detection Framework for Mobile Healthcare Network")</f>
        <v>Energy Efficient and Secure Neural Network-based Disease Detection Framework for Mobile Healthcare Network</v>
      </c>
      <c r="F277" s="7" t="str">
        <f>IFERROR(__xludf.DUMMYFUNCTION("""COMPUTED_VALUE"""),"TOPS")</f>
        <v>TOPS</v>
      </c>
      <c r="G277" s="7" t="str">
        <f>IFERROR(__xludf.DUMMYFUNCTION("""COMPUTED_VALUE"""),"Adopting mobile healthcare network (MHN) services such as disease detection is fraught with concerns about the security and privacy of the entities involved and the resource restrictions at the Internet of Things (IoT) nodes. Hence, the essential requirem"&amp;"ents for disease detection services are to (i) produce accurate and fast disease detection without jeopardizing the privacy of health clouds and medical users and (ii) reduce the computational and transmission overhead (energy consumption) of the IoT devi"&amp;"ces while maintaining the privacy. For privacy preservation of widely used neural network- (NN) based disease detection, existing literature suggests either computationally heavy public key fully homomorphic encryption (FHE), or secure multiparty computat"&amp;"ion, with a large number of interactions. Hence, the existing privacy-preserving NN schemes are energy consuming and not suitable for resource-constrained IoT nodes in MHN. This work proposes a lightweight, fully homomorphic, symmetric key FHE scheme (SkF"&amp;"he) to address the issues involved in implementing privacy-preserving NN. Based on SkFhe, widely used non-linear activation functions ReLU and Leaky ReLU are implemented over the encrypted domain. Furthermore, based on the proposed privacy-preserving line"&amp;"ar transformation and non-linear activation functions, an energy-efficient, accurate, and privacy-preserving NN is proposed. The proposed scheme guarantees privacy preservation of the health cloud's NN model and medical user's data. The experimental analy"&amp;"sis demonstrates that the proposed solution dramatically reduces the overhead in communication and computation at the user side compared to the existing schemes. Moreover, the improved energy efficiency at the user is accomplished with reduced diagnosis t"&amp;"ime without sacrificing classification accuracy.  © 2023 Copyright held by the owner/author(s). Publication rights licensed to ACM.")</f>
        <v>Adopting mobile healthcare network (MHN) services such as disease detection is fraught with concerns about the security and privacy of the entities involved and the resource restrictions at the Internet of Things (IoT) nodes. Hence, the essential requirements for disease detection services are to (i) produce accurate and fast disease detection without jeopardizing the privacy of health clouds and medical users and (ii) reduce the computational and transmission overhead (energy consumption) of the IoT devices while maintaining the privacy. For privacy preservation of widely used neural network- (NN) based disease detection, existing literature suggests either computationally heavy public key fully homomorphic encryption (FHE), or secure multiparty computation, with a large number of interactions. Hence, the existing privacy-preserving NN schemes are energy consuming and not suitable for resource-constrained IoT nodes in MHN. This work proposes a lightweight, fully homomorphic, symmetric key FHE scheme (SkFhe) to address the issues involved in implementing privacy-preserving NN. Based on SkFhe, widely used non-linear activation functions ReLU and Leaky ReLU are implemented over the encrypted domain. Furthermore, based on the proposed privacy-preserving linear transformation and non-linear activation functions, an energy-efficient, accurate, and privacy-preserving NN is proposed. The proposed scheme guarantees privacy preservation of the health cloud's NN model and medical user's data. The experimental analysis demonstrates that the proposed solution dramatically reduces the overhead in communication and computation at the user side compared to the existing schemes. Moreover, the improved energy efficiency at the user is accomplished with reduced diagnosis time without sacrificing classification accuracy.  © 2023 Copyright held by the owner/author(s). Publication rights licensed to ACM.</v>
      </c>
      <c r="H277" s="8" t="str">
        <f>IFERROR(__xludf.DUMMYFUNCTION("""COMPUTED_VALUE"""),"homomorphic encryption; Mobile healthcare network; neural networks; privacy")</f>
        <v>homomorphic encryption; Mobile healthcare network; neural networks; privacy</v>
      </c>
      <c r="I277" s="10" t="b">
        <v>0</v>
      </c>
      <c r="J277" s="10" t="b">
        <v>0</v>
      </c>
      <c r="K277" s="10" t="b">
        <v>0</v>
      </c>
      <c r="L277" s="10" t="b">
        <v>0</v>
      </c>
      <c r="M277" s="10" t="b">
        <v>0</v>
      </c>
      <c r="N277" s="10" t="b">
        <v>0</v>
      </c>
      <c r="O277" s="11" t="b">
        <f t="shared" si="1"/>
        <v>0</v>
      </c>
      <c r="P277" s="16" t="b">
        <v>0</v>
      </c>
      <c r="Q277" s="7"/>
    </row>
    <row r="278">
      <c r="A278" s="5" t="b">
        <v>1</v>
      </c>
      <c r="B278" s="5" t="s">
        <v>316</v>
      </c>
      <c r="C278" s="6" t="str">
        <f>IFERROR(__xludf.DUMMYFUNCTION("""COMPUTED_VALUE"""),"10.1109/TDSC.2022.3226508")</f>
        <v>10.1109/TDSC.2022.3226508</v>
      </c>
      <c r="D278" s="7" t="str">
        <f>IFERROR(__xludf.DUMMYFUNCTION("""COMPUTED_VALUE"""),"Wang Y.; Zhang A.; Wu S.; Yu S.")</f>
        <v>Wang Y.; Zhang A.; Wu S.; Yu S.</v>
      </c>
      <c r="E278" s="7" t="str">
        <f>IFERROR(__xludf.DUMMYFUNCTION("""COMPUTED_VALUE"""),"VOSA: Verifiable and Oblivious Secure Aggregation for Privacy-Preserving Federated Learning")</f>
        <v>VOSA: Verifiable and Oblivious Secure Aggregation for Privacy-Preserving Federated Learning</v>
      </c>
      <c r="F278" s="7" t="str">
        <f>IFERROR(__xludf.DUMMYFUNCTION("""COMPUTED_VALUE"""),"TDSC")</f>
        <v>TDSC</v>
      </c>
      <c r="G278" s="7" t="str">
        <f>IFERROR(__xludf.DUMMYFUNCTION("""COMPUTED_VALUE"""),"Federated learning has emerged as a promising paradigm by collaboratively training a global model through sharing local gradients without exposing raw data. However, the shared gradients pose a threat to privacy leakage of local data. The central server m"&amp;"ay forge the aggregated results. Besides, it is common that resource-constrained devices drop out in federated learning. To solve these problems, the existing solutions consider either only efficiency, or privacy preservation. It is still a challenge to d"&amp;"esign a verifiable and lightweight secure aggregation with drop-out resilience for large-scale federated learning. In this article, we propose VOSA, an efficient verifiable and oblivious secure aggregation protocol for privacy-preserving federated learnin"&amp;"g. We exploit aggregator oblivious encryption to efficiently mask users' local gradients. The central server performs aggregation on the obscured gradients without revealing the privacy of local data. Meanwhile, each user can efficiently verify the correc"&amp;"tness of the aggregated results. Moreover, VOSA adopts a dynamic group management mechanism to tolerate users' dropping out with no impact on their participation in future learning process. Security analysis shows that the VOSA can guarantee the security "&amp;"requirements of privacy-preserving federated learning. The extensive experimental evaluations conducted on real-world datasets demonstrate the practical performance of the proposed VOSA with high efficiency.  © 2004-2012 IEEE.")</f>
        <v>Federated learning has emerged as a promising paradigm by collaboratively training a global model through sharing local gradients without exposing raw data. However, the shared gradients pose a threat to privacy leakage of local data. The central server may forge the aggregated results. Besides, it is common that resource-constrained devices drop out in federated learning. To solve these problems, the existing solutions consider either only efficiency, or privacy preservation. It is still a challenge to design a verifiable and lightweight secure aggregation with drop-out resilience for large-scale federated learning. In this article, we propose VOSA, an efficient verifiable and oblivious secure aggregation protocol for privacy-preserving federated learning. We exploit aggregator oblivious encryption to efficiently mask users' local gradients. The central server performs aggregation on the obscured gradients without revealing the privacy of local data. Meanwhile, each user can efficiently verify the correctness of the aggregated results. Moreover, VOSA adopts a dynamic group management mechanism to tolerate users' dropping out with no impact on their participation in future learning process. Security analysis shows that the VOSA can guarantee the security requirements of privacy-preserving federated learning. The extensive experimental evaluations conducted on real-world datasets demonstrate the practical performance of the proposed VOSA with high efficiency.  © 2004-2012 IEEE.</v>
      </c>
      <c r="H278" s="8" t="str">
        <f>IFERROR(__xludf.DUMMYFUNCTION("""COMPUTED_VALUE"""),"data security; federated learning; privacy preservation; Secure aggregation")</f>
        <v>data security; federated learning; privacy preservation; Secure aggregation</v>
      </c>
      <c r="I278" s="10" t="b">
        <v>0</v>
      </c>
      <c r="J278" s="10" t="b">
        <v>0</v>
      </c>
      <c r="K278" s="10" t="b">
        <v>0</v>
      </c>
      <c r="L278" s="10" t="b">
        <v>0</v>
      </c>
      <c r="M278" s="10" t="b">
        <v>0</v>
      </c>
      <c r="N278" s="10" t="b">
        <v>0</v>
      </c>
      <c r="O278" s="11" t="b">
        <f t="shared" si="1"/>
        <v>0</v>
      </c>
      <c r="P278" s="16" t="b">
        <v>0</v>
      </c>
      <c r="Q278" s="7"/>
    </row>
    <row r="279">
      <c r="A279" s="5" t="b">
        <v>1</v>
      </c>
      <c r="B279" s="5" t="s">
        <v>317</v>
      </c>
      <c r="C279" s="6" t="str">
        <f>IFERROR(__xludf.DUMMYFUNCTION("""COMPUTED_VALUE"""),"10.1109/TDSC.2021.3130944")</f>
        <v>10.1109/TDSC.2021.3130944</v>
      </c>
      <c r="D279" s="7" t="str">
        <f>IFERROR(__xludf.DUMMYFUNCTION("""COMPUTED_VALUE"""),"Li H.; Wu J.; Xu H.; Li G.; Guizani M.")</f>
        <v>Li H.; Wu J.; Xu H.; Li G.; Guizani M.</v>
      </c>
      <c r="E279" s="7" t="str">
        <f>IFERROR(__xludf.DUMMYFUNCTION("""COMPUTED_VALUE"""),"Explainable Intelligence-Driven Defense Mechanism Against Advanced Persistent Threats: A Joint Edge Game and AI Approach")</f>
        <v>Explainable Intelligence-Driven Defense Mechanism Against Advanced Persistent Threats: A Joint Edge Game and AI Approach</v>
      </c>
      <c r="F279" s="7" t="str">
        <f>IFERROR(__xludf.DUMMYFUNCTION("""COMPUTED_VALUE"""),"TDSC")</f>
        <v>TDSC</v>
      </c>
      <c r="G279" s="7" t="str">
        <f>IFERROR(__xludf.DUMMYFUNCTION("""COMPUTED_VALUE"""),"Advanced persistent threats (APT) have novel features such as long-term latency, precision strikes and uncertain strategies. APT poses severe threats to the resource-limited edge devices in advanced networks. Cyber threat intelligence (CTI) conducts data "&amp;"analysis on attack strategies by artificial intelligence (AI) and generates threat intelligence to optimize the detection model and guide defense strategies. However, AI lacks explanations for the decisions and thus reduces the transparency and performanc"&amp;"e of the detection model. Besides, the tradeoff between the detection accuracy and the computational resource limitation of edge devices needs an optimal and rapid dynamic resource allocation method, which edge game and AI can help. In this article, we pr"&amp;"opose an explainable intelligence-driven APT edge defense mechanism. The proposed mechanism provides guidelines and explanations for designing the defense strategy and resource allocation scheme of the edge defender to detect APT. The edge defense strateg"&amp;"y model is based on edge Bayesian Stackelberg game and CTI. Meanwhile, we implement a DRL-based resource allocation scheme to meet rapid response requirements at the edges. We demonstrate that the proposed mechanism can improve the protection level of edg"&amp;"es and defense capability against APT through extensive experiments.  © 2004-2012 IEEE.")</f>
        <v>Advanced persistent threats (APT) have novel features such as long-term latency, precision strikes and uncertain strategies. APT poses severe threats to the resource-limited edge devices in advanced networks. Cyber threat intelligence (CTI) conducts data analysis on attack strategies by artificial intelligence (AI) and generates threat intelligence to optimize the detection model and guide defense strategies. However, AI lacks explanations for the decisions and thus reduces the transparency and performance of the detection model. Besides, the tradeoff between the detection accuracy and the computational resource limitation of edge devices needs an optimal and rapid dynamic resource allocation method, which edge game and AI can help. In this article, we propose an explainable intelligence-driven APT edge defense mechanism. The proposed mechanism provides guidelines and explanations for designing the defense strategy and resource allocation scheme of the edge defender to detect APT. The edge defense strategy model is based on edge Bayesian Stackelberg game and CTI. Meanwhile, we implement a DRL-based resource allocation scheme to meet rapid response requirements at the edges. We demonstrate that the proposed mechanism can improve the protection level of edges and defense capability against APT through extensive experiments.  © 2004-2012 IEEE.</v>
      </c>
      <c r="H279" s="8" t="str">
        <f>IFERROR(__xludf.DUMMYFUNCTION("""COMPUTED_VALUE"""),"Advanced persistent threats; Edge artificial intelligence; Edge game; Explainable threat intelligence; Resource allocation")</f>
        <v>Advanced persistent threats; Edge artificial intelligence; Edge game; Explainable threat intelligence; Resource allocation</v>
      </c>
      <c r="I279" s="10" t="b">
        <v>0</v>
      </c>
      <c r="J279" s="10" t="b">
        <v>0</v>
      </c>
      <c r="K279" s="10" t="b">
        <v>0</v>
      </c>
      <c r="L279" s="10" t="b">
        <v>0</v>
      </c>
      <c r="M279" s="10" t="b">
        <v>0</v>
      </c>
      <c r="N279" s="10" t="b">
        <v>0</v>
      </c>
      <c r="O279" s="11" t="b">
        <f t="shared" si="1"/>
        <v>0</v>
      </c>
      <c r="P279" s="16" t="b">
        <v>0</v>
      </c>
      <c r="Q279" s="7"/>
    </row>
    <row r="280">
      <c r="A280" s="5" t="b">
        <v>1</v>
      </c>
      <c r="B280" s="5" t="s">
        <v>318</v>
      </c>
      <c r="C280" s="6" t="str">
        <f>IFERROR(__xludf.DUMMYFUNCTION("""COMPUTED_VALUE"""),"10.1109/TDSC.2014.2304296")</f>
        <v>10.1109/TDSC.2014.2304296</v>
      </c>
      <c r="D280" s="7" t="str">
        <f>IFERROR(__xludf.DUMMYFUNCTION("""COMPUTED_VALUE"""),"Huang J.; Qin X.; Zhang F.; Ku W.-S.; Xie C.")</f>
        <v>Huang J.; Qin X.; Zhang F.; Ku W.-S.; Xie C.</v>
      </c>
      <c r="E280" s="7" t="str">
        <f>IFERROR(__xludf.DUMMYFUNCTION("""COMPUTED_VALUE"""),"MFTS: A multi-level fault-tolerant archiving storage with optimized maintenance bandwidth")</f>
        <v>MFTS: A multi-level fault-tolerant archiving storage with optimized maintenance bandwidth</v>
      </c>
      <c r="F280" s="7" t="str">
        <f>IFERROR(__xludf.DUMMYFUNCTION("""COMPUTED_VALUE"""),"TDSC")</f>
        <v>TDSC</v>
      </c>
      <c r="G280" s="7" t="str">
        <f>IFERROR(__xludf.DUMMYFUNCTION("""COMPUTED_VALUE"""),"In this paper, we propose a multi-level fault-tolerant storage cluster called MFTS, which provides flexible reliability for a wide variety of applications. MFTS makes use of a reliability upper-bound (i.e., Parameter r) to guide the process of adjusting f"&amp;"ault-tolerance levels, i.e., i-erasure(s) and i ∈ {1, 2, ⋯, r}. In particular, MFTS can map an appropriate coding scheme to an application with individual reliability requirements. MFTS is capable of partitioning multi-level reliable storage using a virtu"&amp;"al storage space, thereby adapting to any changing reliability demands of applications. We present the implementation of the MFTS system, which adopts an intersecting zigzag sets code (IZS code) rather than replication or general-purpose erasure codes. Ou"&amp;"r MFTS has three salient features: partial updates, fast reconstructions, and minimal overhead of fault-tolerance level transitions. To quantify performance optimization in our storage cluster, we compare IZS-enabled MFTS with two storage clusters equippe"&amp;"d with the Vandermonde- and Cauchy-Reed-Solomon codes. The experimental results show that: 1) three schemes have comparable user-response-time performance in both the operational and degraded modes; 2) MFTS outperforms the other two alternatives by up to "&amp;"26.1 percent in the offline reconstruction case; 3) MFTS speeds up the online reconstruction by up to 23.7 percent over the other two schemes with marginal increase in user response time. © 2014 IEEE.")</f>
        <v>In this paper, we propose a multi-level fault-tolerant storage cluster called MFTS, which provides flexible reliability for a wide variety of applications. MFTS makes use of a reliability upper-bound (i.e., Parameter r) to guide the process of adjusting fault-tolerance levels, i.e., i-erasure(s) and i ∈ {1, 2, ⋯, r}. In particular, MFTS can map an appropriate coding scheme to an application with individual reliability requirements. MFTS is capable of partitioning multi-level reliable storage using a virtual storage space, thereby adapting to any changing reliability demands of applications. We present the implementation of the MFTS system, which adopts an intersecting zigzag sets code (IZS code) rather than replication or general-purpose erasure codes. Our MFTS has three salient features: partial updates, fast reconstructions, and minimal overhead of fault-tolerance level transitions. To quantify performance optimization in our storage cluster, we compare IZS-enabled MFTS with two storage clusters equipped with the Vandermonde- and Cauchy-Reed-Solomon codes. The experimental results show that: 1) three schemes have comparable user-response-time performance in both the operational and degraded modes; 2) MFTS outperforms the other two alternatives by up to 26.1 percent in the offline reconstruction case; 3) MFTS speeds up the online reconstruction by up to 23.7 percent over the other two schemes with marginal increase in user response time. © 2014 IEEE.</v>
      </c>
      <c r="H280" s="8" t="str">
        <f>IFERROR(__xludf.DUMMYFUNCTION("""COMPUTED_VALUE"""),"Erasure-coded storage cluster; multi-level fault tolerance; optimized maintenance bandwidth; TCP-Incast")</f>
        <v>Erasure-coded storage cluster; multi-level fault tolerance; optimized maintenance bandwidth; TCP-Incast</v>
      </c>
      <c r="I280" s="10" t="b">
        <v>0</v>
      </c>
      <c r="J280" s="10" t="b">
        <v>0</v>
      </c>
      <c r="K280" s="10" t="b">
        <v>0</v>
      </c>
      <c r="L280" s="10" t="b">
        <v>0</v>
      </c>
      <c r="M280" s="10" t="b">
        <v>0</v>
      </c>
      <c r="N280" s="10" t="b">
        <v>0</v>
      </c>
      <c r="O280" s="11" t="b">
        <f t="shared" si="1"/>
        <v>0</v>
      </c>
      <c r="P280" s="16" t="b">
        <v>0</v>
      </c>
      <c r="Q280" s="7"/>
    </row>
    <row r="281">
      <c r="A281" s="5" t="b">
        <v>1</v>
      </c>
      <c r="B281" s="5" t="s">
        <v>319</v>
      </c>
      <c r="C281" s="6" t="str">
        <f>IFERROR(__xludf.DUMMYFUNCTION("""COMPUTED_VALUE"""),"10.1109/TDSC.2019.2934098")</f>
        <v>10.1109/TDSC.2019.2934098</v>
      </c>
      <c r="D281" s="7" t="str">
        <f>IFERROR(__xludf.DUMMYFUNCTION("""COMPUTED_VALUE"""),"Nair P.P.; Sarkar A.; Biswas S.")</f>
        <v>Nair P.P.; Sarkar A.; Biswas S.</v>
      </c>
      <c r="E281" s="7" t="str">
        <f>IFERROR(__xludf.DUMMYFUNCTION("""COMPUTED_VALUE"""),"Fault-Tolerant Real-Time Fair Scheduling on Multiprocessor Systems with Cold-Standby")</f>
        <v>Fault-Tolerant Real-Time Fair Scheduling on Multiprocessor Systems with Cold-Standby</v>
      </c>
      <c r="F281" s="7" t="str">
        <f>IFERROR(__xludf.DUMMYFUNCTION("""COMPUTED_VALUE"""),"TDSC")</f>
        <v>TDSC</v>
      </c>
      <c r="G281" s="7" t="str">
        <f>IFERROR(__xludf.DUMMYFUNCTION("""COMPUTED_VALUE"""),"The ability to maintain functional and temporal correctness in the presence of faults is a key requirement in many safety-critical embedded systems. This work proposes an efficient fault recovery mechanism for real-time multiprocessor systems scheduled us"&amp;"ing a low overhead, semi-partitioned optimal proportional fair scheduling technique. We assume a system that can handle a single permanent processor fault at any time, using cold back-ups (with pre-specified activation / recovery time subsequent to the de"&amp;"tection of a fault). As a result of the fault, the system may suffer transient overloads during such recovery periods, potentially leading to unacceptable fairness deviations and consequent rejections / early terminations of critical jobs. The proposed fa"&amp;"ult-tolerant scheduler, called Fault Tolerant Fair Scheduler (FT-FS), attempts to minimize such job terminations / rejections during recovery, by judiciously redistributing slacks accumulated by a subset of jobs, delivering more sustainable performance in"&amp;" the process. Experimental results reveal that the proposed FT-FS algorithm performs appreciably even under high system loads. Practical applicability of our proposed scheme has been illustrated using a case study on aircraft flight control system.  © 200"&amp;"4-2012 IEEE.")</f>
        <v>The ability to maintain functional and temporal correctness in the presence of faults is a key requirement in many safety-critical embedded systems. This work proposes an efficient fault recovery mechanism for real-time multiprocessor systems scheduled using a low overhead, semi-partitioned optimal proportional fair scheduling technique. We assume a system that can handle a single permanent processor fault at any time, using cold back-ups (with pre-specified activation / recovery time subsequent to the detection of a fault). As a result of the fault, the system may suffer transient overloads during such recovery periods, potentially leading to unacceptable fairness deviations and consequent rejections / early terminations of critical jobs. The proposed fault-tolerant scheduler, called Fault Tolerant Fair Scheduler (FT-FS), attempts to minimize such job terminations / rejections during recovery, by judiciously redistributing slacks accumulated by a subset of jobs, delivering more sustainable performance in the process. Experimental results reveal that the proposed FT-FS algorithm performs appreciably even under high system loads. Practical applicability of our proposed scheme has been illustrated using a case study on aircraft flight control system.  © 2004-2012 IEEE.</v>
      </c>
      <c r="H281" s="8" t="str">
        <f>IFERROR(__xludf.DUMMYFUNCTION("""COMPUTED_VALUE"""),"Deadline partitioning; fault-tolerance; proportional fairness; real-time; scheduling")</f>
        <v>Deadline partitioning; fault-tolerance; proportional fairness; real-time; scheduling</v>
      </c>
      <c r="I281" s="10" t="b">
        <v>0</v>
      </c>
      <c r="J281" s="10" t="b">
        <v>0</v>
      </c>
      <c r="K281" s="10" t="b">
        <v>0</v>
      </c>
      <c r="L281" s="10" t="b">
        <v>0</v>
      </c>
      <c r="M281" s="10" t="b">
        <v>0</v>
      </c>
      <c r="N281" s="10" t="b">
        <v>0</v>
      </c>
      <c r="O281" s="11" t="b">
        <f t="shared" si="1"/>
        <v>0</v>
      </c>
      <c r="P281" s="16" t="b">
        <v>0</v>
      </c>
      <c r="Q281" s="7"/>
    </row>
    <row r="282">
      <c r="A282" s="5" t="b">
        <v>1</v>
      </c>
      <c r="B282" s="5" t="s">
        <v>320</v>
      </c>
      <c r="C282" s="6" t="str">
        <f>IFERROR(__xludf.DUMMYFUNCTION("""COMPUTED_VALUE"""),"10.1109/TDSC.2022.3204549")</f>
        <v>10.1109/TDSC.2022.3204549</v>
      </c>
      <c r="D282" s="7" t="str">
        <f>IFERROR(__xludf.DUMMYFUNCTION("""COMPUTED_VALUE"""),"Cui J.; Li B.; Zhong H.; Xu Y.; Liu L.")</f>
        <v>Cui J.; Li B.; Zhong H.; Xu Y.; Liu L.</v>
      </c>
      <c r="E282" s="7" t="str">
        <f>IFERROR(__xludf.DUMMYFUNCTION("""COMPUTED_VALUE"""),"Achieving Revocable Attribute Group-Based Encryption for Mobile Cloud Data: A Multi-Proxy Assisted Approach")</f>
        <v>Achieving Revocable Attribute Group-Based Encryption for Mobile Cloud Data: A Multi-Proxy Assisted Approach</v>
      </c>
      <c r="F282" s="7" t="str">
        <f>IFERROR(__xludf.DUMMYFUNCTION("""COMPUTED_VALUE"""),"TDSC")</f>
        <v>TDSC</v>
      </c>
      <c r="G282" s="7" t="str">
        <f>IFERROR(__xludf.DUMMYFUNCTION("""COMPUTED_VALUE"""),"Although proxy-assisted revocable attribute-based encryption provides fine-grained privacy protection and reduces the decryption cost of data users, it inherits several disadvantages in outsourcing decryption. The decryption capability in outsourcing decr"&amp;"yption is divided into two parts: the outsourcing transformation key and the user decryption key. The proxy server utilizes transformation keys to transform the ciphertext which can only be decrypted by the users who generated the transformation key. When"&amp;" multiple users with the same attributes request outsourcing transformation, the proxy server must do numerous transformation operations, increasing the computing overhead of the proxy server and the user request response time. To address the aforemention"&amp;"ed issues, we propose a multi-proxy assisted revocable attribute group-based encryption (MP-RAGBE) scheme. We form a user group out of users who have the same attributes and send the transformation keys directly to the proxy server. Users in the same grou"&amp;"p can decrypt the transformed ciphertext, and only a small number of transformation keys need to be updated when revocation occurs. The security and experimental analyses show that the proposed scheme meets the defined security requirements while signific"&amp;"antly reducing user request response time, the overhead of transformation key generation, transmission, and ciphertext transformation.  © 2004-2012 IEEE.")</f>
        <v>Although proxy-assisted revocable attribute-based encryption provides fine-grained privacy protection and reduces the decryption cost of data users, it inherits several disadvantages in outsourcing decryption. The decryption capability in outsourcing decryption is divided into two parts: the outsourcing transformation key and the user decryption key. The proxy server utilizes transformation keys to transform the ciphertext which can only be decrypted by the users who generated the transformation key. When multiple users with the same attributes request outsourcing transformation, the proxy server must do numerous transformation operations, increasing the computing overhead of the proxy server and the user request response time. To address the aforementioned issues, we propose a multi-proxy assisted revocable attribute group-based encryption (MP-RAGBE) scheme. We form a user group out of users who have the same attributes and send the transformation keys directly to the proxy server. Users in the same group can decrypt the transformed ciphertext, and only a small number of transformation keys need to be updated when revocation occurs. The security and experimental analyses show that the proposed scheme meets the defined security requirements while significantly reducing user request response time, the overhead of transformation key generation, transmission, and ciphertext transformation.  © 2004-2012 IEEE.</v>
      </c>
      <c r="H282" s="8" t="str">
        <f>IFERROR(__xludf.DUMMYFUNCTION("""COMPUTED_VALUE"""),"attribute-based encryption; mobile cloud system; outsourcing decryption; Proxy-assisted; user revocation")</f>
        <v>attribute-based encryption; mobile cloud system; outsourcing decryption; Proxy-assisted; user revocation</v>
      </c>
      <c r="I282" s="10" t="b">
        <v>0</v>
      </c>
      <c r="J282" s="10" t="b">
        <v>0</v>
      </c>
      <c r="K282" s="10" t="b">
        <v>0</v>
      </c>
      <c r="L282" s="10" t="b">
        <v>0</v>
      </c>
      <c r="M282" s="10" t="b">
        <v>0</v>
      </c>
      <c r="N282" s="10" t="b">
        <v>0</v>
      </c>
      <c r="O282" s="11" t="b">
        <f t="shared" si="1"/>
        <v>0</v>
      </c>
      <c r="P282" s="16" t="b">
        <v>0</v>
      </c>
      <c r="Q282" s="7"/>
    </row>
    <row r="283">
      <c r="A283" s="5" t="b">
        <v>1</v>
      </c>
      <c r="B283" s="5" t="s">
        <v>321</v>
      </c>
      <c r="C283" s="6" t="str">
        <f>IFERROR(__xludf.DUMMYFUNCTION("""COMPUTED_VALUE"""),"10.1109/TDSC.2022.3169705")</f>
        <v>10.1109/TDSC.2022.3169705</v>
      </c>
      <c r="D283" s="7" t="str">
        <f>IFERROR(__xludf.DUMMYFUNCTION("""COMPUTED_VALUE"""),"Zhang X.; Yu S.; Zhou H.; Huang P.; Guo L.; Li M.")</f>
        <v>Zhang X.; Yu S.; Zhou H.; Huang P.; Guo L.; Li M.</v>
      </c>
      <c r="E283" s="7" t="str">
        <f>IFERROR(__xludf.DUMMYFUNCTION("""COMPUTED_VALUE"""),"Signal Emulation Attack and Defense for Smart Home IoT")</f>
        <v>Signal Emulation Attack and Defense for Smart Home IoT</v>
      </c>
      <c r="F283" s="7" t="str">
        <f>IFERROR(__xludf.DUMMYFUNCTION("""COMPUTED_VALUE"""),"TDSC")</f>
        <v>TDSC</v>
      </c>
      <c r="G283" s="7" t="str">
        <f>IFERROR(__xludf.DUMMYFUNCTION("""COMPUTED_VALUE"""),"Internet of Things (IoT) is transforming every corner of our daily life and plays important roles in the smart home. Depending on different requirements on wireless transmission, dedicated wireless protocols have been adopted on various types of IoT devic"&amp;"es. Recent advances in Cross-Technology Communication (CTC) enable direct communication across those wireless protocols, which will greatly improve the spectrum utilization efficiency. However, it incurs serious security concerns on heterogeneous IoT devi"&amp;"ces. In this paper, we identify a new physical-layer attack, cross-technology signal emulation attack, where a WiFi device eavesdrops a ZigBee packet on the fly, and further manipulates the ZigBee device by emulating a ZigBee signal. To defend against thi"&amp;"s attack, we propose two defense strategies with the help of an anchor. Particularly, the passive defense strategy focuses on misleading the ZigBee signal eavesdropping, while the proactive approach develops a real-time detection mechanism on distinguishi"&amp;"ng between a common ZigBee signal and an emulated signal. We implement the complete attacking process and defense strategies with TI CC26x2R LaunchPad, USRP-N210 platform, and smart LED light bulbs, as well as a self-designed prototype, where a general li"&amp;"ght bulb can be turned on/off by a Nexus 5 smartphone directly. Extensive experiments have demonstrated the existence of the attack, and the feasibility, effectiveness, and accuracy of the proposed defense strategies. © 2004-2012 IEEE.")</f>
        <v>Internet of Things (IoT) is transforming every corner of our daily life and plays important roles in the smart home. Depending on different requirements on wireless transmission, dedicated wireless protocols have been adopted on various types of IoT devices. Recent advances in Cross-Technology Communication (CTC) enable direct communication across those wireless protocols, which will greatly improve the spectrum utilization efficiency. However, it incurs serious security concerns on heterogeneous IoT devices. In this paper, we identify a new physical-layer attack, cross-technology signal emulation attack, where a WiFi device eavesdrops a ZigBee packet on the fly, and further manipulates the ZigBee device by emulating a ZigBee signal. To defend against this attack, we propose two defense strategies with the help of an anchor. Particularly, the passive defense strategy focuses on misleading the ZigBee signal eavesdropping, while the proactive approach develops a real-time detection mechanism on distinguishing between a common ZigBee signal and an emulated signal. We implement the complete attacking process and defense strategies with TI CC26x2R LaunchPad, USRP-N210 platform, and smart LED light bulbs, as well as a self-designed prototype, where a general light bulb can be turned on/off by a Nexus 5 smartphone directly. Extensive experiments have demonstrated the existence of the attack, and the feasibility, effectiveness, and accuracy of the proposed defense strategies. © 2004-2012 IEEE.</v>
      </c>
      <c r="H283" s="8" t="str">
        <f>IFERROR(__xludf.DUMMYFUNCTION("""COMPUTED_VALUE"""),"cross-technology communication; Internet of Things; signal emulation attack")</f>
        <v>cross-technology communication; Internet of Things; signal emulation attack</v>
      </c>
      <c r="I283" s="10" t="b">
        <v>0</v>
      </c>
      <c r="J283" s="10" t="b">
        <v>0</v>
      </c>
      <c r="K283" s="10" t="b">
        <v>0</v>
      </c>
      <c r="L283" s="10" t="b">
        <v>0</v>
      </c>
      <c r="M283" s="10" t="b">
        <v>0</v>
      </c>
      <c r="N283" s="10" t="b">
        <v>0</v>
      </c>
      <c r="O283" s="11" t="b">
        <f t="shared" si="1"/>
        <v>0</v>
      </c>
      <c r="P283" s="16" t="b">
        <v>0</v>
      </c>
      <c r="Q283" s="7"/>
    </row>
    <row r="284">
      <c r="A284" s="5" t="b">
        <v>1</v>
      </c>
      <c r="B284" s="5" t="s">
        <v>322</v>
      </c>
      <c r="C284" s="6" t="str">
        <f>IFERROR(__xludf.DUMMYFUNCTION("""COMPUTED_VALUE"""),"10.1109/TDSC.2021.3127630")</f>
        <v>10.1109/TDSC.2021.3127630</v>
      </c>
      <c r="D284" s="7" t="str">
        <f>IFERROR(__xludf.DUMMYFUNCTION("""COMPUTED_VALUE"""),"Du Y.; Sun Z.; Hu H.")</f>
        <v>Du Y.; Sun Z.; Hu H.</v>
      </c>
      <c r="E284" s="7" t="str">
        <f>IFERROR(__xludf.DUMMYFUNCTION("""COMPUTED_VALUE"""),"Security-Aware Collaboration Plan Recommendation for Dynamic Multiple Workflow Processes")</f>
        <v>Security-Aware Collaboration Plan Recommendation for Dynamic Multiple Workflow Processes</v>
      </c>
      <c r="F284" s="7" t="str">
        <f>IFERROR(__xludf.DUMMYFUNCTION("""COMPUTED_VALUE"""),"TDSC")</f>
        <v>TDSC</v>
      </c>
      <c r="G284" s="7" t="str">
        <f>IFERROR(__xludf.DUMMYFUNCTION("""COMPUTED_VALUE"""),"Currently, recommending collaboration plans of dynamic multiple workflow processes under security requirements or constraints has become a hot topic, as it not only can reduce the risk during execution, but also can avoid enormous financial loss caused by"&amp;" security breaches. However, the existing methods cannot solve the parametric problem caused by dynamic relations of multiple workflow processes or recommend an optimal collaboration plan because of erroneous information. In this article, we propose a new"&amp;" approach to recommend security-aware collaboration plans for multiple workflow processes with dynamic relations. First, we develop three basic computing patterns of dynamic relations and construct a parametric sprouting graph for multiple workflow proces"&amp;"ses with dynamic relations. Second, we present the procedure of recommending an optimal secure collaboration plan that satisfy security requirements. By comparison with the existing methods via two experiments, our approach not only can solve the parametr"&amp;"ic problem caused by dynamic relations of multiple workflow processes, but also can recommend an optimal secure collaboration plan under security requirements. © 2004-2012 IEEE.")</f>
        <v>Currently, recommending collaboration plans of dynamic multiple workflow processes under security requirements or constraints has become a hot topic, as it not only can reduce the risk during execution, but also can avoid enormous financial loss caused by security breaches. However, the existing methods cannot solve the parametric problem caused by dynamic relations of multiple workflow processes or recommend an optimal collaboration plan because of erroneous information. In this article, we propose a new approach to recommend security-aware collaboration plans for multiple workflow processes with dynamic relations. First, we develop three basic computing patterns of dynamic relations and construct a parametric sprouting graph for multiple workflow processes with dynamic relations. Second, we present the procedure of recommending an optimal secure collaboration plan that satisfy security requirements. By comparison with the existing methods via two experiments, our approach not only can solve the parametric problem caused by dynamic relations of multiple workflow processes, but also can recommend an optimal secure collaboration plan under security requirements. © 2004-2012 IEEE.</v>
      </c>
      <c r="H284" s="8" t="str">
        <f>IFERROR(__xludf.DUMMYFUNCTION("""COMPUTED_VALUE"""),"collaboration plan; Dynamic relation; Petri nets; security requirement; sprouting graph")</f>
        <v>collaboration plan; Dynamic relation; Petri nets; security requirement; sprouting graph</v>
      </c>
      <c r="I284" s="10" t="b">
        <v>0</v>
      </c>
      <c r="J284" s="10" t="b">
        <v>0</v>
      </c>
      <c r="K284" s="10" t="b">
        <v>0</v>
      </c>
      <c r="L284" s="10" t="b">
        <v>0</v>
      </c>
      <c r="M284" s="10" t="b">
        <v>0</v>
      </c>
      <c r="N284" s="10" t="b">
        <v>0</v>
      </c>
      <c r="O284" s="11" t="b">
        <f t="shared" si="1"/>
        <v>0</v>
      </c>
      <c r="P284" s="16" t="b">
        <v>0</v>
      </c>
      <c r="Q284" s="7"/>
    </row>
    <row r="285">
      <c r="A285" s="5" t="b">
        <v>1</v>
      </c>
      <c r="B285" s="5" t="s">
        <v>323</v>
      </c>
      <c r="C285" s="6" t="str">
        <f>IFERROR(__xludf.DUMMYFUNCTION("""COMPUTED_VALUE"""),"10.1109/TDSC.2020.3012100")</f>
        <v>10.1109/TDSC.2020.3012100</v>
      </c>
      <c r="D285" s="7" t="str">
        <f>IFERROR(__xludf.DUMMYFUNCTION("""COMPUTED_VALUE"""),"Ferreira B.; Portela B.; Oliveira T.; Borges G.; Domingos H.; Leitao J.")</f>
        <v>Ferreira B.; Portela B.; Oliveira T.; Borges G.; Domingos H.; Leitao J.</v>
      </c>
      <c r="E285" s="7" t="str">
        <f>IFERROR(__xludf.DUMMYFUNCTION("""COMPUTED_VALUE"""),"Boolean Searchable Symmetric Encryption with Filters on Trusted Hardware")</f>
        <v>Boolean Searchable Symmetric Encryption with Filters on Trusted Hardware</v>
      </c>
      <c r="F285" s="7" t="str">
        <f>IFERROR(__xludf.DUMMYFUNCTION("""COMPUTED_VALUE"""),"TDSC")</f>
        <v>TDSC</v>
      </c>
      <c r="G285" s="7" t="str">
        <f>IFERROR(__xludf.DUMMYFUNCTION("""COMPUTED_VALUE"""),"The prevalence and availability of cloud infrastructures has made them the de facto solution for storing and archiving data, both for organizations and individual users. Nonetheless, the cloud's wide spread adoption is still hindered by dependability and "&amp;"security concerns, particularly in applications with large data collections where efficient search and retrieval services are also major requirements. This leads to an increased tension between security, efficiency, and search expressiveness. In this arti"&amp;"cle we tackle this tension by proposing BISEN, a new provably-secure boolean searchable symmetric encryption scheme that improves these three complementary dimensions by exploring the design space of isolation guarantees offered by novel commodity hardwar"&amp;"e such as Intel SGX, abstracted as Isolated Execution Environments (IEEs). BISEN is the first scheme to support multiple users and enable highly expressive and arbitrarily complex boolean queries, with minimal information leakage regarding performed queri"&amp;"es and accessed data, and verifiability regarding fully malicious adversaries. Furthermore, BISEN extends the traditional SSE model to support filter functions on search results based on generic metadata created by the users. Experimental validation and c"&amp;"omparison with the state of art shows that BISEN provides better performance with enriched search semantics and security properties. © 2004-2012 IEEE.")</f>
        <v>The prevalence and availability of cloud infrastructures has made them the de facto solution for storing and archiving data, both for organizations and individual users. Nonetheless, the cloud's wide spread adoption is still hindered by dependability and security concerns, particularly in applications with large data collections where efficient search and retrieval services are also major requirements. This leads to an increased tension between security, efficiency, and search expressiveness. In this article we tackle this tension by proposing BISEN, a new provably-secure boolean searchable symmetric encryption scheme that improves these three complementary dimensions by exploring the design space of isolation guarantees offered by novel commodity hardware such as Intel SGX, abstracted as Isolated Execution Environments (IEEs). BISEN is the first scheme to support multiple users and enable highly expressive and arbitrarily complex boolean queries, with minimal information leakage regarding performed queries and accessed data, and verifiability regarding fully malicious adversaries. Furthermore, BISEN extends the traditional SSE model to support filter functions on search results based on generic metadata created by the users. Experimental validation and comparison with the state of art shows that BISEN provides better performance with enriched search semantics and security properties. © 2004-2012 IEEE.</v>
      </c>
      <c r="H285" s="8" t="str">
        <f>IFERROR(__xludf.DUMMYFUNCTION("""COMPUTED_VALUE"""),"distributed systems; Intel SGX; provable security; Searchable encryption; secure databases")</f>
        <v>distributed systems; Intel SGX; provable security; Searchable encryption; secure databases</v>
      </c>
      <c r="I285" s="10" t="b">
        <v>0</v>
      </c>
      <c r="J285" s="10" t="b">
        <v>0</v>
      </c>
      <c r="K285" s="10" t="b">
        <v>0</v>
      </c>
      <c r="L285" s="10" t="b">
        <v>0</v>
      </c>
      <c r="M285" s="10" t="b">
        <v>0</v>
      </c>
      <c r="N285" s="10" t="b">
        <v>0</v>
      </c>
      <c r="O285" s="11" t="b">
        <f t="shared" si="1"/>
        <v>0</v>
      </c>
      <c r="P285" s="16" t="b">
        <v>0</v>
      </c>
      <c r="Q285" s="7"/>
    </row>
    <row r="286">
      <c r="A286" s="5" t="b">
        <v>1</v>
      </c>
      <c r="B286" s="5" t="s">
        <v>324</v>
      </c>
      <c r="C286" s="6" t="str">
        <f>IFERROR(__xludf.DUMMYFUNCTION("""COMPUTED_VALUE"""),"10.1109/TDSC.2023.3317806")</f>
        <v>10.1109/TDSC.2023.3317806</v>
      </c>
      <c r="D286" s="7" t="str">
        <f>IFERROR(__xludf.DUMMYFUNCTION("""COMPUTED_VALUE"""),"Oqaily M.; Kabir M.E.; Majumdar S.; Jarraya Y.; Zhang M.; Pourzandi M.; Wang L.; Debbabi M.")</f>
        <v>Oqaily M.; Kabir M.E.; Majumdar S.; Jarraya Y.; Zhang M.; Pourzandi M.; Wang L.; Debbabi M.</v>
      </c>
      <c r="E286" s="7" t="str">
        <f>IFERROR(__xludf.DUMMYFUNCTION("""COMPUTED_VALUE"""),"&lt;italic&gt;iCAT+&lt;/italic&gt;: An &lt;italic&gt;Interactive&lt;/italic&gt; &lt;italic&gt;Customizable&lt;/italic&gt; &lt;italic&gt;Anonymization&lt;/italic&gt; &lt;italic&gt;Tool&lt;/italic&gt; using Automated Translation through Deep Learning")</f>
        <v>&lt;italic&gt;iCAT+&lt;/italic&gt;: An &lt;italic&gt;Interactive&lt;/italic&gt; &lt;italic&gt;Customizable&lt;/italic&gt; &lt;italic&gt;Anonymization&lt;/italic&gt; &lt;italic&gt;Tool&lt;/italic&gt; using Automated Translation through Deep Learning</v>
      </c>
      <c r="F286" s="7" t="str">
        <f>IFERROR(__xludf.DUMMYFUNCTION("""COMPUTED_VALUE"""),"TDSC")</f>
        <v>TDSC</v>
      </c>
      <c r="G286" s="7" t="str">
        <f>IFERROR(__xludf.DUMMYFUNCTION("""COMPUTED_VALUE"""),"Data anonymization is a viable solution for data owners to mitigate their privacy concerns. However, existing data anonymization tools are inflexible to support various privacy and utility requirements of both data owners and data users. In most cases, th"&amp;"is limitation is due to a lack of understanding of those requirements as well as the non-customizability of the existing tools. To address this limitation, we propose &lt;italic&gt;iCAT+&lt;/italic&gt;, which is an interactive and customizable anonymization approach."&amp;" More specifically, we first automate the interpretation of data owners&amp;#x0027; and data users&amp;#x0027; textual requirements by deploying a Convolutional Neural Network (CNN) model for Natural Language Processing (NLP). Second, we introduce the concept of "&amp;"the &lt;italic&gt;anonymization space&lt;/italic&gt; to model possible combinations of per-attribute anonymization primitives based on the level of privacy and utility that each primitive provides. Third, we design an ontology model that maps the translated requireme"&amp;"nts into their appropriate anonymization primitives in the defined anonymization space corresponding to the plain data. Fourth, we evaluate the efficiency and effectiveness of &lt;italic&gt;iCAT+&lt;/italic&gt; based on both real and synthetic network data. Finally, "&amp;"we assess its usability through a real user study involving participants from industry and research laboratories. Our experiments show the effectiveness and efficiency of our solution (e.g., requirement translation accuracy of 99&amp;#x0025; at the data owner"&amp;" side and 98&amp;#x0025; at the data user side, with a computational time of around one minute for the Google cluster dataset). IEEE")</f>
        <v>Data anonymization is a viable solution for data owners to mitigate their privacy concerns. However, existing data anonymization tools are inflexible to support various privacy and utility requirements of both data owners and data users. In most cases, this limitation is due to a lack of understanding of those requirements as well as the non-customizability of the existing tools. To address this limitation, we propose &lt;italic&gt;iCAT+&lt;/italic&gt;, which is an interactive and customizable anonymization approach. More specifically, we first automate the interpretation of data owners&amp;#x0027; and data users&amp;#x0027; textual requirements by deploying a Convolutional Neural Network (CNN) model for Natural Language Processing (NLP). Second, we introduce the concept of the &lt;italic&gt;anonymization space&lt;/italic&gt; to model possible combinations of per-attribute anonymization primitives based on the level of privacy and utility that each primitive provides. Third, we design an ontology model that maps the translated requirements into their appropriate anonymization primitives in the defined anonymization space corresponding to the plain data. Fourth, we evaluate the efficiency and effectiveness of &lt;italic&gt;iCAT+&lt;/italic&gt; based on both real and synthetic network data. Finally, we assess its usability through a real user study involving participants from industry and research laboratories. Our experiments show the effectiveness and efficiency of our solution (e.g., requirement translation accuracy of 99&amp;#x0025; at the data owner side and 98&amp;#x0025; at the data user side, with a computational time of around one minute for the Google cluster dataset). IEEE</v>
      </c>
      <c r="H286" s="8" t="str">
        <f>IFERROR(__xludf.DUMMYFUNCTION("""COMPUTED_VALUE"""),"anonymization space; Convolutional neural networks; Data models; Data privacy; deep learning; Information filtering; Information integrity; Network data anonymization; Privacy; property-preserving anonymization; requirement translation; Task analysis")</f>
        <v>anonymization space; Convolutional neural networks; Data models; Data privacy; deep learning; Information filtering; Information integrity; Network data anonymization; Privacy; property-preserving anonymization; requirement translation; Task analysis</v>
      </c>
      <c r="I286" s="10" t="b">
        <v>0</v>
      </c>
      <c r="J286" s="10" t="b">
        <v>0</v>
      </c>
      <c r="K286" s="10" t="b">
        <v>0</v>
      </c>
      <c r="L286" s="10" t="b">
        <v>0</v>
      </c>
      <c r="M286" s="10" t="b">
        <v>0</v>
      </c>
      <c r="N286" s="10" t="b">
        <v>0</v>
      </c>
      <c r="O286" s="11" t="b">
        <f t="shared" si="1"/>
        <v>0</v>
      </c>
      <c r="P286" s="16" t="b">
        <v>0</v>
      </c>
      <c r="Q286" s="7"/>
    </row>
    <row r="287">
      <c r="A287" s="5" t="b">
        <v>1</v>
      </c>
      <c r="B287" s="5" t="s">
        <v>325</v>
      </c>
      <c r="C287" s="6" t="str">
        <f>IFERROR(__xludf.DUMMYFUNCTION("""COMPUTED_VALUE"""),"10.1109/TDSC.2022.3203043")</f>
        <v>10.1109/TDSC.2022.3203043</v>
      </c>
      <c r="D287" s="7" t="str">
        <f>IFERROR(__xludf.DUMMYFUNCTION("""COMPUTED_VALUE"""),"Xie M.; Lin Y.; Luo C.; Peng G.; Fu J.")</f>
        <v>Xie M.; Lin Y.; Luo C.; Peng G.; Fu J.</v>
      </c>
      <c r="E287" s="7" t="str">
        <f>IFERROR(__xludf.DUMMYFUNCTION("""COMPUTED_VALUE"""),"PointerScope: Understanding Pointer Patching for Code Randomization")</f>
        <v>PointerScope: Understanding Pointer Patching for Code Randomization</v>
      </c>
      <c r="F287" s="7" t="str">
        <f>IFERROR(__xludf.DUMMYFUNCTION("""COMPUTED_VALUE"""),"TDSC")</f>
        <v>TDSC</v>
      </c>
      <c r="G287" s="7" t="str">
        <f>IFERROR(__xludf.DUMMYFUNCTION("""COMPUTED_VALUE"""),"Various fine-grained randomization schemes have been designed to increase the entropy of process space, while none of them can rise from an academic exercise to industrial deployment like Address Space Layout Randomization (ASLR). One of the critical reas"&amp;"ons is the incorrectness of randomization caused by the mismatch between their pointer collection capabilities and the high accuracy requirements of the pointer patching task. In this article, we present PointerScope, an accurate compile-time pointer coll"&amp;"ection scheme deriving from a group of novel observations. The success of PointerScope relies on the complete tracing of the pointer generation process, including the compilation chain from compiler to static linker and the interface specification between"&amp;" them. From this view, PointerScope identifies four types of pointer-related static linker behaviors and clarifies five types of inherent addressing modes in the x86-64 architecture. The vague understanding of them causes the Compiler-assisted Code Random"&amp;"ization (CCR) to incorrectly collect pointers and patch them to the wrong values after randomization. Further, we measure the pointer collection capability of augmented binary analysis, the experimental results show that they can mitigate challenges from "&amp;"the traditional binary analysis by the given premises, but additional heuristics still need to be designed to support the fine-grained randomization.  © 2004-2012 IEEE.")</f>
        <v>Various fine-grained randomization schemes have been designed to increase the entropy of process space, while none of them can rise from an academic exercise to industrial deployment like Address Space Layout Randomization (ASLR). One of the critical reasons is the incorrectness of randomization caused by the mismatch between their pointer collection capabilities and the high accuracy requirements of the pointer patching task. In this article, we present PointerScope, an accurate compile-time pointer collection scheme deriving from a group of novel observations. The success of PointerScope relies on the complete tracing of the pointer generation process, including the compilation chain from compiler to static linker and the interface specification between them. From this view, PointerScope identifies four types of pointer-related static linker behaviors and clarifies five types of inherent addressing modes in the x86-64 architecture. The vague understanding of them causes the Compiler-assisted Code Randomization (CCR) to incorrectly collect pointers and patch them to the wrong values after randomization. Further, we measure the pointer collection capability of augmented binary analysis, the experimental results show that they can mitigate challenges from the traditional binary analysis by the given premises, but additional heuristics still need to be designed to support the fine-grained randomization.  © 2004-2012 IEEE.</v>
      </c>
      <c r="H287" s="8" t="str">
        <f>IFERROR(__xludf.DUMMYFUNCTION("""COMPUTED_VALUE"""),"addressing mode; binary rewriting; Code randomization; pointer patching")</f>
        <v>addressing mode; binary rewriting; Code randomization; pointer patching</v>
      </c>
      <c r="I287" s="10" t="b">
        <v>0</v>
      </c>
      <c r="J287" s="10" t="b">
        <v>0</v>
      </c>
      <c r="K287" s="10" t="b">
        <v>0</v>
      </c>
      <c r="L287" s="10" t="b">
        <v>0</v>
      </c>
      <c r="M287" s="10" t="b">
        <v>0</v>
      </c>
      <c r="N287" s="10" t="b">
        <v>0</v>
      </c>
      <c r="O287" s="11" t="b">
        <f t="shared" si="1"/>
        <v>0</v>
      </c>
      <c r="P287" s="16" t="b">
        <v>0</v>
      </c>
      <c r="Q287" s="7"/>
    </row>
    <row r="288">
      <c r="A288" s="5" t="b">
        <v>1</v>
      </c>
      <c r="B288" s="5" t="s">
        <v>326</v>
      </c>
      <c r="C288" s="6" t="str">
        <f>IFERROR(__xludf.DUMMYFUNCTION("""COMPUTED_VALUE"""),"10.1109/TDSC.2021.3074327")</f>
        <v>10.1109/TDSC.2021.3074327</v>
      </c>
      <c r="D288" s="7" t="str">
        <f>IFERROR(__xludf.DUMMYFUNCTION("""COMPUTED_VALUE"""),"Zhu X.; Ayday E.; Vitenberg R.; Veeraragavan N.R.")</f>
        <v>Zhu X.; Ayday E.; Vitenberg R.; Veeraragavan N.R.</v>
      </c>
      <c r="E288" s="7" t="str">
        <f>IFERROR(__xludf.DUMMYFUNCTION("""COMPUTED_VALUE"""),"Privacy-Preserving Search for a Similar Genomic Makeup in the Cloud")</f>
        <v>Privacy-Preserving Search for a Similar Genomic Makeup in the Cloud</v>
      </c>
      <c r="F288" s="7" t="str">
        <f>IFERROR(__xludf.DUMMYFUNCTION("""COMPUTED_VALUE"""),"TDSC")</f>
        <v>TDSC</v>
      </c>
      <c r="G288" s="7" t="str">
        <f>IFERROR(__xludf.DUMMYFUNCTION("""COMPUTED_VALUE"""),"Increasing affordability of genome sequencing and, as a consequence, widespread availability of genomic data opens up new opportunities for the field of medicine, as also evident from the emergence of popular cloud-based offerings in this area, such as Go"&amp;"ogle Genomics [1]. To utilize this data more efficiently, it is crucial that different entities share their data with each other. However, such data sharing is risky mainly due to privacy concerns. In this article, we attempt to provide a privacy-preservi"&amp;"ng and efficient solution for the 'similar patient search' problem among several parties (e.g., hospitals) by addressing the shortcomings of previous attempts. We consider a scenario in which each hospital has its own genomic dataset and the goal of a phy"&amp;"sician (or researcher) is to search for a patient similar to a given one (based on a genomic makeup) among all the hospitals in the system. To enable this search, we propose a hierarchical index structure to index each hospital's dataset with low memory r"&amp;"equirement. Furthermore, we develop a novel privacy-preserving index merging mechanism that generates a common search index from individual indices of each hospital to significantly improve the search efficiency. We also consider the storage of medical in"&amp;"formation associated with genomic data of a patient (e.g., diagnosis and treatment). We allow access to this information via a fine-grained access control policy that we develop through the combination of standard symmetric encryption and ciphertext polic"&amp;"y attribute-based encryption. Using this mechanism, a physician can search for similar patients and obtain medical information about the matching records if the access policy holds. We conduct experiments on large-scale genomic data and show the high effi"&amp;"ciency of the proposed scheme. © 2004-2012 IEEE.")</f>
        <v>Increasing affordability of genome sequencing and, as a consequence, widespread availability of genomic data opens up new opportunities for the field of medicine, as also evident from the emergence of popular cloud-based offerings in this area, such as Google Genomics [1]. To utilize this data more efficiently, it is crucial that different entities share their data with each other. However, such data sharing is risky mainly due to privacy concerns. In this article, we attempt to provide a privacy-preserving and efficient solution for the 'similar patient search' problem among several parties (e.g., hospitals) by addressing the shortcomings of previous attempts. We consider a scenario in which each hospital has its own genomic dataset and the goal of a physician (or researcher) is to search for a patient similar to a given one (based on a genomic makeup) among all the hospitals in the system. To enable this search, we propose a hierarchical index structure to index each hospital's dataset with low memory requirement. Furthermore, we develop a novel privacy-preserving index merging mechanism that generates a common search index from individual indices of each hospital to significantly improve the search efficiency. We also consider the storage of medical information associated with genomic data of a patient (e.g., diagnosis and treatment). We allow access to this information via a fine-grained access control policy that we develop through the combination of standard symmetric encryption and ciphertext policy attribute-based encryption. Using this mechanism, a physician can search for similar patients and obtain medical information about the matching records if the access policy holds. We conduct experiments on large-scale genomic data and show the high efficiency of the proposed scheme. © 2004-2012 IEEE.</v>
      </c>
      <c r="H288" s="8" t="str">
        <f>IFERROR(__xludf.DUMMYFUNCTION("""COMPUTED_VALUE"""),"dataset outsourcing; Genome privacy; similar patient search")</f>
        <v>dataset outsourcing; Genome privacy; similar patient search</v>
      </c>
      <c r="I288" s="10" t="b">
        <v>0</v>
      </c>
      <c r="J288" s="10" t="b">
        <v>0</v>
      </c>
      <c r="K288" s="10" t="b">
        <v>0</v>
      </c>
      <c r="L288" s="10" t="b">
        <v>0</v>
      </c>
      <c r="M288" s="10" t="b">
        <v>0</v>
      </c>
      <c r="N288" s="10" t="b">
        <v>0</v>
      </c>
      <c r="O288" s="11" t="b">
        <f t="shared" si="1"/>
        <v>0</v>
      </c>
      <c r="P288" s="16" t="b">
        <v>0</v>
      </c>
      <c r="Q288" s="7"/>
    </row>
    <row r="289">
      <c r="A289" s="5" t="b">
        <v>1</v>
      </c>
      <c r="B289" s="5" t="s">
        <v>327</v>
      </c>
      <c r="C289" s="6" t="str">
        <f>IFERROR(__xludf.DUMMYFUNCTION("""COMPUTED_VALUE"""),"10.1109/TDSC.2018.2793923")</f>
        <v>10.1109/TDSC.2018.2793923</v>
      </c>
      <c r="D289" s="7" t="str">
        <f>IFERROR(__xludf.DUMMYFUNCTION("""COMPUTED_VALUE"""),"Huang Y.; Zhang J.; Pan L.; Xiang Y.")</f>
        <v>Huang Y.; Zhang J.; Pan L.; Xiang Y.</v>
      </c>
      <c r="E289" s="7" t="str">
        <f>IFERROR(__xludf.DUMMYFUNCTION("""COMPUTED_VALUE"""),"Privacy Protection in Interactive Content Based Image Retrieval")</f>
        <v>Privacy Protection in Interactive Content Based Image Retrieval</v>
      </c>
      <c r="F289" s="7" t="str">
        <f>IFERROR(__xludf.DUMMYFUNCTION("""COMPUTED_VALUE"""),"TDSC")</f>
        <v>TDSC</v>
      </c>
      <c r="G289" s="7" t="str">
        <f>IFERROR(__xludf.DUMMYFUNCTION("""COMPUTED_VALUE"""),"Privacy protection in Content Based Image Retrieval (CBIR) is a new research topic in cyber security and privacy. The state-of-art CBIR systems usually adopt interactive mechanism, namely relevance feedback, to enhance the retrieval precision. How to prot"&amp;"ect the user's privacy in such Relevance Feedback based CBIR (RF-CBIR) is a challenge problem. In this paper, we investigate this problem and propose a new Private Relevance Feedback CBIR (PRF-CBIR) scheme. PRF-CBIR can leverage the performance gain of re"&amp;"levance feedback and preserve the user's search intention at the same time. The new PRF-CBIR consists of three stages: 1) private query; 2) private feedback; 3) local retrieval. Private query performs the initial query with a privacy controllable feature "&amp;"vector; private feedback constructs the feedback image set by introducing confusing classes following the K-anonymity principle; local retrieval finally re-ranks the images in the user side. Privacy analysis shows that PRF-CBIR fulfills the privacy requir"&amp;"ements. The experiments carried out on the real-world image collection confirm the effectiveness of the proposed PRF-CBIR scheme. © 2004-2012 IEEE.")</f>
        <v>Privacy protection in Content Based Image Retrieval (CBIR) is a new research topic in cyber security and privacy. The state-of-art CBIR systems usually adopt interactive mechanism, namely relevance feedback, to enhance the retrieval precision. How to protect the user's privacy in such Relevance Feedback based CBIR (RF-CBIR) is a challenge problem. In this paper, we investigate this problem and propose a new Private Relevance Feedback CBIR (PRF-CBIR) scheme. PRF-CBIR can leverage the performance gain of relevance feedback and preserve the user's search intention at the same time. The new PRF-CBIR consists of three stages: 1) private query; 2) private feedback; 3) local retrieval. Private query performs the initial query with a privacy controllable feature vector; private feedback constructs the feedback image set by introducing confusing classes following the K-anonymity principle; local retrieval finally re-ranks the images in the user side. Privacy analysis shows that PRF-CBIR fulfills the privacy requirements. The experiments carried out on the real-world image collection confirm the effectiveness of the proposed PRF-CBIR scheme. © 2004-2012 IEEE.</v>
      </c>
      <c r="H289" s="8" t="str">
        <f>IFERROR(__xludf.DUMMYFUNCTION("""COMPUTED_VALUE"""),"CBIR; Image privacy; K-anonymity; Relevance feedback")</f>
        <v>CBIR; Image privacy; K-anonymity; Relevance feedback</v>
      </c>
      <c r="I289" s="10" t="b">
        <v>0</v>
      </c>
      <c r="J289" s="10" t="b">
        <v>0</v>
      </c>
      <c r="K289" s="10" t="b">
        <v>0</v>
      </c>
      <c r="L289" s="10" t="b">
        <v>0</v>
      </c>
      <c r="M289" s="10" t="b">
        <v>0</v>
      </c>
      <c r="N289" s="10" t="b">
        <v>0</v>
      </c>
      <c r="O289" s="11" t="b">
        <f t="shared" si="1"/>
        <v>0</v>
      </c>
      <c r="P289" s="16" t="b">
        <v>0</v>
      </c>
      <c r="Q289" s="7"/>
    </row>
    <row r="290">
      <c r="A290" s="5" t="b">
        <v>1</v>
      </c>
      <c r="B290" s="5" t="s">
        <v>328</v>
      </c>
      <c r="C290" s="6" t="str">
        <f>IFERROR(__xludf.DUMMYFUNCTION("""COMPUTED_VALUE"""),"10.1109/TDSC.2020.2998682")</f>
        <v>10.1109/TDSC.2020.2998682</v>
      </c>
      <c r="D290" s="7" t="str">
        <f>IFERROR(__xludf.DUMMYFUNCTION("""COMPUTED_VALUE"""),"Jia Y.; Sun S.-F.; Zhang Y.; Zhang Q.; Ding N.; Liu Z.; Liu J.K.; Gu D.")</f>
        <v>Jia Y.; Sun S.-F.; Zhang Y.; Zhang Q.; Ding N.; Liu Z.; Liu J.K.; Gu D.</v>
      </c>
      <c r="E290" s="7" t="str">
        <f>IFERROR(__xludf.DUMMYFUNCTION("""COMPUTED_VALUE"""),"PBT: A New Privacy-Preserving Payment Protocol for Blockchain Transactions")</f>
        <v>PBT: A New Privacy-Preserving Payment Protocol for Blockchain Transactions</v>
      </c>
      <c r="F290" s="7" t="str">
        <f>IFERROR(__xludf.DUMMYFUNCTION("""COMPUTED_VALUE"""),"TDSC")</f>
        <v>TDSC</v>
      </c>
      <c r="G290" s="7" t="str">
        <f>IFERROR(__xludf.DUMMYFUNCTION("""COMPUTED_VALUE"""),"Ring confidential transaction (RingCT) protocol is widely used in cryptocurrency to protect the privacy of both users' identities and transaction amounts. Most recently, a new RingCT protocol (called RingCT 2.0) was proposed by leveraging cryptographic ac"&amp;"cumulators, which can achieve a constant-size output theoretically but still far from being practical due to the heavy zero-knowledge associated with the accumulator. In this article, we revisit the design of ring confidential transaction protocol and put"&amp;" forward a more efficient privacy-preserving payment protocol, which is built upon an extended version of one-out-of-many proof and a special multi-signature. Compared with previous works, the new protocol is not only more practical, but also does not suf"&amp;"fer from a trusted setup. Besides, we show that the protocol satisfies the security requirements provided that the underlying cryptographic primitives are secure in the random oracle model. We implement our new payment protocol in Java, and the experiment"&amp;"al results show that it is efficient enough to be used in practice.  © 2004-2012 IEEE.")</f>
        <v>Ring confidential transaction (RingCT) protocol is widely used in cryptocurrency to protect the privacy of both users' identities and transaction amounts. Most recently, a new RingCT protocol (called RingCT 2.0) was proposed by leveraging cryptographic accumulators, which can achieve a constant-size output theoretically but still far from being practical due to the heavy zero-knowledge associated with the accumulator. In this article, we revisit the design of ring confidential transaction protocol and put forward a more efficient privacy-preserving payment protocol, which is built upon an extended version of one-out-of-many proof and a special multi-signature. Compared with previous works, the new protocol is not only more practical, but also does not suffer from a trusted setup. Besides, we show that the protocol satisfies the security requirements provided that the underlying cryptographic primitives are secure in the random oracle model. We implement our new payment protocol in Java, and the experimental results show that it is efficient enough to be used in practice.  © 2004-2012 IEEE.</v>
      </c>
      <c r="H290" s="8" t="str">
        <f>IFERROR(__xludf.DUMMYFUNCTION("""COMPUTED_VALUE"""),"Blockchain; confidential transaction; payment protocol; zero-knowledge proof")</f>
        <v>Blockchain; confidential transaction; payment protocol; zero-knowledge proof</v>
      </c>
      <c r="I290" s="10" t="b">
        <v>0</v>
      </c>
      <c r="J290" s="10" t="b">
        <v>0</v>
      </c>
      <c r="K290" s="10" t="b">
        <v>0</v>
      </c>
      <c r="L290" s="10" t="b">
        <v>0</v>
      </c>
      <c r="M290" s="10" t="b">
        <v>0</v>
      </c>
      <c r="N290" s="10" t="b">
        <v>0</v>
      </c>
      <c r="O290" s="11" t="b">
        <f t="shared" si="1"/>
        <v>0</v>
      </c>
      <c r="P290" s="16" t="b">
        <v>0</v>
      </c>
      <c r="Q290" s="7"/>
    </row>
    <row r="291">
      <c r="A291" s="5" t="b">
        <v>1</v>
      </c>
      <c r="B291" s="5" t="s">
        <v>329</v>
      </c>
      <c r="C291" s="6" t="str">
        <f>IFERROR(__xludf.DUMMYFUNCTION("""COMPUTED_VALUE"""),"10.1109/TDSC.2014.2366467")</f>
        <v>10.1109/TDSC.2014.2366467</v>
      </c>
      <c r="D291" s="7" t="str">
        <f>IFERROR(__xludf.DUMMYFUNCTION("""COMPUTED_VALUE"""),"Zhang J.-D.; Chow C.-Y.")</f>
        <v>Zhang J.-D.; Chow C.-Y.</v>
      </c>
      <c r="E291" s="7" t="str">
        <f>IFERROR(__xludf.DUMMYFUNCTION("""COMPUTED_VALUE"""),"REAL: A Reciprocal Protocol for Location Privacy in Wireless Sensor Networks")</f>
        <v>REAL: A Reciprocal Protocol for Location Privacy in Wireless Sensor Networks</v>
      </c>
      <c r="F291" s="7" t="str">
        <f>IFERROR(__xludf.DUMMYFUNCTION("""COMPUTED_VALUE"""),"TDSC")</f>
        <v>TDSC</v>
      </c>
      <c r="G291" s="7" t="str">
        <f>IFERROR(__xludf.DUMMYFUNCTION("""COMPUTED_VALUE"""),"K-anonymity has been used to protect location privacy for location monitoring services in wireless sensor networks (WSNs), where sensor nodes work together to report k -anonymized aggregate locations to a server. Each k -anonymized aggregate location is a"&amp;" cloaked area that contains at least k persons. However, we identify an attack model to show that overlapping aggregate locations still pose privacy risks because an adversary can infer some overlapping areas with less than k persons that violates the k -"&amp;"anonymity privacy requirement. In this paper, we propose a reciprocal protocol for location privacy (REAL) in WSNs. In REAL, sensor nodes are required to autonomously organize their sensing areas into a set of non-overlapping and highly accurate k -anonym"&amp;"ized aggregate locations. To confront the three key challenges in REAL, namely, self-organization, reciprocity property and high accuracy, we design a state transition process, a locking mechanism and a time delay mechanism, respectively. We compare the p"&amp;"erformance of REAL with current protocols through simulated experiments. The results show that REAL protects location privacy, provides more accurate query answers, and reduces communication and computational costs. © 2014 IEEE.")</f>
        <v>K-anonymity has been used to protect location privacy for location monitoring services in wireless sensor networks (WSNs), where sensor nodes work together to report k -anonymized aggregate locations to a server. Each k -anonymized aggregate location is a cloaked area that contains at least k persons. However, we identify an attack model to show that overlapping aggregate locations still pose privacy risks because an adversary can infer some overlapping areas with less than k persons that violates the k -anonymity privacy requirement. In this paper, we propose a reciprocal protocol for location privacy (REAL) in WSNs. In REAL, sensor nodes are required to autonomously organize their sensing areas into a set of non-overlapping and highly accurate k -anonymized aggregate locations. To confront the three key challenges in REAL, namely, self-organization, reciprocity property and high accuracy, we design a state transition process, a locking mechanism and a time delay mechanism, respectively. We compare the performance of REAL with current protocols through simulated experiments. The results show that REAL protects location privacy, provides more accurate query answers, and reduces communication and computational costs. © 2014 IEEE.</v>
      </c>
      <c r="H291" s="8" t="str">
        <f>IFERROR(__xludf.DUMMYFUNCTION("""COMPUTED_VALUE"""),"aggregate locations; k-anonymity; location monitoring systems; Location privacy; wireless sensor networks")</f>
        <v>aggregate locations; k-anonymity; location monitoring systems; Location privacy; wireless sensor networks</v>
      </c>
      <c r="I291" s="10" t="b">
        <v>0</v>
      </c>
      <c r="J291" s="10" t="b">
        <v>0</v>
      </c>
      <c r="K291" s="10" t="b">
        <v>0</v>
      </c>
      <c r="L291" s="10" t="b">
        <v>0</v>
      </c>
      <c r="M291" s="10" t="b">
        <v>0</v>
      </c>
      <c r="N291" s="10" t="b">
        <v>0</v>
      </c>
      <c r="O291" s="11" t="b">
        <f t="shared" si="1"/>
        <v>0</v>
      </c>
      <c r="P291" s="16" t="b">
        <v>0</v>
      </c>
      <c r="Q291" s="7"/>
    </row>
    <row r="292">
      <c r="A292" s="5" t="b">
        <v>1</v>
      </c>
      <c r="B292" s="5" t="s">
        <v>330</v>
      </c>
      <c r="C292" s="6" t="str">
        <f>IFERROR(__xludf.DUMMYFUNCTION("""COMPUTED_VALUE"""),"10.1109/TDSC.2022.3158690")</f>
        <v>10.1109/TDSC.2022.3158690</v>
      </c>
      <c r="D292" s="7" t="str">
        <f>IFERROR(__xludf.DUMMYFUNCTION("""COMPUTED_VALUE"""),"Priyadarsini M.; Bera P.; Das S.K.; Rahman M.A.")</f>
        <v>Priyadarsini M.; Bera P.; Das S.K.; Rahman M.A.</v>
      </c>
      <c r="E292" s="7" t="str">
        <f>IFERROR(__xludf.DUMMYFUNCTION("""COMPUTED_VALUE"""),"A Security Enforcement Framework for SDN Controller Using Game Theoretic Approach")</f>
        <v>A Security Enforcement Framework for SDN Controller Using Game Theoretic Approach</v>
      </c>
      <c r="F292" s="7" t="str">
        <f>IFERROR(__xludf.DUMMYFUNCTION("""COMPUTED_VALUE"""),"TDSC")</f>
        <v>TDSC</v>
      </c>
      <c r="G292" s="7" t="str">
        <f>IFERROR(__xludf.DUMMYFUNCTION("""COMPUTED_VALUE"""),"Software-defined networking (SDN) has gained significant attention as the future deployment platform for the Internet and enterprise networks. The major advantages of SDN include effective traffic management, dynamic configuration of policy and flow rules"&amp;", and better scalability with heterogeneous traffic requirements. However, centralized network control and the use of OpenFlow protocols introduce various security challenges for the underlying network. The attacks on the SDN controller is critical as it "&amp;"hosts all network control functions. Motivated by a systematic analysis of different attack scenarios in SDN using the STRIDE attack model, this article presents an effective security enforcement framework for proactive prevention of potential attacks on "&amp;"SDN controllers. First, based on a signaling game approach, we design a trust-based controller attack detection (TCAD) model that calculates the trust value of each incoming packet to take necessary action. Next, we propose a risk-based attack prevention "&amp;"(RAP) model that detects and filters malicious traffic flows in the network. Finally, we evaluate our proposed security enforcement framework on different scenarios with varying traffic requirements and by injecting attacks based on the STRIDE model. Expe"&amp;"rimental results show 95% accuracy in the potential attack detection and prevention.  © 2004-2012 IEEE.")</f>
        <v>Software-defined networking (SDN) has gained significant attention as the future deployment platform for the Internet and enterprise networks. The major advantages of SDN include effective traffic management, dynamic configuration of policy and flow rules, and better scalability with heterogeneous traffic requirements. However, centralized network control and the use of OpenFlow protocols introduce various security challenges for the underlying network. The attacks on the SDN controller is critical as it hosts all network control functions. Motivated by a systematic analysis of different attack scenarios in SDN using the STRIDE attack model, this article presents an effective security enforcement framework for proactive prevention of potential attacks on SDN controllers. First, based on a signaling game approach, we design a trust-based controller attack detection (TCAD) model that calculates the trust value of each incoming packet to take necessary action. Next, we propose a risk-based attack prevention (RAP) model that detects and filters malicious traffic flows in the network. Finally, we evaluate our proposed security enforcement framework on different scenarios with varying traffic requirements and by injecting attacks based on the STRIDE model. Experimental results show 95% accuracy in the potential attack detection and prevention.  © 2004-2012 IEEE.</v>
      </c>
      <c r="H292" s="8" t="str">
        <f>IFERROR(__xludf.DUMMYFUNCTION("""COMPUTED_VALUE"""),"attack model; risk verification; SDN; security; trust model; vulnerability analysis")</f>
        <v>attack model; risk verification; SDN; security; trust model; vulnerability analysis</v>
      </c>
      <c r="I292" s="10" t="b">
        <v>0</v>
      </c>
      <c r="J292" s="10" t="b">
        <v>0</v>
      </c>
      <c r="K292" s="10" t="b">
        <v>0</v>
      </c>
      <c r="L292" s="10" t="b">
        <v>0</v>
      </c>
      <c r="M292" s="10" t="b">
        <v>0</v>
      </c>
      <c r="N292" s="10" t="b">
        <v>0</v>
      </c>
      <c r="O292" s="11" t="b">
        <f t="shared" si="1"/>
        <v>0</v>
      </c>
      <c r="P292" s="16" t="b">
        <v>0</v>
      </c>
      <c r="Q292" s="7"/>
    </row>
    <row r="293">
      <c r="A293" s="5" t="b">
        <v>1</v>
      </c>
      <c r="B293" s="5" t="s">
        <v>331</v>
      </c>
      <c r="C293" s="6" t="str">
        <f>IFERROR(__xludf.DUMMYFUNCTION("""COMPUTED_VALUE"""),"10.1109/TDSC.2014.2302308")</f>
        <v>10.1109/TDSC.2014.2302308</v>
      </c>
      <c r="D293" s="7" t="str">
        <f>IFERROR(__xludf.DUMMYFUNCTION("""COMPUTED_VALUE"""),"Liu W.M.; Wang L.; Cheng P.; Ren K.; Zhu S.; Debbabi M.")</f>
        <v>Liu W.M.; Wang L.; Cheng P.; Ren K.; Zhu S.; Debbabi M.</v>
      </c>
      <c r="E293" s="7" t="str">
        <f>IFERROR(__xludf.DUMMYFUNCTION("""COMPUTED_VALUE"""),"PPTP: Privacy-preserving traffic padding in web-based applications")</f>
        <v>PPTP: Privacy-preserving traffic padding in web-based applications</v>
      </c>
      <c r="F293" s="7" t="str">
        <f>IFERROR(__xludf.DUMMYFUNCTION("""COMPUTED_VALUE"""),"TDSC")</f>
        <v>TDSC</v>
      </c>
      <c r="G293" s="7" t="str">
        <f>IFERROR(__xludf.DUMMYFUNCTION("""COMPUTED_VALUE"""),"Web-based applications are gaining popularity as they require less client-side resources, and are easier to deliver and maintain. On the other hand, web applications also pose new security and privacy challenges. In particular, recent research revealed th"&amp;"at many high profile web applications might cause sensitive user inputs to be leaked from encrypted traffic due to side-channel attacks exploiting unique patterns in packet sizes and timing. Moreover, existing solutions, such as random padding and packet-"&amp;"size rounding, were shown to incur prohibitive overhead while still failing to guarantee sufficient privacy protection. In this paper, we first observe an interesting similarity between this privacy-preserving traffic padding (PPTP) issue and another well"&amp;" studied problem, privacy-preserving data publishing (PPDP). Based on such a similarity, we present a formal PPTP model encompassing the privacy requirements, padding costs, and padding methods. We then formulate PPTP problems under different application "&amp;"scenarios, analyze their complexity, and design efficient heuristic algorithms. Finally, we confirm the effectiveness and efficiency of our algorithms by comparing them to existing solutions through experiments using real-world web applications. © 2004-20"&amp;"12 IEEE.")</f>
        <v>Web-based applications are gaining popularity as they require less client-side resources, and are easier to deliver and maintain. On the other hand, web applications also pose new security and privacy challenges. In particular, recent research revealed that many high profile web applications might cause sensitive user inputs to be leaked from encrypted traffic due to side-channel attacks exploiting unique patterns in packet sizes and timing. Moreover, existing solutions, such as random padding and packet-size rounding, were shown to incur prohibitive overhead while still failing to guarantee sufficient privacy protection. In this paper, we first observe an interesting similarity between this privacy-preserving traffic padding (PPTP) issue and another well studied problem, privacy-preserving data publishing (PPDP). Based on such a similarity, we present a formal PPTP model encompassing the privacy requirements, padding costs, and padding methods. We then formulate PPTP problems under different application scenarios, analyze their complexity, and design efficient heuristic algorithms. Finally, we confirm the effectiveness and efficiency of our algorithms by comparing them to existing solutions through experiments using real-world web applications. © 2004-2012 IEEE.</v>
      </c>
      <c r="H293" s="8" t="str">
        <f>IFERROR(__xludf.DUMMYFUNCTION("""COMPUTED_VALUE"""),"k-indistinguishability; l-diversity; PPTP; side-channel leak; Traffic padding; web application")</f>
        <v>k-indistinguishability; l-diversity; PPTP; side-channel leak; Traffic padding; web application</v>
      </c>
      <c r="I293" s="10" t="b">
        <v>0</v>
      </c>
      <c r="J293" s="10" t="b">
        <v>0</v>
      </c>
      <c r="K293" s="10" t="b">
        <v>0</v>
      </c>
      <c r="L293" s="10" t="b">
        <v>0</v>
      </c>
      <c r="M293" s="10" t="b">
        <v>0</v>
      </c>
      <c r="N293" s="10" t="b">
        <v>0</v>
      </c>
      <c r="O293" s="11" t="b">
        <f t="shared" si="1"/>
        <v>0</v>
      </c>
      <c r="P293" s="16" t="b">
        <v>0</v>
      </c>
      <c r="Q293" s="7"/>
    </row>
    <row r="294">
      <c r="A294" s="5" t="b">
        <v>1</v>
      </c>
      <c r="B294" s="5" t="s">
        <v>332</v>
      </c>
      <c r="C294" s="6" t="str">
        <f>IFERROR(__xludf.DUMMYFUNCTION("""COMPUTED_VALUE"""),"10.1109/TDSC.2023.3300360")</f>
        <v>10.1109/TDSC.2023.3300360</v>
      </c>
      <c r="D294" s="7" t="str">
        <f>IFERROR(__xludf.DUMMYFUNCTION("""COMPUTED_VALUE"""),"Hoang A.; Carminati B.; Ferrari E.")</f>
        <v>Hoang A.; Carminati B.; Ferrari E.</v>
      </c>
      <c r="E294" s="7" t="str">
        <f>IFERROR(__xludf.DUMMYFUNCTION("""COMPUTED_VALUE"""),"Protecting Privacy in Knowledge Graphs With Personalized Anonymization")</f>
        <v>Protecting Privacy in Knowledge Graphs With Personalized Anonymization</v>
      </c>
      <c r="F294" s="7" t="str">
        <f>IFERROR(__xludf.DUMMYFUNCTION("""COMPUTED_VALUE"""),"TDSC")</f>
        <v>TDSC</v>
      </c>
      <c r="G294" s="7" t="str">
        <f>IFERROR(__xludf.DUMMYFUNCTION("""COMPUTED_VALUE"""),"Knowledge graphs (KGs) are emerging data models allowing data providers to share data. This data sharing might bring new knowledge and collaborations, with evident benefits for providers. However, since KGs might contain sensitive information about users,"&amp;" it is of utmost importance to ensure KG anonymization before publishing. Recently, some proposals have addressed the problem of KGs&amp;#x0027; anonymization based on the &lt;inline-formula&gt;&lt;tex-math notation=""LaTeX""&gt;$k$&lt;/tex-math&gt;&lt;/inline-formula&gt;-anonymity "&amp;"principle. These techniques propose to anonymize the whole dataset with the same anonymization level. However, in a contest where data are collected from different users, it is crucial to consider also users&amp;#x0027; preferences on the anonymization level "&amp;"to adopt for their data. To cope with this requirement, this paper presents the Personalized &lt;inline-formula&gt;&lt;tex-math notation=""LaTeX""&gt;$k$&lt;/tex-math&gt;&lt;/inline-formula&gt;-Attribute Degree (p-&lt;inline-formula&gt;&lt;tex-math notation=""LaTeX""&gt;$k$&lt;/tex-math&gt;&lt;/inli"&amp;"ne-formula&gt;-ad) principle. It allows users to specify their anonymity levels (the &lt;inline-formula&gt;&lt;tex-math notation=""LaTeX""&gt;$k$&lt;/tex-math&gt;&lt;/inline-formula&gt; values) while preventing adversaries from re-identifying them with a confidence higher than &lt;inl"&amp;"ine-formula&gt;&lt;tex-math notation=""LaTeX""&gt;$\frac{1}{k}$&lt;/tex-math&gt;&lt;/inline-formula&gt; with their specified &lt;inline-formula&gt;&lt;tex-math notation=""LaTeX""&gt;$k$&lt;/tex-math&gt;&lt;/inline-formula&gt;. Moreover, we design the Personalized Cluster-Based Knowledge Graph Anonym"&amp;"ization Algorithm (PCKGA) to generate anonymized KGs satisfying p-&lt;inline-formula&gt;&lt;tex-math notation=""LaTeX""&gt;$k$&lt;/tex-math&gt;&lt;/inline-formula&gt;-ad. We conduct experiments on four real-life datasets and show that PCKGA greatly improves the quality of anonym"&amp;"ized KGs comparing to previous algorithms. Author")</f>
        <v>Knowledge graphs (KGs) are emerging data models allowing data providers to share data. This data sharing might bring new knowledge and collaborations, with evident benefits for providers. However, since KGs might contain sensitive information about users, it is of utmost importance to ensure KG anonymization before publishing. Recently, some proposals have addressed the problem of KGs&amp;#x0027; anonymization based on the &lt;inline-formula&gt;&lt;tex-math notation="LaTeX"&gt;$k$&lt;/tex-math&gt;&lt;/inline-formula&gt;-anonymity principle. These techniques propose to anonymize the whole dataset with the same anonymization level. However, in a contest where data are collected from different users, it is crucial to consider also users&amp;#x0027; preferences on the anonymization level to adopt for their data. To cope with this requirement, this paper presents the Personalized &lt;inline-formula&gt;&lt;tex-math notation="LaTeX"&gt;$k$&lt;/tex-math&gt;&lt;/inline-formula&gt;-Attribute Degree (p-&lt;inline-formula&gt;&lt;tex-math notation="LaTeX"&gt;$k$&lt;/tex-math&gt;&lt;/inline-formula&gt;-ad) principle. It allows users to specify their anonymity levels (the &lt;inline-formula&gt;&lt;tex-math notation="LaTeX"&gt;$k$&lt;/tex-math&gt;&lt;/inline-formula&gt; values) while preventing adversaries from re-identifying them with a confidence higher than &lt;inline-formula&gt;&lt;tex-math notation="LaTeX"&gt;$\frac{1}{k}$&lt;/tex-math&gt;&lt;/inline-formula&gt; with their specified &lt;inline-formula&gt;&lt;tex-math notation="LaTeX"&gt;$k$&lt;/tex-math&gt;&lt;/inline-formula&gt;. Moreover, we design the Personalized Cluster-Based Knowledge Graph Anonymization Algorithm (PCKGA) to generate anonymized KGs satisfying p-&lt;inline-formula&gt;&lt;tex-math notation="LaTeX"&gt;$k$&lt;/tex-math&gt;&lt;/inline-formula&gt;-ad. We conduct experiments on four real-life datasets and show that PCKGA greatly improves the quality of anonymized KGs comparing to previous algorithms. Author</v>
      </c>
      <c r="H294" s="8" t="str">
        <f>IFERROR(__xludf.DUMMYFUNCTION("""COMPUTED_VALUE"""),"&lt;inline-formula xmlns:ali=""http://www.niso.org/schemas/ali/1.0/"" xmlns:mml=""http://www.w3.org/1998/Math/MathML"" xmlns:xlink=""http://www.w3.org/1999/xlink"" xmlns:xsi=""http://www.w3.org/2001/XMLSchema-instance""&gt; &lt;tex-math notation=""LaTeX""&gt;$k$&lt;/tex"&amp;"-math&gt; &lt;/inline-formula&gt;-anonymity; Clustering algorithms; Data privacy; Information filtering; Information integrity; knowledge graphs; Knowledge graphs; personalized privacy; Privacy; Proposals")</f>
        <v>&lt;inline-formula xmlns:ali="http://www.niso.org/schemas/ali/1.0/" xmlns:mml="http://www.w3.org/1998/Math/MathML" xmlns:xlink="http://www.w3.org/1999/xlink" xmlns:xsi="http://www.w3.org/2001/XMLSchema-instance"&gt; &lt;tex-math notation="LaTeX"&gt;$k$&lt;/tex-math&gt; &lt;/inline-formula&gt;-anonymity; Clustering algorithms; Data privacy; Information filtering; Information integrity; knowledge graphs; Knowledge graphs; personalized privacy; Privacy; Proposals</v>
      </c>
      <c r="I294" s="10" t="b">
        <v>0</v>
      </c>
      <c r="J294" s="10" t="b">
        <v>0</v>
      </c>
      <c r="K294" s="10" t="b">
        <v>0</v>
      </c>
      <c r="L294" s="10" t="b">
        <v>0</v>
      </c>
      <c r="M294" s="10" t="b">
        <v>0</v>
      </c>
      <c r="N294" s="10" t="b">
        <v>0</v>
      </c>
      <c r="O294" s="11" t="b">
        <f t="shared" si="1"/>
        <v>0</v>
      </c>
      <c r="P294" s="16" t="b">
        <v>0</v>
      </c>
      <c r="Q294" s="7"/>
    </row>
    <row r="295">
      <c r="A295" s="5" t="b">
        <v>1</v>
      </c>
      <c r="B295" s="5" t="s">
        <v>333</v>
      </c>
      <c r="C295" s="6" t="str">
        <f>IFERROR(__xludf.DUMMYFUNCTION("""COMPUTED_VALUE"""),"10.1109/TDSC.2023.3288228")</f>
        <v>10.1109/TDSC.2023.3288228</v>
      </c>
      <c r="D295" s="7" t="str">
        <f>IFERROR(__xludf.DUMMYFUNCTION("""COMPUTED_VALUE"""),"Li K.; Shi R.; Guo W.; Bo Wang P.; Shao B.")</f>
        <v>Li K.; Shi R.; Guo W.; Bo Wang P.; Shao B.</v>
      </c>
      <c r="E295" s="7" t="str">
        <f>IFERROR(__xludf.DUMMYFUNCTION("""COMPUTED_VALUE"""),"Dynamic Range Query Privacy-Preserving Scheme for Blockchain-Enhanced Smart Grid Based on Lattice")</f>
        <v>Dynamic Range Query Privacy-Preserving Scheme for Blockchain-Enhanced Smart Grid Based on Lattice</v>
      </c>
      <c r="F295" s="7" t="str">
        <f>IFERROR(__xludf.DUMMYFUNCTION("""COMPUTED_VALUE"""),"TDSC")</f>
        <v>TDSC</v>
      </c>
      <c r="G295" s="7" t="str">
        <f>IFERROR(__xludf.DUMMYFUNCTION("""COMPUTED_VALUE"""),"Blockchain-enhanced Smart Grid has attracted a lot of attention from scholars in recent years, due to its excellent decentralization, anti-collusion and immutability. With the wide deployment of blockchain and the popularity of more accurate intelligent a"&amp;"pplications, its role in Smart Grid is becoming more and more irreplaceable. However, because of the threat of quantum computer, it still confronts the risk of privacy disclosure. In this paper, we propose a novel and dynamic range query privacy-preservin"&amp;"g scheme for blockchain-enhanced Smart Grid based on lattice. In this scheme, lattice-based homomorphic encryption algorithm is designed to resist the attack of quantum computer and realizes data aggregation to improve efficiency. In particular, this arti"&amp;"cle designs a dynamic range query method with the aid of consortium blockchain by using proxy re-encryption. This method avoids the communication pressure caused by repeated data collection and improves the query efficiency and user experience. In additio"&amp;"n, dynamic ciphertext and users update are considered, which further improves the flexibility and feasibility of the scheme. Last but not least, security analysis, exhaustive performance analysis and experiments show that our proposed scheme meets the req"&amp;"uirements of dynamic, privacy, security and low computational cost. IEEE")</f>
        <v>Blockchain-enhanced Smart Grid has attracted a lot of attention from scholars in recent years, due to its excellent decentralization, anti-collusion and immutability. With the wide deployment of blockchain and the popularity of more accurate intelligent applications, its role in Smart Grid is becoming more and more irreplaceable. However, because of the threat of quantum computer, it still confronts the risk of privacy disclosure. In this paper, we propose a novel and dynamic range query privacy-preserving scheme for blockchain-enhanced Smart Grid based on lattice. In this scheme, lattice-based homomorphic encryption algorithm is designed to resist the attack of quantum computer and realizes data aggregation to improve efficiency. In particular, this article designs a dynamic range query method with the aid of consortium blockchain by using proxy re-encryption. This method avoids the communication pressure caused by repeated data collection and improves the query efficiency and user experience. In addition, dynamic ciphertext and users update are considered, which further improves the flexibility and feasibility of the scheme. Last but not least, security analysis, exhaustive performance analysis and experiments show that our proposed scheme meets the requirements of dynamic, privacy, security and low computational cost. IEEE</v>
      </c>
      <c r="H295" s="8" t="str">
        <f>IFERROR(__xludf.DUMMYFUNCTION("""COMPUTED_VALUE"""),"Blockchains; Consortium blockchain; Dynamic range; Heuristic algorithms; Lattice; Lattices; Privacy-preserving; Quantum computing; Range query; Security; Smart Grid; Smart grids")</f>
        <v>Blockchains; Consortium blockchain; Dynamic range; Heuristic algorithms; Lattice; Lattices; Privacy-preserving; Quantum computing; Range query; Security; Smart Grid; Smart grids</v>
      </c>
      <c r="I295" s="10" t="b">
        <v>0</v>
      </c>
      <c r="J295" s="10" t="b">
        <v>0</v>
      </c>
      <c r="K295" s="10" t="b">
        <v>0</v>
      </c>
      <c r="L295" s="10" t="b">
        <v>0</v>
      </c>
      <c r="M295" s="10" t="b">
        <v>0</v>
      </c>
      <c r="N295" s="10" t="b">
        <v>0</v>
      </c>
      <c r="O295" s="11" t="b">
        <f t="shared" si="1"/>
        <v>0</v>
      </c>
      <c r="P295" s="16" t="b">
        <v>0</v>
      </c>
      <c r="Q295" s="7"/>
    </row>
    <row r="296">
      <c r="A296" s="5" t="b">
        <v>1</v>
      </c>
      <c r="B296" s="5" t="s">
        <v>334</v>
      </c>
      <c r="C296" s="6" t="str">
        <f>IFERROR(__xludf.DUMMYFUNCTION("""COMPUTED_VALUE"""),"10.1109/TDSC.2020.3001185")</f>
        <v>10.1109/TDSC.2020.3001185</v>
      </c>
      <c r="D296" s="7" t="str">
        <f>IFERROR(__xludf.DUMMYFUNCTION("""COMPUTED_VALUE"""),"Jagadeesh H.; Vithalkar A.; Jhunjhunwala N.; Kabra M.; Manav P.; Hu Y.-C.")</f>
        <v>Jagadeesh H.; Vithalkar A.; Jhunjhunwala N.; Kabra M.; Manav P.; Hu Y.-C.</v>
      </c>
      <c r="E296" s="7" t="str">
        <f>IFERROR(__xludf.DUMMYFUNCTION("""COMPUTED_VALUE"""),"Double-Edge Embedding Based Provenance Recovery for Low-Latency Applications in Wireless Networks")</f>
        <v>Double-Edge Embedding Based Provenance Recovery for Low-Latency Applications in Wireless Networks</v>
      </c>
      <c r="F296" s="7" t="str">
        <f>IFERROR(__xludf.DUMMYFUNCTION("""COMPUTED_VALUE"""),"TDSC")</f>
        <v>TDSC</v>
      </c>
      <c r="G296" s="7" t="str">
        <f>IFERROR(__xludf.DUMMYFUNCTION("""COMPUTED_VALUE"""),"A number of applications in next-generation multi-hop networks, e.g., vehicular networks, impose low-latency requirements on data transmission thereby necessitating the underlying relays to introduce negligible delay when forwarding the packets. While tra"&amp;"ditional relaying techniques such as amplify-and-forward protocols may help the packets to satisfy latency-constraints, such strategies do not facilitate the destination in learning the path traveled by the packets, which in turn could be used for either "&amp;"learning the topology of the network or detecting security threats on the network. In addition to low-latency constraints, vehicular networks also result in variable network topology owing to the mobility of the nodes, which in turn imposes additional cha"&amp;"llenges to the destination in learning the path traveled by the packets. Thus, with potential applications to vehicular networks, we address the problem of designing provenance embedding algorithms that reduce the delays on the packets and yet assist the "&amp;"destination in determining the path traveled by the packets with no knowledge of the network topology. We propose a new class of provenance embedding techniques, referred to as double-edge (DE) embedding techniques, wherein a subset of the relay nodes in "&amp;"the path strategically skip the provenance embedding process to reduce the delays on the packets. Using fixed-size bloom filters as tools to implement the double-edge embedding ideas, first, we derive upper bounds on the error-rates of the DE embedding te"&amp;"chniques so that the parameters of the bloom filter can be chosen to facilitate provenance recovery within a given quality of service. Subsequently, we present experimental results on a test bed of XBee devices and Raspberry Pis to demonstrate the efficac"&amp;"y of the proposed techniques, and show that the DE embedding techniques offer latency benefits upto 17 percent along with remarkable reduction in error-rates in comparison with the baselines. We also present a security analysis of the proposed provenance "&amp;"embedding methods to asses their vulnerabilities against various attacks including impersonation threats. © 2004-2012 IEEE.")</f>
        <v>A number of applications in next-generation multi-hop networks, e.g., vehicular networks, impose low-latency requirements on data transmission thereby necessitating the underlying relays to introduce negligible delay when forwarding the packets. While traditional relaying techniques such as amplify-and-forward protocols may help the packets to satisfy latency-constraints, such strategies do not facilitate the destination in learning the path traveled by the packets, which in turn could be used for either learning the topology of the network or detecting security threats on the network. In addition to low-latency constraints, vehicular networks also result in variable network topology owing to the mobility of the nodes, which in turn imposes additional challenges to the destination in learning the path traveled by the packets. Thus, with potential applications to vehicular networks, we address the problem of designing provenance embedding algorithms that reduce the delays on the packets and yet assist the destination in determining the path traveled by the packets with no knowledge of the network topology. We propose a new class of provenance embedding techniques, referred to as double-edge (DE) embedding techniques, wherein a subset of the relay nodes in the path strategically skip the provenance embedding process to reduce the delays on the packets. Using fixed-size bloom filters as tools to implement the double-edge embedding ideas, first, we derive upper bounds on the error-rates of the DE embedding techniques so that the parameters of the bloom filter can be chosen to facilitate provenance recovery within a given quality of service. Subsequently, we present experimental results on a test bed of XBee devices and Raspberry Pis to demonstrate the efficacy of the proposed techniques, and show that the DE embedding techniques offer latency benefits upto 17 percent along with remarkable reduction in error-rates in comparison with the baselines. We also present a security analysis of the proposed provenance embedding methods to asses their vulnerabilities against various attacks including impersonation threats. © 2004-2012 IEEE.</v>
      </c>
      <c r="H296" s="8" t="str">
        <f>IFERROR(__xludf.DUMMYFUNCTION("""COMPUTED_VALUE"""),"bloom filters; low-latency; multi-hop networks; Provenance; security")</f>
        <v>bloom filters; low-latency; multi-hop networks; Provenance; security</v>
      </c>
      <c r="I296" s="10" t="b">
        <v>0</v>
      </c>
      <c r="J296" s="10" t="b">
        <v>0</v>
      </c>
      <c r="K296" s="10" t="b">
        <v>0</v>
      </c>
      <c r="L296" s="10" t="b">
        <v>0</v>
      </c>
      <c r="M296" s="10" t="b">
        <v>0</v>
      </c>
      <c r="N296" s="10" t="b">
        <v>0</v>
      </c>
      <c r="O296" s="11" t="b">
        <f t="shared" si="1"/>
        <v>0</v>
      </c>
      <c r="P296" s="16" t="b">
        <v>0</v>
      </c>
      <c r="Q296" s="7"/>
    </row>
    <row r="297">
      <c r="A297" s="5" t="b">
        <v>1</v>
      </c>
      <c r="B297" s="5" t="s">
        <v>335</v>
      </c>
      <c r="C297" s="6" t="str">
        <f>IFERROR(__xludf.DUMMYFUNCTION("""COMPUTED_VALUE"""),"10.1109/TDSC.2023.3300749")</f>
        <v>10.1109/TDSC.2023.3300749</v>
      </c>
      <c r="D297" s="7" t="str">
        <f>IFERROR(__xludf.DUMMYFUNCTION("""COMPUTED_VALUE"""),"Hu C.; Liu Z.; Li R.; Hu P.; Xiang T.; Han M.")</f>
        <v>Hu C.; Liu Z.; Li R.; Hu P.; Xiang T.; Han M.</v>
      </c>
      <c r="E297" s="7" t="str">
        <f>IFERROR(__xludf.DUMMYFUNCTION("""COMPUTED_VALUE"""),"Smart Contract Assisted Privacy-Preserving Data Aggregation and Management Scheme for Smart Grid")</f>
        <v>Smart Contract Assisted Privacy-Preserving Data Aggregation and Management Scheme for Smart Grid</v>
      </c>
      <c r="F297" s="7" t="str">
        <f>IFERROR(__xludf.DUMMYFUNCTION("""COMPUTED_VALUE"""),"TDSC")</f>
        <v>TDSC</v>
      </c>
      <c r="G297" s="7" t="str">
        <f>IFERROR(__xludf.DUMMYFUNCTION("""COMPUTED_VALUE"""),"Data aggregation plays a crucial role in smart grid communication as it enables the collection of data in an energy-efficient manner. However, the widespread deployment of smart meters has raised significant concerns regarding the privacy of users&amp;#x0027;"&amp;" personal data. Therefore, in this paper, we present an efficient and privacy-preserving data aggregation and trust management scheme (PATM) for an IoT-enabled smart grid based on smart contract. Firstly, we propose a five-layer architecture for smart gri"&amp;"d communication to support secure and efficient data aggregation and management. Under the architecture, the Boneh-Goh-Nissim cryptosystem with blind factor is improved to facilitate privacy protection. In addition, the tamper-evident nature of blockchain"&amp;" is utilized for effective data management. Our designs also enhance the resistance to differential attack and prevent privacy breaches during the aggregation process. Detailed security proof and theoretical analysis confirm that our PATM can satisfies th"&amp;"e necessary security and privacy requirements while maintaining the required efficiency for smart grid operations. Furthermore, comparative experiments demonstrate that PATM outperforms other proposed work in terms of storage cost, computational complexit"&amp;"y, and utility of differential privacy. IEEE")</f>
        <v>Data aggregation plays a crucial role in smart grid communication as it enables the collection of data in an energy-efficient manner. However, the widespread deployment of smart meters has raised significant concerns regarding the privacy of users&amp;#x0027; personal data. Therefore, in this paper, we present an efficient and privacy-preserving data aggregation and trust management scheme (PATM) for an IoT-enabled smart grid based on smart contract. Firstly, we propose a five-layer architecture for smart grid communication to support secure and efficient data aggregation and management. Under the architecture, the Boneh-Goh-Nissim cryptosystem with blind factor is improved to facilitate privacy protection. In addition, the tamper-evident nature of blockchain is utilized for effective data management. Our designs also enhance the resistance to differential attack and prevent privacy breaches during the aggregation process. Detailed security proof and theoretical analysis confirm that our PATM can satisfies the necessary security and privacy requirements while maintaining the required efficiency for smart grid operations. Furthermore, comparative experiments demonstrate that PATM outperforms other proposed work in terms of storage cost, computational complexity, and utility of differential privacy. IEEE</v>
      </c>
      <c r="H297" s="8" t="str">
        <f>IFERROR(__xludf.DUMMYFUNCTION("""COMPUTED_VALUE"""),"Data aggregation; Data aggregation; Data privacy; differential attack; Homomorphic encryption; Privacy; privacy protection; Security; smart contract; smart grid; Smart grids; Smart meters")</f>
        <v>Data aggregation; Data aggregation; Data privacy; differential attack; Homomorphic encryption; Privacy; privacy protection; Security; smart contract; smart grid; Smart grids; Smart meters</v>
      </c>
      <c r="I297" s="10" t="b">
        <v>0</v>
      </c>
      <c r="J297" s="10" t="b">
        <v>0</v>
      </c>
      <c r="K297" s="10" t="b">
        <v>0</v>
      </c>
      <c r="L297" s="10" t="b">
        <v>0</v>
      </c>
      <c r="M297" s="10" t="b">
        <v>0</v>
      </c>
      <c r="N297" s="10" t="b">
        <v>0</v>
      </c>
      <c r="O297" s="11" t="b">
        <f t="shared" si="1"/>
        <v>0</v>
      </c>
      <c r="P297" s="16" t="b">
        <v>0</v>
      </c>
      <c r="Q297" s="7"/>
    </row>
    <row r="298">
      <c r="A298" s="5" t="b">
        <v>1</v>
      </c>
      <c r="B298" s="5" t="s">
        <v>336</v>
      </c>
      <c r="C298" s="6" t="str">
        <f>IFERROR(__xludf.DUMMYFUNCTION("""COMPUTED_VALUE"""),"10.1109/TDSC.2021.3135639")</f>
        <v>10.1109/TDSC.2021.3135639</v>
      </c>
      <c r="D298" s="7" t="str">
        <f>IFERROR(__xludf.DUMMYFUNCTION("""COMPUTED_VALUE"""),"Villarreal-Vasquez M.; Modelo-Howard G.; Dube S.; Bhargava B.")</f>
        <v>Villarreal-Vasquez M.; Modelo-Howard G.; Dube S.; Bhargava B.</v>
      </c>
      <c r="E298" s="7" t="str">
        <f>IFERROR(__xludf.DUMMYFUNCTION("""COMPUTED_VALUE"""),"Hunting for Insider Threats Using LSTM-Based Anomaly Detection")</f>
        <v>Hunting for Insider Threats Using LSTM-Based Anomaly Detection</v>
      </c>
      <c r="F298" s="7" t="str">
        <f>IFERROR(__xludf.DUMMYFUNCTION("""COMPUTED_VALUE"""),"TDSC")</f>
        <v>TDSC</v>
      </c>
      <c r="G298" s="7" t="str">
        <f>IFERROR(__xludf.DUMMYFUNCTION("""COMPUTED_VALUE"""),"Insider threats are one of the most difficult problems to solve, given the privileges and information available to insiders to launch different types of attacks. Current security systems can record and analyze sequences from a deluge of log data, potentia"&amp;"lly becoming a tool to detect insider threats. The issue is that insiders mix the sequence of attack steps with valid actions, reducing the capacity of security systems to programmatically detect the attacks. To address this shortcoming, we introduce LADO"&amp;"HD, an anomaly detection framework based on Long-Short Term Memory (LSTM) models, which learns the expected event patterns in a computer system to identify attack sequences even when attacks span for a long time. The applicability of the framework is demo"&amp;"nstrated on a dataset of 38.9 million events collected from a commercial network of 30 computers over twenty days and where a 4-day long insider threat attack occurs. Results show that LADOHD outperforms the anomaly detection system used to protect the co"&amp;"mmercial network with a True Positive Rate of 97.29% and a False Positive Rate of 0.38%. Experiments also show that LSTMs have higher prediction precision in variable-length sequences than methods like Hidden Markov Models, a crucial requirement in sequen"&amp;"ce-Analysis-based anomaly detection techniques. © 2004-2012 IEEE.")</f>
        <v>Insider threats are one of the most difficult problems to solve, given the privileges and information available to insiders to launch different types of attacks. Current security systems can record and analyze sequences from a deluge of log data, potentially becoming a tool to detect insider threats. The issue is that insiders mix the sequence of attack steps with valid actions, reducing the capacity of security systems to programmatically detect the attacks. To address this shortcoming, we introduce LADOHD, an anomaly detection framework based on Long-Short Term Memory (LSTM) models, which learns the expected event patterns in a computer system to identify attack sequences even when attacks span for a long time. The applicability of the framework is demonstrated on a dataset of 38.9 million events collected from a commercial network of 30 computers over twenty days and where a 4-day long insider threat attack occurs. Results show that LADOHD outperforms the anomaly detection system used to protect the commercial network with a True Positive Rate of 97.29% and a False Positive Rate of 0.38%. Experiments also show that LSTMs have higher prediction precision in variable-length sequences than methods like Hidden Markov Models, a crucial requirement in sequence-Analysis-based anomaly detection techniques. © 2004-2012 IEEE.</v>
      </c>
      <c r="H298" s="8" t="str">
        <f>IFERROR(__xludf.DUMMYFUNCTION("""COMPUTED_VALUE"""),"Anomaly detection; endpoint detection and response (EDR); high-dimensional data; insider threats; long short-Term memory (LSTM); order-Aware recognition (OAR) problem; sequence analysis; variable-length system activity event sequences")</f>
        <v>Anomaly detection; endpoint detection and response (EDR); high-dimensional data; insider threats; long short-Term memory (LSTM); order-Aware recognition (OAR) problem; sequence analysis; variable-length system activity event sequences</v>
      </c>
      <c r="I298" s="10" t="b">
        <v>0</v>
      </c>
      <c r="J298" s="10" t="b">
        <v>0</v>
      </c>
      <c r="K298" s="10" t="b">
        <v>0</v>
      </c>
      <c r="L298" s="10" t="b">
        <v>0</v>
      </c>
      <c r="M298" s="10" t="b">
        <v>0</v>
      </c>
      <c r="N298" s="10" t="b">
        <v>0</v>
      </c>
      <c r="O298" s="11" t="b">
        <f t="shared" si="1"/>
        <v>0</v>
      </c>
      <c r="P298" s="16" t="b">
        <v>0</v>
      </c>
      <c r="Q298" s="7"/>
    </row>
    <row r="299">
      <c r="A299" s="5" t="b">
        <v>1</v>
      </c>
      <c r="B299" s="5" t="s">
        <v>337</v>
      </c>
      <c r="C299" s="6" t="str">
        <f>IFERROR(__xludf.DUMMYFUNCTION("""COMPUTED_VALUE"""),"10.1109/TDSC.2021.3101280")</f>
        <v>10.1109/TDSC.2021.3101280</v>
      </c>
      <c r="D299" s="7" t="str">
        <f>IFERROR(__xludf.DUMMYFUNCTION("""COMPUTED_VALUE"""),"Reviriego P.; Sánchez-Macián A.; Liu S.; Lombardi F.")</f>
        <v>Reviriego P.; Sánchez-Macián A.; Liu S.; Lombardi F.</v>
      </c>
      <c r="E299" s="7" t="str">
        <f>IFERROR(__xludf.DUMMYFUNCTION("""COMPUTED_VALUE"""),"On the Security of the K Minimum Values (KMV) Sketch")</f>
        <v>On the Security of the K Minimum Values (KMV) Sketch</v>
      </c>
      <c r="F299" s="7" t="str">
        <f>IFERROR(__xludf.DUMMYFUNCTION("""COMPUTED_VALUE"""),"TDSC")</f>
        <v>TDSC</v>
      </c>
      <c r="G299" s="7" t="str">
        <f>IFERROR(__xludf.DUMMYFUNCTION("""COMPUTED_VALUE"""),"Data sketches are widely used to accelerate operations in big data analytics. For example, algorithms use sketches to compute the cardinality of a set, or the similarity between two sets. Sketches achieve significant reductions in computing time and stora"&amp;"ge requirements by providing probabilistic estimates rather than exact values. In many applications, an estimate is sufficient and thus, it is possible to trade accuracy for computational complexity; this enables the use of probabilistic sketches. However"&amp;", the use of probabilistic data structures may create security issues because an attacker may manipulate the data in such a way that the sketches produce an incorrect estimate. For example, an attacker could potentially inflate the estimate of the number "&amp;"of distinct users to increase its revenues or popularity. Recent works have shown that an attacker can manipulate Hyperloglog, a sketch widely used for cardinality estimate, with no knowledge of its implementation details. This paper considers the securit"&amp;"y of K Minimum Values (KMV), a sketch that is also widely used to implement both cardinality and similarity estimates. Next sections characterize vulnerabilities at an implementation-independent level, with attacks formulated as part of a novel adversary "&amp;"model that manipulates the similarity estimate. Therefore, the paper pursues an analysis and simulation; the results suggest that as vulnerable to attacks, an increase or reduction of the estimate may occur. The execution of the attacks against the KMV im"&amp;"plementation in the Apache DataSketches library validates these scenarios. Experiments show an excellent agreement between theory and experimental results.  © 2004-2012 IEEE.")</f>
        <v>Data sketches are widely used to accelerate operations in big data analytics. For example, algorithms use sketches to compute the cardinality of a set, or the similarity between two sets. Sketches achieve significant reductions in computing time and storage requirements by providing probabilistic estimates rather than exact values. In many applications, an estimate is sufficient and thus, it is possible to trade accuracy for computational complexity; this enables the use of probabilistic sketches. However, the use of probabilistic data structures may create security issues because an attacker may manipulate the data in such a way that the sketches produce an incorrect estimate. For example, an attacker could potentially inflate the estimate of the number of distinct users to increase its revenues or popularity. Recent works have shown that an attacker can manipulate Hyperloglog, a sketch widely used for cardinality estimate, with no knowledge of its implementation details. This paper considers the security of K Minimum Values (KMV), a sketch that is also widely used to implement both cardinality and similarity estimates. Next sections characterize vulnerabilities at an implementation-independent level, with attacks formulated as part of a novel adversary model that manipulates the similarity estimate. Therefore, the paper pursues an analysis and simulation; the results suggest that as vulnerable to attacks, an increase or reduction of the estimate may occur. The execution of the attacks against the KMV implementation in the Apache DataSketches library validates these scenarios. Experiments show an excellent agreement between theory and experimental results.  © 2004-2012 IEEE.</v>
      </c>
      <c r="H299" s="8" t="str">
        <f>IFERROR(__xludf.DUMMYFUNCTION("""COMPUTED_VALUE"""),"attack; cardinality; Data sketches; KMV; security; similarity")</f>
        <v>attack; cardinality; Data sketches; KMV; security; similarity</v>
      </c>
      <c r="I299" s="10" t="b">
        <v>0</v>
      </c>
      <c r="J299" s="10" t="b">
        <v>0</v>
      </c>
      <c r="K299" s="10" t="b">
        <v>0</v>
      </c>
      <c r="L299" s="10" t="b">
        <v>0</v>
      </c>
      <c r="M299" s="10" t="b">
        <v>0</v>
      </c>
      <c r="N299" s="10" t="b">
        <v>0</v>
      </c>
      <c r="O299" s="11" t="b">
        <f t="shared" si="1"/>
        <v>0</v>
      </c>
      <c r="P299" s="16" t="b">
        <v>0</v>
      </c>
      <c r="Q299" s="7"/>
    </row>
    <row r="300">
      <c r="A300" s="5" t="b">
        <v>1</v>
      </c>
      <c r="B300" s="5" t="s">
        <v>338</v>
      </c>
      <c r="C300" s="6" t="str">
        <f>IFERROR(__xludf.DUMMYFUNCTION("""COMPUTED_VALUE"""),"10.1109/TDSC.2023.3240315")</f>
        <v>10.1109/TDSC.2023.3240315</v>
      </c>
      <c r="D300" s="7" t="str">
        <f>IFERROR(__xludf.DUMMYFUNCTION("""COMPUTED_VALUE"""),"Javed Y.; Khayat M.A.; Elghariani A.A.; Ghafoor A.")</f>
        <v>Javed Y.; Khayat M.A.; Elghariani A.A.; Ghafoor A.</v>
      </c>
      <c r="E300" s="7" t="str">
        <f>IFERROR(__xludf.DUMMYFUNCTION("""COMPUTED_VALUE"""),"PRISM: A Hierarchical Intrusion Detection Architecture for Large-Scale Cyber Networks")</f>
        <v>PRISM: A Hierarchical Intrusion Detection Architecture for Large-Scale Cyber Networks</v>
      </c>
      <c r="F300" s="7" t="str">
        <f>IFERROR(__xludf.DUMMYFUNCTION("""COMPUTED_VALUE"""),"TDSC")</f>
        <v>TDSC</v>
      </c>
      <c r="G300" s="7" t="str">
        <f>IFERROR(__xludf.DUMMYFUNCTION("""COMPUTED_VALUE"""),"The increase in scale of cyber networks and the rise in sophistication of cyber-attacks have introduced several challenges in intrusion detection. The primary challenge is the requirement to detect complex multi-stage attacks in realtime by processing the"&amp;" immense amount of traffic produced by present-day networks. In this paper we present PRISM, a hierarchical intrusion detection architecture that uses a novel attacker behavior model-based sampling technique to minimize the realtime traffic processing ove"&amp;"rhead. PRISM has a unique multi-layered architecture that monitors network traffic distributedly to provide efficiency in processing and modularity in design. PRISM employs a Hidden Markov Model-based prediction mechanism to identify multi-stage attacks a"&amp;"nd ascertain the attack progression for a proactive response. Furthermore, PRISM introduces a stream management procedure that rectifies the issue of alert reordering when collected from distributed alert reporting systems. To evaluate the performance of "&amp;"PRISM, multiple metrics have been proposed, and various experiments have been conducted on multi-stage attack datasets. The results exhibit up to 7.5x improvement in processing overhead as compared to a standard centralized IDS without the loss of predict"&amp;"ion accuracy while demonstrating the ability to predict different attack stages promptly.  © 2004-2012 IEEE.")</f>
        <v>The increase in scale of cyber networks and the rise in sophistication of cyber-attacks have introduced several challenges in intrusion detection. The primary challenge is the requirement to detect complex multi-stage attacks in realtime by processing the immense amount of traffic produced by present-day networks. In this paper we present PRISM, a hierarchical intrusion detection architecture that uses a novel attacker behavior model-based sampling technique to minimize the realtime traffic processing overhead. PRISM has a unique multi-layered architecture that monitors network traffic distributedly to provide efficiency in processing and modularity in design. PRISM employs a Hidden Markov Model-based prediction mechanism to identify multi-stage attacks and ascertain the attack progression for a proactive response. Furthermore, PRISM introduces a stream management procedure that rectifies the issue of alert reordering when collected from distributed alert reporting systems. To evaluate the performance of PRISM, multiple metrics have been proposed, and various experiments have been conducted on multi-stage attack datasets. The results exhibit up to 7.5x improvement in processing overhead as compared to a standard centralized IDS without the loss of prediction accuracy while demonstrating the ability to predict different attack stages promptly.  © 2004-2012 IEEE.</v>
      </c>
      <c r="H300" s="8" t="str">
        <f>IFERROR(__xludf.DUMMYFUNCTION("""COMPUTED_VALUE"""),"intrusion detection; machine learning; Network security; network traffic sampling; stream processing; threat forecasting")</f>
        <v>intrusion detection; machine learning; Network security; network traffic sampling; stream processing; threat forecasting</v>
      </c>
      <c r="I300" s="10" t="b">
        <v>0</v>
      </c>
      <c r="J300" s="10" t="b">
        <v>0</v>
      </c>
      <c r="K300" s="10" t="b">
        <v>0</v>
      </c>
      <c r="L300" s="10" t="b">
        <v>0</v>
      </c>
      <c r="M300" s="10" t="b">
        <v>0</v>
      </c>
      <c r="N300" s="10" t="b">
        <v>0</v>
      </c>
      <c r="O300" s="11" t="b">
        <f t="shared" si="1"/>
        <v>0</v>
      </c>
      <c r="P300" s="16" t="b">
        <v>0</v>
      </c>
      <c r="Q300" s="7"/>
    </row>
    <row r="301">
      <c r="A301" s="5" t="b">
        <v>1</v>
      </c>
      <c r="B301" s="5" t="s">
        <v>339</v>
      </c>
      <c r="C301" s="6" t="str">
        <f>IFERROR(__xludf.DUMMYFUNCTION("""COMPUTED_VALUE"""),"10.1109/TDSC.2022.3198934")</f>
        <v>10.1109/TDSC.2022.3198934</v>
      </c>
      <c r="D301" s="7" t="str">
        <f>IFERROR(__xludf.DUMMYFUNCTION("""COMPUTED_VALUE"""),"Liang Y.; Qin Y.; Li Q.; Yan X.; Huangfu L.; Samtani S.; Guo B.; Yu Z.")</f>
        <v>Liang Y.; Qin Y.; Li Q.; Yan X.; Huangfu L.; Samtani S.; Guo B.; Yu Z.</v>
      </c>
      <c r="E301" s="7" t="str">
        <f>IFERROR(__xludf.DUMMYFUNCTION("""COMPUTED_VALUE"""),"An Escalated Eavesdropping Attack on Mobile Devices via Low-Resolution Vibration Signals")</f>
        <v>An Escalated Eavesdropping Attack on Mobile Devices via Low-Resolution Vibration Signals</v>
      </c>
      <c r="F301" s="7" t="str">
        <f>IFERROR(__xludf.DUMMYFUNCTION("""COMPUTED_VALUE"""),"TDSC")</f>
        <v>TDSC</v>
      </c>
      <c r="G301" s="7" t="str">
        <f>IFERROR(__xludf.DUMMYFUNCTION("""COMPUTED_VALUE"""),"With the global prevalence of mobile devices, concerns about mobile devices regarding privacy breaches and data leakage are rising. Although sensor permissions are required for mobile applications to access outputs of built-in sensors, motion sensors (e.g"&amp;"., accelerometer and gyroscope) can be visited directly without permission requirement. Extant studies have shown that motion sensors may cause breaches of confidential information, such as passwords, digits, and voice-based commands, but whether it is po"&amp;"ssible to synthesize intelligible speech waveforms from low-resolution motion sensors has been understudied. In this article, we present an escalated side-channel attack of built-in speakers by synthesizing intelligible speech waveforms from low-resolutio"&amp;"n vibration signals. Opposite to traditional classification problems, we formulate this task as a generative problem and introduce an end-to-end synthesis framework dubbed as AccMyrinx to eavesdrop on the speaker via the low-resolution vibration signals. "&amp;"In AccMyrinx, we introduce the data alignment solution to provide the pair-wise voice-vibration sequences and present wavelet-based MelGAN (WMelGAN) with multi-scale time-frequency domain discriminators to generate intelligible acoustic waveforms. We cond"&amp;"ucted intensive experiments and demonstrated the feasibility of synthesizing the intelligible acoustic signals from low-resolution solid-borne vibration signals. Compared with existing synthesis solutions, our proposed solution outperforms the baselines i"&amp;"n both subject and object metrics with the smoothed word error rate of 42.67% and the Mel-Cepstral distortion of 0.298. In addition, the quality of synthetic speeches could be impacted by several factors, including gender, speech rate, volume, and samplin"&amp;"g frequency.  © 2004-2012 IEEE.")</f>
        <v>With the global prevalence of mobile devices, concerns about mobile devices regarding privacy breaches and data leakage are rising. Although sensor permissions are required for mobile applications to access outputs of built-in sensors, motion sensors (e.g., accelerometer and gyroscope) can be visited directly without permission requirement. Extant studies have shown that motion sensors may cause breaches of confidential information, such as passwords, digits, and voice-based commands, but whether it is possible to synthesize intelligible speech waveforms from low-resolution motion sensors has been understudied. In this article, we present an escalated side-channel attack of built-in speakers by synthesizing intelligible speech waveforms from low-resolution vibration signals. Opposite to traditional classification problems, we formulate this task as a generative problem and introduce an end-to-end synthesis framework dubbed as AccMyrinx to eavesdrop on the speaker via the low-resolution vibration signals. In AccMyrinx, we introduce the data alignment solution to provide the pair-wise voice-vibration sequences and present wavelet-based MelGAN (WMelGAN) with multi-scale time-frequency domain discriminators to generate intelligible acoustic waveforms. We conducted intensive experiments and demonstrated the feasibility of synthesizing the intelligible acoustic signals from low-resolution solid-borne vibration signals. Compared with existing synthesis solutions, our proposed solution outperforms the baselines in both subject and object metrics with the smoothed word error rate of 42.67% and the Mel-Cepstral distortion of 0.298. In addition, the quality of synthetic speeches could be impacted by several factors, including gender, speech rate, volume, and sampling frequency.  © 2004-2012 IEEE.</v>
      </c>
      <c r="H301" s="8" t="str">
        <f>IFERROR(__xludf.DUMMYFUNCTION("""COMPUTED_VALUE"""),"motion sensor; Side-channel attack; speech synthesis; wavelet generative adversary network")</f>
        <v>motion sensor; Side-channel attack; speech synthesis; wavelet generative adversary network</v>
      </c>
      <c r="I301" s="10" t="b">
        <v>0</v>
      </c>
      <c r="J301" s="10" t="b">
        <v>0</v>
      </c>
      <c r="K301" s="10" t="b">
        <v>0</v>
      </c>
      <c r="L301" s="10" t="b">
        <v>0</v>
      </c>
      <c r="M301" s="10" t="b">
        <v>0</v>
      </c>
      <c r="N301" s="10" t="b">
        <v>0</v>
      </c>
      <c r="O301" s="11" t="b">
        <f t="shared" si="1"/>
        <v>0</v>
      </c>
      <c r="P301" s="16" t="b">
        <v>0</v>
      </c>
      <c r="Q301" s="7"/>
    </row>
    <row r="302">
      <c r="A302" s="5" t="b">
        <v>1</v>
      </c>
      <c r="B302" s="5" t="s">
        <v>340</v>
      </c>
      <c r="C302" s="6" t="str">
        <f>IFERROR(__xludf.DUMMYFUNCTION("""COMPUTED_VALUE"""),"10.1109/TDSC.2020.3015886")</f>
        <v>10.1109/TDSC.2020.3015886</v>
      </c>
      <c r="D302" s="7" t="str">
        <f>IFERROR(__xludf.DUMMYFUNCTION("""COMPUTED_VALUE"""),"Li J.; Ye H.; Li T.; Wang W.; Lou W.; Hou Y.T.; Liu J.; Lu R.")</f>
        <v>Li J.; Ye H.; Li T.; Wang W.; Lou W.; Hou Y.T.; Liu J.; Lu R.</v>
      </c>
      <c r="E302" s="7" t="str">
        <f>IFERROR(__xludf.DUMMYFUNCTION("""COMPUTED_VALUE"""),"Efficient and Secure Outsourcing of Differentially Private Data Publishing With Multiple Evaluators")</f>
        <v>Efficient and Secure Outsourcing of Differentially Private Data Publishing With Multiple Evaluators</v>
      </c>
      <c r="F302" s="7" t="str">
        <f>IFERROR(__xludf.DUMMYFUNCTION("""COMPUTED_VALUE"""),"TDSC")</f>
        <v>TDSC</v>
      </c>
      <c r="G302" s="7" t="str">
        <f>IFERROR(__xludf.DUMMYFUNCTION("""COMPUTED_VALUE"""),"Since big data becomes a main impetus to the next generation of IT industry, data privacy has received considerable attention in recent years. To deal with the privacy challenges, differential privacy has been widely discussed and related private mechanis"&amp;"ms are proposed as privacy-enhancing techniques. However, with today's differential privacy techniques, it is difficult to generate a sanitized dataset that can suit every machine learning task. In order to adapt to various tasks and budgets, different ki"&amp;"nds of privacy mechanisms have to be implemented, which inevitably incur enormous costs for computation and interaction. To this end, in this article, we propose two novel schemes for outsourcing differential privacy. The first scheme efficiently achieves"&amp;" outsourcing differential privacy by using our preprocessing method and secure building blocks. To support the queries from multiple evaluators, we give the second scheme that employs a trusted execution environment to aggregately implement privacy mechan"&amp;"isms on multiple queries. During data publishing, our proposed schemes allow providers to go off-line after uploading their datasets, so that they achieve a low communication cost which is one of the critical requirements for a practical system. Finally, "&amp;"we report an experimental evaluation on UCI datasets, which confirms the effectiveness of our schemes.  © 2004-2012 IEEE.")</f>
        <v>Since big data becomes a main impetus to the next generation of IT industry, data privacy has received considerable attention in recent years. To deal with the privacy challenges, differential privacy has been widely discussed and related private mechanisms are proposed as privacy-enhancing techniques. However, with today's differential privacy techniques, it is difficult to generate a sanitized dataset that can suit every machine learning task. In order to adapt to various tasks and budgets, different kinds of privacy mechanisms have to be implemented, which inevitably incur enormous costs for computation and interaction. To this end, in this article, we propose two novel schemes for outsourcing differential privacy. The first scheme efficiently achieves outsourcing differential privacy by using our preprocessing method and secure building blocks. To support the queries from multiple evaluators, we give the second scheme that employs a trusted execution environment to aggregately implement privacy mechanisms on multiple queries. During data publishing, our proposed schemes allow providers to go off-line after uploading their datasets, so that they achieve a low communication cost which is one of the critical requirements for a practical system. Finally, we report an experimental evaluation on UCI datasets, which confirms the effectiveness of our schemes.  © 2004-2012 IEEE.</v>
      </c>
      <c r="H302" s="8" t="str">
        <f>IFERROR(__xludf.DUMMYFUNCTION("""COMPUTED_VALUE"""),"cloud computing; Differential privacy; encryption; outsourcing")</f>
        <v>cloud computing; Differential privacy; encryption; outsourcing</v>
      </c>
      <c r="I302" s="10" t="b">
        <v>0</v>
      </c>
      <c r="J302" s="10" t="b">
        <v>0</v>
      </c>
      <c r="K302" s="10" t="b">
        <v>0</v>
      </c>
      <c r="L302" s="10" t="b">
        <v>0</v>
      </c>
      <c r="M302" s="10" t="b">
        <v>0</v>
      </c>
      <c r="N302" s="10" t="b">
        <v>0</v>
      </c>
      <c r="O302" s="11" t="b">
        <f t="shared" si="1"/>
        <v>0</v>
      </c>
      <c r="P302" s="16" t="b">
        <v>0</v>
      </c>
      <c r="Q302" s="7"/>
    </row>
    <row r="303">
      <c r="A303" s="5" t="b">
        <v>1</v>
      </c>
      <c r="B303" s="5" t="s">
        <v>341</v>
      </c>
      <c r="C303" s="6" t="str">
        <f>IFERROR(__xludf.DUMMYFUNCTION("""COMPUTED_VALUE"""),"10.1109/TDSC.2019.2894411")</f>
        <v>10.1109/TDSC.2019.2894411</v>
      </c>
      <c r="D303" s="7" t="str">
        <f>IFERROR(__xludf.DUMMYFUNCTION("""COMPUTED_VALUE"""),"Li J.; Huang Y.; Wei Y.; Lv S.; Liu Z.; Dong C.; Lou W.")</f>
        <v>Li J.; Huang Y.; Wei Y.; Lv S.; Liu Z.; Dong C.; Lou W.</v>
      </c>
      <c r="E303" s="7" t="str">
        <f>IFERROR(__xludf.DUMMYFUNCTION("""COMPUTED_VALUE"""),"Searchable Symmetric Encryption with Forward Search Privacy")</f>
        <v>Searchable Symmetric Encryption with Forward Search Privacy</v>
      </c>
      <c r="F303" s="7" t="str">
        <f>IFERROR(__xludf.DUMMYFUNCTION("""COMPUTED_VALUE"""),"TDSC")</f>
        <v>TDSC</v>
      </c>
      <c r="G303" s="7" t="str">
        <f>IFERROR(__xludf.DUMMYFUNCTION("""COMPUTED_VALUE"""),"Searchable symmetric encryption (SSE) has been widely applied in the encrypted database for queries in practice. Although SSE is powerful and feature-rich, it is always plagued by information leaks. Some recent attacks point out that forward privacy which"&amp;" disallows leakage from update operations, now becomes a basic requirement for any newly designed SSE schemes. However, the subsequent search operations can still leak a significant amount of information. To further strengthen security, we extend the defi"&amp;"nition of forward privacy and propose the notion of 'forward search privacy'. Intuitively, it requires search operations over newly added documents do not leak any information about past queries. The enhanced security notion poses new challenges to the de"&amp;"sign of SSE. We address the challenges by developing the hidden pointer technique (HPT) and propose a new SSE scheme called Khons, which satisfies our security notion (with the original forward privacy notion) and is also efficient. We implemented Khons a"&amp;"nd our experiment results on large dataset (wikipedia) show that it is more efficient than existing SSE schemes with forward privacy. © 2020 IEEE.")</f>
        <v>Searchable symmetric encryption (SSE) has been widely applied in the encrypted database for queries in practice. Although SSE is powerful and feature-rich, it is always plagued by information leaks. Some recent attacks point out that forward privacy which disallows leakage from update operations, now becomes a basic requirement for any newly designed SSE schemes. However, the subsequent search operations can still leak a significant amount of information. To further strengthen security, we extend the definition of forward privacy and propose the notion of 'forward search privacy'. Intuitively, it requires search operations over newly added documents do not leak any information about past queries. The enhanced security notion poses new challenges to the design of SSE. We address the challenges by developing the hidden pointer technique (HPT) and propose a new SSE scheme called Khons, which satisfies our security notion (with the original forward privacy notion) and is also efficient. We implemented Khons and our experiment results on large dataset (wikipedia) show that it is more efficient than existing SSE schemes with forward privacy. © 2020 IEEE.</v>
      </c>
      <c r="H303" s="8" t="str">
        <f>IFERROR(__xludf.DUMMYFUNCTION("""COMPUTED_VALUE"""),"data privacy; forward privacy; forward search privacy; Searchable encryption")</f>
        <v>data privacy; forward privacy; forward search privacy; Searchable encryption</v>
      </c>
      <c r="I303" s="10" t="b">
        <v>0</v>
      </c>
      <c r="J303" s="10" t="b">
        <v>0</v>
      </c>
      <c r="K303" s="10" t="b">
        <v>0</v>
      </c>
      <c r="L303" s="10" t="b">
        <v>0</v>
      </c>
      <c r="M303" s="10" t="b">
        <v>0</v>
      </c>
      <c r="N303" s="10" t="b">
        <v>0</v>
      </c>
      <c r="O303" s="11" t="b">
        <f t="shared" si="1"/>
        <v>0</v>
      </c>
      <c r="P303" s="16" t="b">
        <v>0</v>
      </c>
      <c r="Q303" s="7"/>
    </row>
    <row r="304">
      <c r="A304" s="5" t="b">
        <v>1</v>
      </c>
      <c r="B304" s="5" t="s">
        <v>342</v>
      </c>
      <c r="C304" s="6" t="str">
        <f>IFERROR(__xludf.DUMMYFUNCTION("""COMPUTED_VALUE"""),"10.1109/TDSC.2006.53")</f>
        <v>10.1109/TDSC.2006.53</v>
      </c>
      <c r="D304" s="7" t="str">
        <f>IFERROR(__xludf.DUMMYFUNCTION("""COMPUTED_VALUE"""),"Ciaramella A.; D'Arco P.; De Santis A.; Galdi C.; Tagliaferri R.")</f>
        <v>Ciaramella A.; D'Arco P.; De Santis A.; Galdi C.; Tagliaferri R.</v>
      </c>
      <c r="E304" s="7" t="str">
        <f>IFERROR(__xludf.DUMMYFUNCTION("""COMPUTED_VALUE"""),"Neural network techniques for proactive password checking")</f>
        <v>Neural network techniques for proactive password checking</v>
      </c>
      <c r="F304" s="7" t="str">
        <f>IFERROR(__xludf.DUMMYFUNCTION("""COMPUTED_VALUE"""),"TDSC")</f>
        <v>TDSC</v>
      </c>
      <c r="G304" s="7" t="str">
        <f>IFERROR(__xludf.DUMMYFUNCTION("""COMPUTED_VALUE"""),"This paper deals with the access control problem. We assume that valuable resources need to be protected against unauthorized users and that, to this aim, a password-based access control scheme is employed. Such an abstract scenario captures many applicat"&amp;"ive settings. The issue we focus our attention on is the following: Password-based schemes provide a certain level of security as long as users choose good passwords, i.e., passwords that are hard to guess in a reasonable amount of time. In order to force"&amp;" the users to make good choices, a proactive password checker can be implemented as a submodule of the access control scheme. Such a checker, any time the user chooses/changes his own password, decides on the fly whether to accept or refuse the new passwo"&amp;"rd, depending on its guessability. Hence, the question is: How can we get an effective and efficient proactive password checker? By means of neural networks and statistical techniques, we answer the above question, developing suitable proactive password c"&amp;"heckers. Through a series of experiments, we show that these checkers have very good performance: Error rates are comparable to those of the best existing checkers, implemented on different principles and by using other methodologies, and the memory requi"&amp;"rements are better in several cases. It is the first time that neural network technology has been fully and successfully applied to designing proactive password checkers. © 2006 IEEE.")</f>
        <v>This paper deals with the access control problem. We assume that valuable resources need to be protected against unauthorized users and that, to this aim, a password-based access control scheme is employed. Such an abstract scenario captures many applicative settings. The issue we focus our attention on is the following: Password-based schemes provide a certain level of security as long as users choose good passwords, i.e., passwords that are hard to guess in a reasonable amount of time. In order to force the users to make good choices, a proactive password checker can be implemented as a submodule of the access control scheme. Such a checker, any time the user chooses/changes his own password, decides on the fly whether to accept or refuse the new password, depending on its guessability. Hence, the question is: How can we get an effective and efficient proactive password checker? By means of neural networks and statistical techniques, we answer the above question, developing suitable proactive password checkers. Through a series of experiments, we show that these checkers have very good performance: Error rates are comparable to those of the best existing checkers, implemented on different principles and by using other methodologies, and the memory requirements are better in several cases. It is the first time that neural network technology has been fully and successfully applied to designing proactive password checkers. © 2006 IEEE.</v>
      </c>
      <c r="H304" s="8" t="str">
        <f>IFERROR(__xludf.DUMMYFUNCTION("""COMPUTED_VALUE"""),"Access control; Machine learning; Neural networks; Passwords; System security")</f>
        <v>Access control; Machine learning; Neural networks; Passwords; System security</v>
      </c>
      <c r="I304" s="10" t="b">
        <v>0</v>
      </c>
      <c r="J304" s="10" t="b">
        <v>0</v>
      </c>
      <c r="K304" s="10" t="b">
        <v>0</v>
      </c>
      <c r="L304" s="10" t="b">
        <v>0</v>
      </c>
      <c r="M304" s="10" t="b">
        <v>0</v>
      </c>
      <c r="N304" s="10" t="b">
        <v>0</v>
      </c>
      <c r="O304" s="11" t="b">
        <f t="shared" si="1"/>
        <v>0</v>
      </c>
      <c r="P304" s="16" t="b">
        <v>0</v>
      </c>
      <c r="Q304" s="7"/>
    </row>
    <row r="305">
      <c r="A305" s="5" t="b">
        <v>1</v>
      </c>
      <c r="B305" s="5" t="s">
        <v>343</v>
      </c>
      <c r="C305" s="6" t="str">
        <f>IFERROR(__xludf.DUMMYFUNCTION("""COMPUTED_VALUE"""),"10.1109/TDSC.2023.3276062")</f>
        <v>10.1109/TDSC.2023.3276062</v>
      </c>
      <c r="D305" s="7" t="str">
        <f>IFERROR(__xludf.DUMMYFUNCTION("""COMPUTED_VALUE"""),"Tripathi N.")</f>
        <v>Tripathi N.</v>
      </c>
      <c r="E305" s="7" t="str">
        <f>IFERROR(__xludf.DUMMYFUNCTION("""COMPUTED_VALUE"""),"&lt;italic&gt;Delays have Dangerous Ends&lt;/italic&gt;: Slow HTTP/2 DoS attacks into the Wild and their Real-Time Detection using Event Sequence Analysis")</f>
        <v>&lt;italic&gt;Delays have Dangerous Ends&lt;/italic&gt;: Slow HTTP/2 DoS attacks into the Wild and their Real-Time Detection using Event Sequence Analysis</v>
      </c>
      <c r="F305" s="7" t="str">
        <f>IFERROR(__xludf.DUMMYFUNCTION("""COMPUTED_VALUE"""),"TDSC")</f>
        <v>TDSC</v>
      </c>
      <c r="G305" s="7" t="str">
        <f>IFERROR(__xludf.DUMMYFUNCTION("""COMPUTED_VALUE"""),"Jon Postel&amp;#x0027;s robustness principle states that the communicating entities should be liberal while accepting the data. Several web servers on the Internet do follow this principle as they wait to receive the remaining portion of an incomplete web req"&amp;"uest. Unfortunately, this behaviour also makes them vulnerable to Slow Rate DoS attacks. A few approaches are known to counter Slow Rate DoS attacks against HTTP/1.1. However, those defence approaches are incompatible with HTTP/2 because of several operat"&amp;"ion differences between HTTP/1.1 and its successor, HTTP/2. Also, to the best of our knowledge, no defence scheme is known to detect Slow Rate DoS attacks against an HTTP/2 supporting web server in &lt;italic&gt;real-time&lt;/italic&gt;. To bridge this gap, in this p"&amp;"aper, we propose an event sequence analysis-based scheme to detect Slow HTTP/2 DoS attacks. Using extensive experiments, we show that the scheme can detect attacks in real-time with high accuracy and marginal computational overhead. As an aside, we also p"&amp;"resent a study on the behaviour of popular HTTP/2 servers on the Internet against Slow HTTP/2 DoS attacks. Surprisingly, we noticed that several of them are vulnerable to these attacks, thereby justifying the requirement for an effective real-time strateg"&amp;"y. IEEE")</f>
        <v>Jon Postel&amp;#x0027;s robustness principle states that the communicating entities should be liberal while accepting the data. Several web servers on the Internet do follow this principle as they wait to receive the remaining portion of an incomplete web request. Unfortunately, this behaviour also makes them vulnerable to Slow Rate DoS attacks. A few approaches are known to counter Slow Rate DoS attacks against HTTP/1.1. However, those defence approaches are incompatible with HTTP/2 because of several operation differences between HTTP/1.1 and its successor, HTTP/2. Also, to the best of our knowledge, no defence scheme is known to detect Slow Rate DoS attacks against an HTTP/2 supporting web server in &lt;italic&gt;real-time&lt;/italic&gt;. To bridge this gap, in this paper, we propose an event sequence analysis-based scheme to detect Slow HTTP/2 DoS attacks. Using extensive experiments, we show that the scheme can detect attacks in real-time with high accuracy and marginal computational overhead. As an aside, we also present a study on the behaviour of popular HTTP/2 servers on the Internet against Slow HTTP/2 DoS attacks. Surprisingly, we noticed that several of them are vulnerable to these attacks, thereby justifying the requirement for an effective real-time strategy. IEEE</v>
      </c>
      <c r="H305" s="8" t="str">
        <f>IFERROR(__xludf.DUMMYFUNCTION("""COMPUTED_VALUE"""),"Anomaly detection; Denial-of-service attack; Electronic mail; Event sequence analysis; HTTP/2; Internet; Protocols; Real-time systems; Security; Slow Rate DoS attacks; Web servers")</f>
        <v>Anomaly detection; Denial-of-service attack; Electronic mail; Event sequence analysis; HTTP/2; Internet; Protocols; Real-time systems; Security; Slow Rate DoS attacks; Web servers</v>
      </c>
      <c r="I305" s="10" t="b">
        <v>0</v>
      </c>
      <c r="J305" s="10" t="b">
        <v>0</v>
      </c>
      <c r="K305" s="10" t="b">
        <v>0</v>
      </c>
      <c r="L305" s="10" t="b">
        <v>0</v>
      </c>
      <c r="M305" s="10" t="b">
        <v>0</v>
      </c>
      <c r="N305" s="10" t="b">
        <v>0</v>
      </c>
      <c r="O305" s="11" t="b">
        <f t="shared" si="1"/>
        <v>0</v>
      </c>
      <c r="P305" s="16" t="b">
        <v>0</v>
      </c>
      <c r="Q305" s="7"/>
    </row>
    <row r="306">
      <c r="A306" s="5" t="b">
        <v>1</v>
      </c>
      <c r="B306" s="5" t="s">
        <v>344</v>
      </c>
      <c r="C306" s="6" t="str">
        <f>IFERROR(__xludf.DUMMYFUNCTION("""COMPUTED_VALUE"""),"10.1109/TDSC.2017.2715839")</f>
        <v>10.1109/TDSC.2017.2715839</v>
      </c>
      <c r="D306" s="7" t="str">
        <f>IFERROR(__xludf.DUMMYFUNCTION("""COMPUTED_VALUE"""),"Kappes G.; Hatzieleftheriou A.; Anastasiadis S.V.")</f>
        <v>Kappes G.; Hatzieleftheriou A.; Anastasiadis S.V.</v>
      </c>
      <c r="E306" s="7" t="str">
        <f>IFERROR(__xludf.DUMMYFUNCTION("""COMPUTED_VALUE"""),"Multitenant Access Control for Cloud-Aware Distributed Filesystems")</f>
        <v>Multitenant Access Control for Cloud-Aware Distributed Filesystems</v>
      </c>
      <c r="F306" s="7" t="str">
        <f>IFERROR(__xludf.DUMMYFUNCTION("""COMPUTED_VALUE"""),"TDSC")</f>
        <v>TDSC</v>
      </c>
      <c r="G306" s="7" t="str">
        <f>IFERROR(__xludf.DUMMYFUNCTION("""COMPUTED_VALUE"""),"In a virtualization environment that serves multiple tenants (independent organizations), storage consolidation at the filesystem level is desirable because it enables data sharing, administration efficiency, and performance optimizations. The scalable de"&amp;"ployment of filesystems in such environments is challenging due to intermediate translation layers required for networked file access or identity management. First we define the entities involved in a multitenant filesystem and present relevant security r"&amp;"equirements. Then we introduce the design of the Dike authorization architecture. It combines native access control with tenant namespace isolation and compatibility to object-based filesystems. We introduce secure protocols to authenticate the participat"&amp;"ing entities and authorize the data access over the network. We alternatively use a local cluster and a public cloud to experimentally evaluate a Dike prototype implementation that we developed. At several thousand tenants, our prototype incurs limited pe"&amp;"rformance overhead below 21 percent, unlike a solution from industry whose multitenancy overhead approaches 84 percent in some cases. © 2017 IEEE.")</f>
        <v>In a virtualization environment that serves multiple tenants (independent organizations), storage consolidation at the filesystem level is desirable because it enables data sharing, administration efficiency, and performance optimizations. The scalable deployment of filesystems in such environments is challenging due to intermediate translation layers required for networked file access or identity management. First we define the entities involved in a multitenant filesystem and present relevant security requirements. Then we introduce the design of the Dike authorization architecture. It combines native access control with tenant namespace isolation and compatibility to object-based filesystems. We introduce secure protocols to authenticate the participating entities and authorize the data access over the network. We alternatively use a local cluster and a public cloud to experimentally evaluate a Dike prototype implementation that we developed. At several thousand tenants, our prototype incurs limited performance overhead below 21 percent, unlike a solution from industry whose multitenancy overhead approaches 84 percent in some cases. © 2017 IEEE.</v>
      </c>
      <c r="H306" s="8" t="str">
        <f>IFERROR(__xludf.DUMMYFUNCTION("""COMPUTED_VALUE"""),"authorization; cloud storage; datacenter infrastructure; distributed filesystems; identity management; Security services")</f>
        <v>authorization; cloud storage; datacenter infrastructure; distributed filesystems; identity management; Security services</v>
      </c>
      <c r="I306" s="10" t="b">
        <v>0</v>
      </c>
      <c r="J306" s="10" t="b">
        <v>0</v>
      </c>
      <c r="K306" s="10" t="b">
        <v>0</v>
      </c>
      <c r="L306" s="10" t="b">
        <v>0</v>
      </c>
      <c r="M306" s="10" t="b">
        <v>0</v>
      </c>
      <c r="N306" s="10" t="b">
        <v>0</v>
      </c>
      <c r="O306" s="11" t="b">
        <f t="shared" si="1"/>
        <v>0</v>
      </c>
      <c r="P306" s="16" t="b">
        <v>0</v>
      </c>
      <c r="Q306" s="7"/>
    </row>
    <row r="307">
      <c r="A307" s="5" t="b">
        <v>1</v>
      </c>
      <c r="B307" s="5" t="s">
        <v>345</v>
      </c>
      <c r="C307" s="6" t="str">
        <f>IFERROR(__xludf.DUMMYFUNCTION("""COMPUTED_VALUE"""),"10.1109/TDSC.2008.74")</f>
        <v>10.1109/TDSC.2008.74</v>
      </c>
      <c r="D307" s="7" t="str">
        <f>IFERROR(__xludf.DUMMYFUNCTION("""COMPUTED_VALUE"""),"Kinder J.; Katzenbeisser S.; Schallhart C.; Veith H.")</f>
        <v>Kinder J.; Katzenbeisser S.; Schallhart C.; Veith H.</v>
      </c>
      <c r="E307" s="7" t="str">
        <f>IFERROR(__xludf.DUMMYFUNCTION("""COMPUTED_VALUE"""),"Proactive detection of computer worms using model checking")</f>
        <v>Proactive detection of computer worms using model checking</v>
      </c>
      <c r="F307" s="7" t="str">
        <f>IFERROR(__xludf.DUMMYFUNCTION("""COMPUTED_VALUE"""),"TDSC")</f>
        <v>TDSC</v>
      </c>
      <c r="G307" s="7" t="str">
        <f>IFERROR(__xludf.DUMMYFUNCTION("""COMPUTED_VALUE"""),"Although recent estimates are speaking of 200,000 different viruses, worms, and Trojan horses, the majority of them are variants of previously existing malware. As these variants mostly differ in their binary representation rather than their functionality"&amp;", they can be recognized by analyzing the program behavior, even though they are not covered by the signature databases of current antivirus tools. Proactive malware detectors mitigate this risk by detection procedures that use a single signature to detec"&amp;"t whole classes of functionally related malware without signature updates. It is evident that the quality of proactive detection procedures depends on their ability to analyze the semantics of the binary. In this paper, we propose the use of model checkin"&amp;"ga well-established software verification techniquefor proactive malware detection. We describe a tool that extracts an annotated control flow graph from the binary and automatically verifies it against a formal malware specification. To this end, we intr"&amp;"oduce the new specification language CTPL, which balances the high expressive power needed for malware signatures with efficient model checking algorithms. Our experiments demonstrate that our technique indeed is able to recognize variants of existing mal"&amp;"ware with a low risk of false positives. © 2006 IEEE.")</f>
        <v>Although recent estimates are speaking of 200,000 different viruses, worms, and Trojan horses, the majority of them are variants of previously existing malware. As these variants mostly differ in their binary representation rather than their functionality, they can be recognized by analyzing the program behavior, even though they are not covered by the signature databases of current antivirus tools. Proactive malware detectors mitigate this risk by detection procedures that use a single signature to detect whole classes of functionally related malware without signature updates. It is evident that the quality of proactive detection procedures depends on their ability to analyze the semantics of the binary. In this paper, we propose the use of model checkinga well-established software verification techniquefor proactive malware detection. We describe a tool that extracts an annotated control flow graph from the binary and automatically verifies it against a formal malware specification. To this end, we introduce the new specification language CTPL, which balances the high expressive power needed for malware signatures with efficient model checking algorithms. Our experiments demonstrate that our technique indeed is able to recognize variants of existing malware with a low risk of false positives. © 2006 IEEE.</v>
      </c>
      <c r="H307" s="8" t="str">
        <f>IFERROR(__xludf.DUMMYFUNCTION("""COMPUTED_VALUE"""),"Invasive software; Model checking")</f>
        <v>Invasive software; Model checking</v>
      </c>
      <c r="I307" s="10" t="b">
        <v>0</v>
      </c>
      <c r="J307" s="10" t="b">
        <v>0</v>
      </c>
      <c r="K307" s="10" t="b">
        <v>0</v>
      </c>
      <c r="L307" s="10" t="b">
        <v>0</v>
      </c>
      <c r="M307" s="10" t="b">
        <v>0</v>
      </c>
      <c r="N307" s="10" t="b">
        <v>0</v>
      </c>
      <c r="O307" s="11" t="b">
        <f t="shared" si="1"/>
        <v>0</v>
      </c>
      <c r="P307" s="16" t="b">
        <v>0</v>
      </c>
      <c r="Q307" s="7"/>
    </row>
    <row r="308">
      <c r="A308" s="5" t="b">
        <v>1</v>
      </c>
      <c r="B308" s="5" t="s">
        <v>346</v>
      </c>
      <c r="C308" s="6" t="str">
        <f>IFERROR(__xludf.DUMMYFUNCTION("""COMPUTED_VALUE"""),"10.1109/TDSC.2004.21")</f>
        <v>10.1109/TDSC.2004.21</v>
      </c>
      <c r="D308" s="7" t="str">
        <f>IFERROR(__xludf.DUMMYFUNCTION("""COMPUTED_VALUE"""),"Valeur F.; Vigna G.; Kruegel C.; Kemmerer R.A.")</f>
        <v>Valeur F.; Vigna G.; Kruegel C.; Kemmerer R.A.</v>
      </c>
      <c r="E308" s="7" t="str">
        <f>IFERROR(__xludf.DUMMYFUNCTION("""COMPUTED_VALUE"""),"A comprehensive approach to intrusion detection alert correlation")</f>
        <v>A comprehensive approach to intrusion detection alert correlation</v>
      </c>
      <c r="F308" s="7" t="str">
        <f>IFERROR(__xludf.DUMMYFUNCTION("""COMPUTED_VALUE"""),"TDSC")</f>
        <v>TDSC</v>
      </c>
      <c r="G308" s="7" t="str">
        <f>IFERROR(__xludf.DUMMYFUNCTION("""COMPUTED_VALUE"""),"Alert correlation is a process that analyzes the alerts produced by one or more intrusion detection systems and provides a more succinct and high-level view of occurring or attempted intrusions. Even though the correlation process is often presented as a "&amp;"single step, the analysis is actually carried out by a number of components, each of which has a specific goal. Unfortunately, most approaches to correlation concentrate on just a few components of the process, providing formalisms and techniques that add"&amp;"ress only specific correlation issues. This paper presents a general correlation model that includes a comprehensive set of components and a framework based on this model. A tool using the framework has been applied to a number of well-known intrusion det"&amp;"ection data sets to identify how each component contributes to the overall goals of correlation. The results of these experiments show that the correlation components are effective in achieving alert reduction and abstraction. They also show that the effe"&amp;"ctiveness of a component depends heavily on the nature of the data set analyzed. © 2004 IEEE.")</f>
        <v>Alert correlation is a process that analyzes the alerts produced by one or more intrusion detection systems and provides a more succinct and high-level view of occurring or attempted intrusions. Even though the correlation process is often presented as a single step, the analysis is actually carried out by a number of components, each of which has a specific goal. Unfortunately, most approaches to correlation concentrate on just a few components of the process, providing formalisms and techniques that address only specific correlation issues. This paper presents a general correlation model that includes a comprehensive set of components and a framework based on this model. A tool using the framework has been applied to a number of well-known intrusion detection data sets to identify how each component contributes to the overall goals of correlation. The results of these experiments show that the correlation components are effective in achieving alert reduction and abstraction. They also show that the effectiveness of a component depends heavily on the nature of the data set analyzed. © 2004 IEEE.</v>
      </c>
      <c r="H308" s="8" t="str">
        <f>IFERROR(__xludf.DUMMYFUNCTION("""COMPUTED_VALUE"""),"Alert correlation; Alert reduction; Correlation data sets; Intrusion detection")</f>
        <v>Alert correlation; Alert reduction; Correlation data sets; Intrusion detection</v>
      </c>
      <c r="I308" s="10" t="b">
        <v>0</v>
      </c>
      <c r="J308" s="10" t="b">
        <v>0</v>
      </c>
      <c r="K308" s="10" t="b">
        <v>0</v>
      </c>
      <c r="L308" s="10" t="b">
        <v>0</v>
      </c>
      <c r="M308" s="10" t="b">
        <v>0</v>
      </c>
      <c r="N308" s="10" t="b">
        <v>0</v>
      </c>
      <c r="O308" s="11" t="b">
        <f t="shared" si="1"/>
        <v>0</v>
      </c>
      <c r="P308" s="16" t="b">
        <v>0</v>
      </c>
      <c r="Q308" s="7"/>
    </row>
    <row r="309">
      <c r="A309" s="5" t="b">
        <v>1</v>
      </c>
      <c r="B309" s="5" t="s">
        <v>347</v>
      </c>
      <c r="C309" s="6" t="str">
        <f>IFERROR(__xludf.DUMMYFUNCTION("""COMPUTED_VALUE"""),"10.1109/TDSC.2021.3125231")</f>
        <v>10.1109/TDSC.2021.3125231</v>
      </c>
      <c r="D309" s="7" t="str">
        <f>IFERROR(__xludf.DUMMYFUNCTION("""COMPUTED_VALUE"""),"Shao Z.; Weng J.; Zhang Y.; Wu Y.; Li M.; Weng J.; Luo W.; Yu S.")</f>
        <v>Shao Z.; Weng J.; Zhang Y.; Wu Y.; Li M.; Weng J.; Luo W.; Yu S.</v>
      </c>
      <c r="E309" s="7" t="str">
        <f>IFERROR(__xludf.DUMMYFUNCTION("""COMPUTED_VALUE"""),"Peripheral-Free Device Pairing by Randomly Switching Power")</f>
        <v>Peripheral-Free Device Pairing by Randomly Switching Power</v>
      </c>
      <c r="F309" s="7" t="str">
        <f>IFERROR(__xludf.DUMMYFUNCTION("""COMPUTED_VALUE"""),"TDSC")</f>
        <v>TDSC</v>
      </c>
      <c r="G309" s="7" t="str">
        <f>IFERROR(__xludf.DUMMYFUNCTION("""COMPUTED_VALUE"""),"With the growing popularity of the Internet-of-Things (IoT), a massive amount of purpose-specific, heterogeneous, inexpensive devices have been deployed. To allow these devices to perform their duties and collaborate efficiently, designing a secure and de"&amp;"pendable communication channel is necessary. Pairing, as the fundamental procedure for establishing a trustworthy communication channel, has received extensive attention from security researchers. Previous secure pairing protocols depend on auxiliary peri"&amp;"pherals (e.g., displays, speakers) to share the secret message, while for those products featuring with low-price, manufacturers would probably adopt insecure pairing methods to reduce the cost, so the devices may be subject to various attacks. To mitigat"&amp;"e such a situation, we design a peripheral-free secure pairing protocol, termed SwitchPairing. Our protocol only requires users to connect the pre-pairing devices to the same power source, then randomly presses and releases the switch to generate a shared"&amp;" secret. It does not require additional peripherals and can defense eavesdropping and replay attacks innately. We implement a prototype via two CC2640R2F development boards and invite volunteers to participate in the experiments about bench-marking securi"&amp;"ty and usability. The result of our experiments show that our protocol can fulfill the security and efficient requirement of various IoT applications. © 2004-2012 IEEE.")</f>
        <v>With the growing popularity of the Internet-of-Things (IoT), a massive amount of purpose-specific, heterogeneous, inexpensive devices have been deployed. To allow these devices to perform their duties and collaborate efficiently, designing a secure and dependable communication channel is necessary. Pairing, as the fundamental procedure for establishing a trustworthy communication channel, has received extensive attention from security researchers. Previous secure pairing protocols depend on auxiliary peripherals (e.g., displays, speakers) to share the secret message, while for those products featuring with low-price, manufacturers would probably adopt insecure pairing methods to reduce the cost, so the devices may be subject to various attacks. To mitigate such a situation, we design a peripheral-free secure pairing protocol, termed SwitchPairing. Our protocol only requires users to connect the pre-pairing devices to the same power source, then randomly presses and releases the switch to generate a shared secret. It does not require additional peripherals and can defense eavesdropping and replay attacks innately. We implement a prototype via two CC2640R2F development boards and invite volunteers to participate in the experiments about bench-marking security and usability. The result of our experiments show that our protocol can fulfill the security and efficient requirement of various IoT applications. © 2004-2012 IEEE.</v>
      </c>
      <c r="H309" s="8" t="str">
        <f>IFERROR(__xludf.DUMMYFUNCTION("""COMPUTED_VALUE"""),"IoT security; pairing protocols; proximity-based device pairing")</f>
        <v>IoT security; pairing protocols; proximity-based device pairing</v>
      </c>
      <c r="I309" s="9" t="b">
        <v>1</v>
      </c>
      <c r="J309" s="10" t="b">
        <v>0</v>
      </c>
      <c r="K309" s="10" t="b">
        <v>0</v>
      </c>
      <c r="L309" s="10" t="b">
        <v>0</v>
      </c>
      <c r="M309" s="10" t="b">
        <v>0</v>
      </c>
      <c r="N309" s="10" t="b">
        <v>0</v>
      </c>
      <c r="O309" s="11" t="b">
        <f t="shared" si="1"/>
        <v>0</v>
      </c>
      <c r="P309" s="16" t="b">
        <v>0</v>
      </c>
      <c r="Q309" s="7"/>
    </row>
    <row r="310">
      <c r="A310" s="5" t="b">
        <v>1</v>
      </c>
      <c r="B310" s="5" t="s">
        <v>348</v>
      </c>
      <c r="C310" s="6" t="str">
        <f>IFERROR(__xludf.DUMMYFUNCTION("""COMPUTED_VALUE"""),"10.1109/TDSC.2021.3055495")</f>
        <v>10.1109/TDSC.2021.3055495</v>
      </c>
      <c r="D310" s="7" t="str">
        <f>IFERROR(__xludf.DUMMYFUNCTION("""COMPUTED_VALUE"""),"Wei J.; Chen X.; Wang J.; Hu X.; Ma J.")</f>
        <v>Wei J.; Chen X.; Wang J.; Hu X.; Ma J.</v>
      </c>
      <c r="E310" s="7" t="str">
        <f>IFERROR(__xludf.DUMMYFUNCTION("""COMPUTED_VALUE"""),"Enabling (End-to-End) Encrypted Cloud Emails With Practical Forward Secrecy")</f>
        <v>Enabling (End-to-End) Encrypted Cloud Emails With Practical Forward Secrecy</v>
      </c>
      <c r="F310" s="7" t="str">
        <f>IFERROR(__xludf.DUMMYFUNCTION("""COMPUTED_VALUE"""),"TDSC")</f>
        <v>TDSC</v>
      </c>
      <c r="G310" s="7" t="str">
        <f>IFERROR(__xludf.DUMMYFUNCTION("""COMPUTED_VALUE"""),"With the widespread use of cloud emails and frequent reports on large-scale email leakage events, a security property so-called forward secrecy becomes desirable and indispensable for both individuals and cloud email service providers to strengthen the se"&amp;"curity of cloud email systems. Specifically, forward secrecy can guarantee the confidentiality of those previously encrypted emails even if the user's secret key gets exposed. However, due to the failure to meet the security and practicality requirements "&amp;"of email systems simultaneously, typical methods of achieving forward secrecy, such as Diffie-Hellman key exchange and forward-secure public-key encryption, have not been widely approved and adopted. In this article, to capture forward secrecy of encrypte"&amp;"d cloud email systems without sacrificing the practicability, we introduce a new cryptographic primitive named forward-secure puncturable identity-based encryption (fs-PIBE), which enables an email user to perform fine-grained revocation of decryption cap"&amp;"acity. In more detail, the user is allowed to preserve the decryption capacity of unreceived encrypted emails, while abolishing that of those received ones. Thus, it provides more practical forward secrecy than typical manners, in which the decryption cap"&amp;"acity of received and unreceived encrypted emails is revoked simultaneously. Based on such a primitive, we build a framework of encrypted cloud email systems, and instantiate it with a concrete fs-PIBE construction that has constant size of ciphertext and"&amp;" provable security in the standard model. Furthermore, to improve the security and efficiency of the presented framework, we extend the proposed fs-PIBE scheme to support end-to-end encryption and outsourced decryption, respectively. In addition, as a pro"&amp;"of-of-concept of the proposed fs-PIBE scheme, we implement it and produce various experiments to demonstrate its practicability and correctness.  © 2004-2012 IEEE.")</f>
        <v>With the widespread use of cloud emails and frequent reports on large-scale email leakage events, a security property so-called forward secrecy becomes desirable and indispensable for both individuals and cloud email service providers to strengthen the security of cloud email systems. Specifically, forward secrecy can guarantee the confidentiality of those previously encrypted emails even if the user's secret key gets exposed. However, due to the failure to meet the security and practicality requirements of email systems simultaneously, typical methods of achieving forward secrecy, such as Diffie-Hellman key exchange and forward-secure public-key encryption, have not been widely approved and adopted. In this article, to capture forward secrecy of encrypted cloud email systems without sacrificing the practicability, we introduce a new cryptographic primitive named forward-secure puncturable identity-based encryption (fs-PIBE), which enables an email user to perform fine-grained revocation of decryption capacity. In more detail, the user is allowed to preserve the decryption capacity of unreceived encrypted emails, while abolishing that of those received ones. Thus, it provides more practical forward secrecy than typical manners, in which the decryption capacity of received and unreceived encrypted emails is revoked simultaneously. Based on such a primitive, we build a framework of encrypted cloud email systems, and instantiate it with a concrete fs-PIBE construction that has constant size of ciphertext and provable security in the standard model. Furthermore, to improve the security and efficiency of the presented framework, we extend the proposed fs-PIBE scheme to support end-to-end encryption and outsourced decryption, respectively. In addition, as a proof-of-concept of the proposed fs-PIBE scheme, we implement it and produce various experiments to demonstrate its practicability and correctness.  © 2004-2012 IEEE.</v>
      </c>
      <c r="H310" s="8" t="str">
        <f>IFERROR(__xludf.DUMMYFUNCTION("""COMPUTED_VALUE"""),"Encrypted cloud emails; end-to-end security; forward secrecy; identity-based encryption; puncturable encryption")</f>
        <v>Encrypted cloud emails; end-to-end security; forward secrecy; identity-based encryption; puncturable encryption</v>
      </c>
      <c r="I310" s="10" t="b">
        <v>0</v>
      </c>
      <c r="J310" s="10" t="b">
        <v>0</v>
      </c>
      <c r="K310" s="10" t="b">
        <v>0</v>
      </c>
      <c r="L310" s="10" t="b">
        <v>0</v>
      </c>
      <c r="M310" s="10" t="b">
        <v>0</v>
      </c>
      <c r="N310" s="10" t="b">
        <v>0</v>
      </c>
      <c r="O310" s="11" t="b">
        <f t="shared" si="1"/>
        <v>0</v>
      </c>
      <c r="P310" s="16" t="b">
        <v>0</v>
      </c>
      <c r="Q310" s="7"/>
    </row>
    <row r="311">
      <c r="A311" s="5" t="b">
        <v>1</v>
      </c>
      <c r="B311" s="5" t="s">
        <v>349</v>
      </c>
      <c r="C311" s="6" t="str">
        <f>IFERROR(__xludf.DUMMYFUNCTION("""COMPUTED_VALUE"""),"10.1109/TDSC.2022.3227945")</f>
        <v>10.1109/TDSC.2022.3227945</v>
      </c>
      <c r="D311" s="7" t="str">
        <f>IFERROR(__xludf.DUMMYFUNCTION("""COMPUTED_VALUE"""),"Fang H.; Qiu Y.; Qin G.; Zhang J.; Chen K.; Zhang W.; Chang E.")</f>
        <v>Fang H.; Qiu Y.; Qin G.; Zhang J.; Chen K.; Zhang W.; Chang E.</v>
      </c>
      <c r="E311" s="7" t="str">
        <f>IFERROR(__xludf.DUMMYFUNCTION("""COMPUTED_VALUE"""),"DP&lt;inline-formula&gt;&lt;tex-math notation=""LaTeX""&gt;$^{2}$&lt;/tex-math&gt;&lt;/inline-formula&gt;: Dataset Protection by Data Poisoning")</f>
        <v>DP&lt;inline-formula&gt;&lt;tex-math notation="LaTeX"&gt;$^{2}$&lt;/tex-math&gt;&lt;/inline-formula&gt;: Dataset Protection by Data Poisoning</v>
      </c>
      <c r="F311" s="7" t="str">
        <f>IFERROR(__xludf.DUMMYFUNCTION("""COMPUTED_VALUE"""),"TDSC")</f>
        <v>TDSC</v>
      </c>
      <c r="G311" s="7" t="str">
        <f>IFERROR(__xludf.DUMMYFUNCTION("""COMPUTED_VALUE"""),"A high-value dataset is the key for accurate deep learning models, therefore, protecting the dataset is particularly important. Once the dataset is stolen, the attacker can easily train a surrogate model with similar performance to the original model. One"&amp;" possible solution to address such threat is data poisoning, whereby the performance of the surrogate model could be greatly influenced if trained with poisoned dataset. This paper focuses on an advanced scenario where the attacker might be an experienced"&amp;" malicious employee who has the white-box access to the dataset and black-box access (can only query) to original business model (&lt;italic&gt;e.g.&lt;/italic&gt; MLaaS model). In order to re-train a surrogate model, he may first judge whether the dataset is poisone"&amp;"d and then try to erase potential perturbations to restore the original dataset. Under this condition, three main requirements must be satisfied: 1. &lt;bold&gt;Imperceptibility&lt;/bold&gt;, which ensures that the poisoned data is not easily identified by human eyes"&amp;"; 2. &lt;bold&gt;Robustness&lt;/bold&gt;, which ensures that the perturbation is not easily erased. 3. &lt;bold&gt;Stealthiness&lt;/bold&gt;, which ensures that the poisoned data will not be recognized by the original business model i.e. produce abnormal output. In this paper, w"&amp;"e propose a novel &lt;bold&gt;d&lt;/bold&gt;ata &lt;bold&gt;p&lt;/bold&gt;rotection method by &lt;bold&gt;d&lt;/bold&gt;ata &lt;bold&gt;p&lt;/bold&gt;oisoning dubbed DP&lt;inline-formula&gt;&lt;tex-math notation=""LaTeX""&gt;$^{2}$&lt;/tex-math&gt;&lt;/inline-formula&gt; to meet the requirements. To achieve imperceptibility a"&amp;"nd robustness, we propose a poisoning mechanism that consists of a poisoning process and a balancing process. The poisoning process is conducted by a designed dual-U-Net-based poisoning network, by training with the reference mapping strategy and the corr"&amp;"esponding noise layer, the imperceptibility and robustness can be both achieved. Then the balancing process is performed to balance the imperceptibility and poisoning performance. As for stealthiness, we propose a recover-net to eliminate the perturbation"&amp;", so that the business model with black-box access could be an enclose version of the recover-net and the original business model. Besides, based on the recover-net, the poisoned dataset could be re-applied for the normal use. Various experiments indicate"&amp;" superior performance of the proposed scheme in the view of imperceptibility and robustness compared with other schemes. The solution which makes the poisoned data recoverable greatly ensures the stealthiness, and the derived recoverability of poisoned da"&amp;"ta could be utilized in other scenarios. IEEE")</f>
        <v>A high-value dataset is the key for accurate deep learning models, therefore, protecting the dataset is particularly important. Once the dataset is stolen, the attacker can easily train a surrogate model with similar performance to the original model. One possible solution to address such threat is data poisoning, whereby the performance of the surrogate model could be greatly influenced if trained with poisoned dataset. This paper focuses on an advanced scenario where the attacker might be an experienced malicious employee who has the white-box access to the dataset and black-box access (can only query) to original business model (&lt;italic&gt;e.g.&lt;/italic&gt; MLaaS model). In order to re-train a surrogate model, he may first judge whether the dataset is poisoned and then try to erase potential perturbations to restore the original dataset. Under this condition, three main requirements must be satisfied: 1. &lt;bold&gt;Imperceptibility&lt;/bold&gt;, which ensures that the poisoned data is not easily identified by human eyes; 2. &lt;bold&gt;Robustness&lt;/bold&gt;, which ensures that the perturbation is not easily erased. 3. &lt;bold&gt;Stealthiness&lt;/bold&gt;, which ensures that the poisoned data will not be recognized by the original business model i.e. produce abnormal output. In this paper, we propose a novel &lt;bold&gt;d&lt;/bold&gt;ata &lt;bold&gt;p&lt;/bold&gt;rotection method by &lt;bold&gt;d&lt;/bold&gt;ata &lt;bold&gt;p&lt;/bold&gt;oisoning dubbed DP&lt;inline-formula&gt;&lt;tex-math notation="LaTeX"&gt;$^{2}$&lt;/tex-math&gt;&lt;/inline-formula&gt; to meet the requirements. To achieve imperceptibility and robustness, we propose a poisoning mechanism that consists of a poisoning process and a balancing process. The poisoning process is conducted by a designed dual-U-Net-based poisoning network, by training with the reference mapping strategy and the corresponding noise layer, the imperceptibility and robustness can be both achieved. Then the balancing process is performed to balance the imperceptibility and poisoning performance. As for stealthiness, we propose a recover-net to eliminate the perturbation, so that the business model with black-box access could be an enclose version of the recover-net and the original business model. Besides, based on the recover-net, the poisoned dataset could be re-applied for the normal use. Various experiments indicate superior performance of the proposed scheme in the view of imperceptibility and robustness compared with other schemes. The solution which makes the poisoned data recoverable greatly ensures the stealthiness, and the derived recoverability of poisoned data could be utilized in other scenarios. IEEE</v>
      </c>
      <c r="H311" s="8" t="str">
        <f>IFERROR(__xludf.DUMMYFUNCTION("""COMPUTED_VALUE"""),"Biological system modeling; Data models; Data poisoning; dataset protection; Distortion; imperceptibility; Perturbation methods; recoverability; robustness; Robustness; stealthiness; surrogate model; Training; Visualization")</f>
        <v>Biological system modeling; Data models; Data poisoning; dataset protection; Distortion; imperceptibility; Perturbation methods; recoverability; robustness; Robustness; stealthiness; surrogate model; Training; Visualization</v>
      </c>
      <c r="I311" s="10" t="b">
        <v>0</v>
      </c>
      <c r="J311" s="10" t="b">
        <v>0</v>
      </c>
      <c r="K311" s="10" t="b">
        <v>0</v>
      </c>
      <c r="L311" s="10" t="b">
        <v>0</v>
      </c>
      <c r="M311" s="10" t="b">
        <v>0</v>
      </c>
      <c r="N311" s="10" t="b">
        <v>0</v>
      </c>
      <c r="O311" s="11" t="b">
        <f t="shared" si="1"/>
        <v>0</v>
      </c>
      <c r="P311" s="16" t="b">
        <v>0</v>
      </c>
      <c r="Q311" s="7"/>
    </row>
    <row r="312">
      <c r="A312" s="5" t="b">
        <v>1</v>
      </c>
      <c r="B312" s="5" t="s">
        <v>350</v>
      </c>
      <c r="C312" s="6" t="str">
        <f>IFERROR(__xludf.DUMMYFUNCTION("""COMPUTED_VALUE"""),"10.1109/TDSC.2022.3194089")</f>
        <v>10.1109/TDSC.2022.3194089</v>
      </c>
      <c r="D312" s="7" t="str">
        <f>IFERROR(__xludf.DUMMYFUNCTION("""COMPUTED_VALUE"""),"Maiti R.R.; Yoong C.H.; Palleti V.R.; Silva A.; Poskitt C.M.")</f>
        <v>Maiti R.R.; Yoong C.H.; Palleti V.R.; Silva A.; Poskitt C.M.</v>
      </c>
      <c r="E312" s="7" t="str">
        <f>IFERROR(__xludf.DUMMYFUNCTION("""COMPUTED_VALUE"""),"Mitigating Adversarial Attacks on Data-Driven Invariant Checkers for Cyber-Physical Systems")</f>
        <v>Mitigating Adversarial Attacks on Data-Driven Invariant Checkers for Cyber-Physical Systems</v>
      </c>
      <c r="F312" s="7" t="str">
        <f>IFERROR(__xludf.DUMMYFUNCTION("""COMPUTED_VALUE"""),"TDSC")</f>
        <v>TDSC</v>
      </c>
      <c r="G312" s="7" t="str">
        <f>IFERROR(__xludf.DUMMYFUNCTION("""COMPUTED_VALUE"""),"The use of invariants in developing security mechanisms has become an attractive research area because of their potential to both prevent attacks and detect attacks in Cyber-Physical Systems (CPS). In general, an invariant is a property that is expressed "&amp;"using design parameters along with Boolean operators and which always holds in normal operation of a system, in particular, a CPS. Invariants can be derived by analysing operational data of various design parameters in a running CPS, or by analysing the s"&amp;"ystem's requirements/design documents, with both of the approaches demonstrating significant potential to detect and prevent cyber-attacks on a CPS. While data-driven invariant generation can be fully automated, design-driven invariant generation has a su"&amp;"bstantial manual intervention. In this paper, we aim to highlight the shortcomings in data-driven invariants by demonstrating a set of adversarial attacks on such invariants. We propose a solution strategy to detect such attacks by complementing them with"&amp;" design-driven invariants. We perform all our experiments on a real water treatment testbed. We shall demonstrate that our approach can significantly reduce false positives and achieve high accuracy in attack detection on CPSs.  © 2004-2012 IEEE.")</f>
        <v>The use of invariants in developing security mechanisms has become an attractive research area because of their potential to both prevent attacks and detect attacks in Cyber-Physical Systems (CPS). In general, an invariant is a property that is expressed using design parameters along with Boolean operators and which always holds in normal operation of a system, in particular, a CPS. Invariants can be derived by analysing operational data of various design parameters in a running CPS, or by analysing the system's requirements/design documents, with both of the approaches demonstrating significant potential to detect and prevent cyber-attacks on a CPS. While data-driven invariant generation can be fully automated, design-driven invariant generation has a substantial manual intervention. In this paper, we aim to highlight the shortcomings in data-driven invariants by demonstrating a set of adversarial attacks on such invariants. We propose a solution strategy to detect such attacks by complementing them with design-driven invariants. We perform all our experiments on a real water treatment testbed. We shall demonstrate that our approach can significantly reduce false positives and achieve high accuracy in attack detection on CPSs.  © 2004-2012 IEEE.</v>
      </c>
      <c r="H312" s="8" t="str">
        <f>IFERROR(__xludf.DUMMYFUNCTION("""COMPUTED_VALUE"""),"adversarial attacks; axiomatic design; Cyber-physical systems; data-driven invariants; design-driven invariants")</f>
        <v>adversarial attacks; axiomatic design; Cyber-physical systems; data-driven invariants; design-driven invariants</v>
      </c>
      <c r="I312" s="10" t="b">
        <v>0</v>
      </c>
      <c r="J312" s="10" t="b">
        <v>0</v>
      </c>
      <c r="K312" s="10" t="b">
        <v>0</v>
      </c>
      <c r="L312" s="10" t="b">
        <v>0</v>
      </c>
      <c r="M312" s="10" t="b">
        <v>0</v>
      </c>
      <c r="N312" s="10" t="b">
        <v>0</v>
      </c>
      <c r="O312" s="11" t="b">
        <f t="shared" si="1"/>
        <v>0</v>
      </c>
      <c r="P312" s="16" t="b">
        <v>0</v>
      </c>
      <c r="Q312" s="7"/>
    </row>
    <row r="313">
      <c r="A313" s="5" t="b">
        <v>1</v>
      </c>
      <c r="B313" s="5" t="s">
        <v>351</v>
      </c>
      <c r="C313" s="6" t="str">
        <f>IFERROR(__xludf.DUMMYFUNCTION("""COMPUTED_VALUE"""),"10.1109/TDSC.2020.3005088")</f>
        <v>10.1109/TDSC.2020.3005088</v>
      </c>
      <c r="D313" s="7" t="str">
        <f>IFERROR(__xludf.DUMMYFUNCTION("""COMPUTED_VALUE"""),"Xu J.; Li Y.; Deng R.H.; Xu K.")</f>
        <v>Xu J.; Li Y.; Deng R.H.; Xu K.</v>
      </c>
      <c r="E313" s="7" t="str">
        <f>IFERROR(__xludf.DUMMYFUNCTION("""COMPUTED_VALUE"""),"SDAC: A Slow-Aging Solution for Android Malware Detection Using Semantic Distance Based API Clustering")</f>
        <v>SDAC: A Slow-Aging Solution for Android Malware Detection Using Semantic Distance Based API Clustering</v>
      </c>
      <c r="F313" s="7" t="str">
        <f>IFERROR(__xludf.DUMMYFUNCTION("""COMPUTED_VALUE"""),"TDSC")</f>
        <v>TDSC</v>
      </c>
      <c r="G313" s="7" t="str">
        <f>IFERROR(__xludf.DUMMYFUNCTION("""COMPUTED_VALUE"""),"A novel slow-aging solution named SDAC is proposed to address the model aging problem in Android malware detection, which is due to the lack of adapting to the changes in Android specifications during malware detection. Different from periodic retraining "&amp;"of detection models in existing solutions, SDAC evolves effectively by evaluating new APIs' contributions to malware detection according to existing API's contributions. In SDAC, the contributions of APIs are evaluated by their contexts in the API call se"&amp;"quences extracted from Android apps. A neural network is applied on the sequences to assign APIs to vectors, among which the differences of API vectors are regarded as the semantic distances. SDAC then clusters all APIs based on their semantic distances t"&amp;"o create a feature set in the training phase, and extends the feature set to include all new APIs in the detecting phase. Without being trained by any new set of real-labelled apps, SDAC can adapt to the changes in Android specifications by simply identif"&amp;"ying new APIs appearing in the detection phase. In extensive experiments with datasets dated from 2011 to 2016, SDAC achieves a significantly higher accuracy and a significantly slower aging speed compared with MaMaDroid, a state-of-the-art Android malwar"&amp;"e detection solution which maintains resilience to API changes. © 2004-2012 IEEE.")</f>
        <v>A novel slow-aging solution named SDAC is proposed to address the model aging problem in Android malware detection, which is due to the lack of adapting to the changes in Android specifications during malware detection. Different from periodic retraining of detection models in existing solutions, SDAC evolves effectively by evaluating new APIs' contributions to malware detection according to existing API's contributions. In SDAC, the contributions of APIs are evaluated by their contexts in the API call sequences extracted from Android apps. A neural network is applied on the sequences to assign APIs to vectors, among which the differences of API vectors are regarded as the semantic distances. SDAC then clusters all APIs based on their semantic distances to create a feature set in the training phase, and extends the feature set to include all new APIs in the detecting phase. Without being trained by any new set of real-labelled apps, SDAC can adapt to the changes in Android specifications by simply identifying new APIs appearing in the detection phase. In extensive experiments with datasets dated from 2011 to 2016, SDAC achieves a significantly higher accuracy and a significantly slower aging speed compared with MaMaDroid, a state-of-the-art Android malware detection solution which maintains resilience to API changes. © 2004-2012 IEEE.</v>
      </c>
      <c r="H313" s="8" t="str">
        <f>IFERROR(__xludf.DUMMYFUNCTION("""COMPUTED_VALUE"""),"Android malware detection; mobile security")</f>
        <v>Android malware detection; mobile security</v>
      </c>
      <c r="I313" s="10" t="b">
        <v>0</v>
      </c>
      <c r="J313" s="10" t="b">
        <v>0</v>
      </c>
      <c r="K313" s="10" t="b">
        <v>0</v>
      </c>
      <c r="L313" s="10" t="b">
        <v>0</v>
      </c>
      <c r="M313" s="10" t="b">
        <v>0</v>
      </c>
      <c r="N313" s="10" t="b">
        <v>0</v>
      </c>
      <c r="O313" s="11" t="b">
        <f t="shared" si="1"/>
        <v>0</v>
      </c>
      <c r="P313" s="16" t="b">
        <v>0</v>
      </c>
      <c r="Q313" s="7"/>
    </row>
    <row r="314">
      <c r="A314" s="5" t="b">
        <v>1</v>
      </c>
      <c r="B314" s="5" t="s">
        <v>352</v>
      </c>
      <c r="C314" s="6" t="str">
        <f>IFERROR(__xludf.DUMMYFUNCTION("""COMPUTED_VALUE"""),"10.1109/TDSC.2019.2937925")</f>
        <v>10.1109/TDSC.2019.2937925</v>
      </c>
      <c r="D314" s="7" t="str">
        <f>IFERROR(__xludf.DUMMYFUNCTION("""COMPUTED_VALUE"""),"Hsu F.-H.; Liu N.-C.; Hwang Y.-L.; Liu C.-H.; Wang C.-S.; Chen C.-Y.")</f>
        <v>Hsu F.-H.; Liu N.-C.; Hwang Y.-L.; Liu C.-H.; Wang C.-S.; Chen C.-Y.</v>
      </c>
      <c r="E314" s="7" t="str">
        <f>IFERROR(__xludf.DUMMYFUNCTION("""COMPUTED_VALUE"""),"DPC:A Dynamic Permission Control Mechanism for Android Third-Party Libraries")</f>
        <v>DPC:A Dynamic Permission Control Mechanism for Android Third-Party Libraries</v>
      </c>
      <c r="F314" s="7" t="str">
        <f>IFERROR(__xludf.DUMMYFUNCTION("""COMPUTED_VALUE"""),"TDSC")</f>
        <v>TDSC</v>
      </c>
      <c r="G314" s="7" t="str">
        <f>IFERROR(__xludf.DUMMYFUNCTION("""COMPUTED_VALUE"""),"Today's smartphone app stores are full of apps with diverse features. Many developers use third-party libraries to reduce the development time and cost, but developers often ignore the security problems of third-party libraries. A major security problem i"&amp;"ntroduced by third-party libraries is that a third-party library has the same permissions as the apps, called host-apps hereafter, that use it. According to previous research, having the same permissions as its host apps, a third-party library could have "&amp;"unauthorized access to user data, which poses a serious threat to app users. Therefore, how to prevent third-party libraries from abusing permissions has become an important issue. To solve this problem, this paper proposes a Dynamic Permission Control me"&amp;"chanism, called Dynamic Permission Controller or DPC hereafter, for app developers to prohibit third-party libraries from abusing host apps' dangerous permissions. DPC modifies the permission control mechanism of Android framework to make apps have a more"&amp;" flexible permission management mechanism when they are running. DPC provides new APIs which allows an app to dynamically disable a granted dangerous permission before invoking an API of a third-party library and restore the dangerous permission after com"&amp;"pleting the API. Hence, DPC protects user's privacy by blocking unauthorized access from third-party libraries. Meanwhile, without the requirement that an app developer needs to know the detail of third-party libraries, the app still can use APIs of third"&amp;"-party libraries safely. Experimental results show that DPC works with many popular apps downloaded from Google Play well and DPC prohibits a third-party library from having the same dangerous permissions that its host apps have. Hence, unlike previous so"&amp;"lutions, DPC does not have compatibility problems. The overhead introduced by DPC on an emulator and Nexus 7 are 1.8 and 0.3 percent respectively.  © 2004-2012 IEEE.")</f>
        <v>Today's smartphone app stores are full of apps with diverse features. Many developers use third-party libraries to reduce the development time and cost, but developers often ignore the security problems of third-party libraries. A major security problem introduced by third-party libraries is that a third-party library has the same permissions as the apps, called host-apps hereafter, that use it. According to previous research, having the same permissions as its host apps, a third-party library could have unauthorized access to user data, which poses a serious threat to app users. Therefore, how to prevent third-party libraries from abusing permissions has become an important issue. To solve this problem, this paper proposes a Dynamic Permission Control mechanism, called Dynamic Permission Controller or DPC hereafter, for app developers to prohibit third-party libraries from abusing host apps' dangerous permissions. DPC modifies the permission control mechanism of Android framework to make apps have a more flexible permission management mechanism when they are running. DPC provides new APIs which allows an app to dynamically disable a granted dangerous permission before invoking an API of a third-party library and restore the dangerous permission after completing the API. Hence, DPC protects user's privacy by blocking unauthorized access from third-party libraries. Meanwhile, without the requirement that an app developer needs to know the detail of third-party libraries, the app still can use APIs of third-party libraries safely. Experimental results show that DPC works with many popular apps downloaded from Google Play well and DPC prohibits a third-party library from having the same dangerous permissions that its host apps have. Hence, unlike previous solutions, DPC does not have compatibility problems. The overhead introduced by DPC on an emulator and Nexus 7 are 1.8 and 0.3 percent respectively.  © 2004-2012 IEEE.</v>
      </c>
      <c r="H314" s="8" t="str">
        <f>IFERROR(__xludf.DUMMYFUNCTION("""COMPUTED_VALUE"""),"in-app advertisement; privacy; security; Third-party library")</f>
        <v>in-app advertisement; privacy; security; Third-party library</v>
      </c>
      <c r="I314" s="10" t="b">
        <v>0</v>
      </c>
      <c r="J314" s="10" t="b">
        <v>0</v>
      </c>
      <c r="K314" s="10" t="b">
        <v>0</v>
      </c>
      <c r="L314" s="10" t="b">
        <v>0</v>
      </c>
      <c r="M314" s="10" t="b">
        <v>0</v>
      </c>
      <c r="N314" s="10" t="b">
        <v>0</v>
      </c>
      <c r="O314" s="11" t="b">
        <f t="shared" si="1"/>
        <v>0</v>
      </c>
      <c r="P314" s="16" t="b">
        <v>0</v>
      </c>
      <c r="Q314" s="7"/>
    </row>
    <row r="315">
      <c r="A315" s="5" t="b">
        <v>1</v>
      </c>
      <c r="B315" s="5" t="s">
        <v>353</v>
      </c>
      <c r="C315" s="6" t="str">
        <f>IFERROR(__xludf.DUMMYFUNCTION("""COMPUTED_VALUE"""),"10.1109/TDSC.2008.68")</f>
        <v>10.1109/TDSC.2008.68</v>
      </c>
      <c r="D315" s="7" t="str">
        <f>IFERROR(__xludf.DUMMYFUNCTION("""COMPUTED_VALUE"""),"Xenoulis G.; Gizopoulos D.; Psarakis M.; Paschalis A.")</f>
        <v>Xenoulis G.; Gizopoulos D.; Psarakis M.; Paschalis A.</v>
      </c>
      <c r="E315" s="7" t="str">
        <f>IFERROR(__xludf.DUMMYFUNCTION("""COMPUTED_VALUE"""),"Instruction-based online periodic self-testing of microprocessors with floating-point units")</f>
        <v>Instruction-based online periodic self-testing of microprocessors with floating-point units</v>
      </c>
      <c r="F315" s="7" t="str">
        <f>IFERROR(__xludf.DUMMYFUNCTION("""COMPUTED_VALUE"""),"TDSC")</f>
        <v>TDSC</v>
      </c>
      <c r="G315" s="7" t="str">
        <f>IFERROR(__xludf.DUMMYFUNCTION("""COMPUTED_VALUE"""),"Online periodic testing of microprocessors is a valuable means to increase the reliability of a low-cost system, when neither hardware nor time redundant protection schemes can be applied. This is particularly valid for floating-point (FP) units, which ar"&amp;"e becoming more common in embedded systems and are usually protected from operational faults through costly hardware redundant approaches. In this paper, we present scalable instruction-based self-test program development for both single and double precis"&amp;"ion FP units considering different instruction sets (MIPS, PowerPC, and Alpha), different microprocessor architectures (32/64-bit architectures) and different memory configurations. Moreover, we introduce bit-level manipulation instruction sequences that "&amp;"are essential for the development of FP unit's self-test programs. We developed self-test programs for single and double precision FP units on 32-bit and 64-bit microprocessor architectures and evaluated them with respect to the requirements of low-cost o"&amp;"nline periodic self-testing: fault coverage, memory footprint, execution time, and power consumption, assuming different memory hierarchy configurations. Our comprehensive experimental evaluations reveal that the instruction set architecture plays a signi"&amp;"ficant role in the development of self-test programs. Additionally, we suggest the most suitable self-test program development approach when memory footprint or low power consumption is of paramount importance. © 2006 IEEE.")</f>
        <v>Online periodic testing of microprocessors is a valuable means to increase the reliability of a low-cost system, when neither hardware nor time redundant protection schemes can be applied. This is particularly valid for floating-point (FP) units, which are becoming more common in embedded systems and are usually protected from operational faults through costly hardware redundant approaches. In this paper, we present scalable instruction-based self-test program development for both single and double precision FP units considering different instruction sets (MIPS, PowerPC, and Alpha), different microprocessor architectures (32/64-bit architectures) and different memory configurations. Moreover, we introduce bit-level manipulation instruction sequences that are essential for the development of FP unit's self-test programs. We developed self-test programs for single and double precision FP units on 32-bit and 64-bit microprocessor architectures and evaluated them with respect to the requirements of low-cost online periodic self-testing: fault coverage, memory footprint, execution time, and power consumption, assuming different memory hierarchy configurations. Our comprehensive experimental evaluations reveal that the instruction set architecture plays a significant role in the development of self-test programs. Additionally, we suggest the most suitable self-test program development approach when memory footprint or low power consumption is of paramount importance. © 2006 IEEE.</v>
      </c>
      <c r="H315" s="8" t="str">
        <f>IFERROR(__xludf.DUMMYFUNCTION("""COMPUTED_VALUE"""),"Microprocessor self-testing.; Online periodic testing")</f>
        <v>Microprocessor self-testing.; Online periodic testing</v>
      </c>
      <c r="I315" s="10" t="b">
        <v>0</v>
      </c>
      <c r="J315" s="10" t="b">
        <v>0</v>
      </c>
      <c r="K315" s="10" t="b">
        <v>0</v>
      </c>
      <c r="L315" s="10" t="b">
        <v>0</v>
      </c>
      <c r="M315" s="10" t="b">
        <v>0</v>
      </c>
      <c r="N315" s="10" t="b">
        <v>0</v>
      </c>
      <c r="O315" s="11" t="b">
        <f t="shared" si="1"/>
        <v>0</v>
      </c>
      <c r="P315" s="16" t="b">
        <v>0</v>
      </c>
      <c r="Q315" s="7"/>
    </row>
    <row r="316">
      <c r="A316" s="5" t="b">
        <v>1</v>
      </c>
      <c r="B316" s="5" t="s">
        <v>354</v>
      </c>
      <c r="C316" s="6" t="str">
        <f>IFERROR(__xludf.DUMMYFUNCTION("""COMPUTED_VALUE"""),"10.1109/TDSC.2022.3186153")</f>
        <v>10.1109/TDSC.2022.3186153</v>
      </c>
      <c r="D316" s="7" t="str">
        <f>IFERROR(__xludf.DUMMYFUNCTION("""COMPUTED_VALUE"""),"Tedeschi P.; Bakiras S.; Pietro R.D.")</f>
        <v>Tedeschi P.; Bakiras S.; Pietro R.D.</v>
      </c>
      <c r="E316" s="7" t="str">
        <f>IFERROR(__xludf.DUMMYFUNCTION("""COMPUTED_VALUE"""),"SpreadMeNot: A Provably Secure and Privacy-Preserving Contact Tracing Protocol")</f>
        <v>SpreadMeNot: A Provably Secure and Privacy-Preserving Contact Tracing Protocol</v>
      </c>
      <c r="F316" s="7" t="str">
        <f>IFERROR(__xludf.DUMMYFUNCTION("""COMPUTED_VALUE"""),"TDSC")</f>
        <v>TDSC</v>
      </c>
      <c r="G316" s="7" t="str">
        <f>IFERROR(__xludf.DUMMYFUNCTION("""COMPUTED_VALUE"""),"A plethora of contact tracing apps have been developed and deployed in several countries around the world in the battle against Covid-19. However, people are rightfully concerned about the security and privacy risks of such applications. To address these "&amp;"issues, in this paper we provide two main contributions. First, we present an in-depth analysis of the security and privacy characteristics of the most prominent contact tracing protocols, under both passive and active adversaries. The results of our stud"&amp;"y indicate that all protocols are vulnerable to a variety of attacks, mainly due to the deterministic nature of the underlying cryptographic protocols. Our second contribution is the design and implementation of SpreadMeNot, a novel contact tracing protoc"&amp;"ol that can defend against most passive and active attacks, thus providing strong (provable) security and privacy guarantees that are necessary for such a sensitive application. Our detailed analysis, both formal and experimental, shows that SpreadMeNot s"&amp;"atisfies security, privacy, and performance requirements, hence being an ideal candidate for building a contact tracing solution that can be adopted by the majority of the general public, as well as to serve as an open-source reference for further develop"&amp;"ments in the field.  © 2004-2012 IEEE.")</f>
        <v>A plethora of contact tracing apps have been developed and deployed in several countries around the world in the battle against Covid-19. However, people are rightfully concerned about the security and privacy risks of such applications. To address these issues, in this paper we provide two main contributions. First, we present an in-depth analysis of the security and privacy characteristics of the most prominent contact tracing protocols, under both passive and active adversaries. The results of our study indicate that all protocols are vulnerable to a variety of attacks, mainly due to the deterministic nature of the underlying cryptographic protocols. Our second contribution is the design and implementation of SpreadMeNot, a novel contact tracing protocol that can defend against most passive and active attacks, thus providing strong (provable) security and privacy guarantees that are necessary for such a sensitive application. Our detailed analysis, both formal and experimental, shows that SpreadMeNot satisfies security, privacy, and performance requirements, hence being an ideal candidate for building a contact tracing solution that can be adopted by the majority of the general public, as well as to serve as an open-source reference for further developments in the field.  © 2004-2012 IEEE.</v>
      </c>
      <c r="H316" s="8" t="str">
        <f>IFERROR(__xludf.DUMMYFUNCTION("""COMPUTED_VALUE"""),"Contact tracing; cryptography; privacy; protocols; security")</f>
        <v>Contact tracing; cryptography; privacy; protocols; security</v>
      </c>
      <c r="I316" s="10" t="b">
        <v>0</v>
      </c>
      <c r="J316" s="10" t="b">
        <v>0</v>
      </c>
      <c r="K316" s="10" t="b">
        <v>0</v>
      </c>
      <c r="L316" s="10" t="b">
        <v>0</v>
      </c>
      <c r="M316" s="10" t="b">
        <v>0</v>
      </c>
      <c r="N316" s="10" t="b">
        <v>0</v>
      </c>
      <c r="O316" s="11" t="b">
        <f t="shared" si="1"/>
        <v>0</v>
      </c>
      <c r="P316" s="16" t="b">
        <v>0</v>
      </c>
      <c r="Q316" s="7"/>
    </row>
    <row r="317">
      <c r="A317" s="5" t="b">
        <v>1</v>
      </c>
      <c r="B317" s="5" t="s">
        <v>355</v>
      </c>
      <c r="C317" s="6" t="str">
        <f>IFERROR(__xludf.DUMMYFUNCTION("""COMPUTED_VALUE"""),"10.1109/TDSC.2021.3129512")</f>
        <v>10.1109/TDSC.2021.3129512</v>
      </c>
      <c r="D317" s="7" t="str">
        <f>IFERROR(__xludf.DUMMYFUNCTION("""COMPUTED_VALUE"""),"Wang Q.; Wang D.; Cheng C.; He D.")</f>
        <v>Wang Q.; Wang D.; Cheng C.; He D.</v>
      </c>
      <c r="E317" s="7" t="str">
        <f>IFERROR(__xludf.DUMMYFUNCTION("""COMPUTED_VALUE"""),"Quantum2FA: Efficient Quantum-Resistant Two-Factor Authentication Scheme for Mobile Devices")</f>
        <v>Quantum2FA: Efficient Quantum-Resistant Two-Factor Authentication Scheme for Mobile Devices</v>
      </c>
      <c r="F317" s="7" t="str">
        <f>IFERROR(__xludf.DUMMYFUNCTION("""COMPUTED_VALUE"""),"TDSC")</f>
        <v>TDSC</v>
      </c>
      <c r="G317" s="7" t="str">
        <f>IFERROR(__xludf.DUMMYFUNCTION("""COMPUTED_VALUE"""),"Smart-card based password authentication has been the most widely used two-factor authentication (2FA) mechanism for security-critical applications (e.g., e-Health, smart grid and e-Commerce) in the past decades, and it is likely to hold its status in the"&amp;" foreseeable future. Hundreds of this type of 2FA schemes have been proposed, yet to our knowledge, most of them are built on the intractability of conventional hard problems (e.g., discrete logarithm problems and integer factoring problems) which are no "&amp;"longer hard in the quantum era. With the recent advancements in quantum computing, the design of secure and efficient smart-card based password authentication schemes against quantum attacks is becoming increasingly urgent. However, it is not as simple as"&amp;" it seems, how to design such a quantum-resistant 2FA scheme is challenging due to the demanding security requirements and the resource-constrained nature of mobile devices. In this work, we take the first step towards this issue by proposing Quantum2FA, "&amp;"a practical quantum-resistant smart-card-based password authentication scheme that employs Alkim et al.'s lattice-based key exchange and Wang-Wang's 'fuzzy-verifier + honeywords' technique (IEEE TDSC'18). Particularly, Quantum2FA can thwart the newly reve"&amp;"aled key-reuse attack (ACISP'18, CT-RSA'19) against lattice-based key exchange schemes in two aspects: signal leakage attacks and key mismatch attacks. Specifically, it restricts the necessary conditions (i.e., the attacker must be the initiator of the ke"&amp;"y exchange) for an adversary to analyze the signal; It introduces honeywords to detect the key mismatches between the smart card and the server, and thus smart card loss attack can be thwarted. We formally prove the security of Quantum2FA under the random"&amp;" oracle model and demonstrate its efficiency through experiments on a 32 MHz 8-bit AVR Embedded Processor. Comparison results show that Quantum2FA is not only more secure but also offers better computation efficiency than the state-of-The-Art conventional"&amp;" 2FA schemes.  © 2004-2012 IEEE.")</f>
        <v>Smart-card based password authentication has been the most widely used two-factor authentication (2FA) mechanism for security-critical applications (e.g., e-Health, smart grid and e-Commerce) in the past decades, and it is likely to hold its status in the foreseeable future. Hundreds of this type of 2FA schemes have been proposed, yet to our knowledge, most of them are built on the intractability of conventional hard problems (e.g., discrete logarithm problems and integer factoring problems) which are no longer hard in the quantum era. With the recent advancements in quantum computing, the design of secure and efficient smart-card based password authentication schemes against quantum attacks is becoming increasingly urgent. However, it is not as simple as it seems, how to design such a quantum-resistant 2FA scheme is challenging due to the demanding security requirements and the resource-constrained nature of mobile devices. In this work, we take the first step towards this issue by proposing Quantum2FA, a practical quantum-resistant smart-card-based password authentication scheme that employs Alkim et al.'s lattice-based key exchange and Wang-Wang's 'fuzzy-verifier + honeywords' technique (IEEE TDSC'18). Particularly, Quantum2FA can thwart the newly revealed key-reuse attack (ACISP'18, CT-RSA'19) against lattice-based key exchange schemes in two aspects: signal leakage attacks and key mismatch attacks. Specifically, it restricts the necessary conditions (i.e., the attacker must be the initiator of the key exchange) for an adversary to analyze the signal; It introduces honeywords to detect the key mismatches between the smart card and the server, and thus smart card loss attack can be thwarted. We formally prove the security of Quantum2FA under the random oracle model and demonstrate its efficiency through experiments on a 32 MHz 8-bit AVR Embedded Processor. Comparison results show that Quantum2FA is not only more secure but also offers better computation efficiency than the state-of-The-Art conventional 2FA schemes.  © 2004-2012 IEEE.</v>
      </c>
      <c r="H317" s="8" t="str">
        <f>IFERROR(__xludf.DUMMYFUNCTION("""COMPUTED_VALUE"""),"honeyword; key-reuse; lattice-based cryptography; quantum security; Two-factor authentication")</f>
        <v>honeyword; key-reuse; lattice-based cryptography; quantum security; Two-factor authentication</v>
      </c>
      <c r="I317" s="10" t="b">
        <v>0</v>
      </c>
      <c r="J317" s="10" t="b">
        <v>0</v>
      </c>
      <c r="K317" s="10" t="b">
        <v>0</v>
      </c>
      <c r="L317" s="10" t="b">
        <v>0</v>
      </c>
      <c r="M317" s="10" t="b">
        <v>0</v>
      </c>
      <c r="N317" s="10" t="b">
        <v>0</v>
      </c>
      <c r="O317" s="11" t="b">
        <f t="shared" si="1"/>
        <v>0</v>
      </c>
      <c r="P317" s="16" t="b">
        <v>0</v>
      </c>
      <c r="Q317" s="7"/>
    </row>
    <row r="318">
      <c r="A318" s="5" t="b">
        <v>1</v>
      </c>
      <c r="B318" s="5" t="s">
        <v>356</v>
      </c>
      <c r="C318" s="6" t="str">
        <f>IFERROR(__xludf.DUMMYFUNCTION("""COMPUTED_VALUE"""),"10.1109/TDSC.2014.2355844")</f>
        <v>10.1109/TDSC.2014.2355844</v>
      </c>
      <c r="D318" s="7" t="str">
        <f>IFERROR(__xludf.DUMMYFUNCTION("""COMPUTED_VALUE"""),"Ahn D.; Lee G.")</f>
        <v>Ahn D.; Lee G.</v>
      </c>
      <c r="E318" s="7" t="str">
        <f>IFERROR(__xludf.DUMMYFUNCTION("""COMPUTED_VALUE"""),"A Memory-Access Validation Scheme against Payload Injection Attacks")</f>
        <v>A Memory-Access Validation Scheme against Payload Injection Attacks</v>
      </c>
      <c r="F318" s="7" t="str">
        <f>IFERROR(__xludf.DUMMYFUNCTION("""COMPUTED_VALUE"""),"TDSC")</f>
        <v>TDSC</v>
      </c>
      <c r="G318" s="7" t="str">
        <f>IFERROR(__xludf.DUMMYFUNCTION("""COMPUTED_VALUE"""),"The authenticity of a piece of data or an instruction is crucial in mitigating threats from various forms of software attack. In spite of the various forms of protection against malicious attacks exploiting spurious data, adversaries have been successful "&amp;"in circumventing such protection. This paper proposes a memory-access validation scheme that manages information on spurious data at the granularity of the cache line size. A validation unit based on the proposed scheme answers queries from other componen"&amp;"ts in the processor so that spurious data can be blocked before control flow diversion. We describe the design of this validation unit as well as its integration into the memory hierarchy of a modern processor and assess its memory requirement and perform"&amp;"ance impact with two simulators. The experimental results show that our scheme is able to detect synthesized payload injection attacks and to manage taint information with a moderate memory overhead under an acceptable performance impact. © 2014 IEEE.")</f>
        <v>The authenticity of a piece of data or an instruction is crucial in mitigating threats from various forms of software attack. In spite of the various forms of protection against malicious attacks exploiting spurious data, adversaries have been successful in circumventing such protection. This paper proposes a memory-access validation scheme that manages information on spurious data at the granularity of the cache line size. A validation unit based on the proposed scheme answers queries from other components in the processor so that spurious data can be blocked before control flow diversion. We describe the design of this validation unit as well as its integration into the memory hierarchy of a modern processor and assess its memory requirement and performance impact with two simulators. The experimental results show that our scheme is able to detect synthesized payload injection attacks and to manage taint information with a moderate memory overhead under an acceptable performance impact. © 2014 IEEE.</v>
      </c>
      <c r="H318" s="8" t="str">
        <f>IFERROR(__xludf.DUMMYFUNCTION("""COMPUTED_VALUE"""),"security; Virtual memory")</f>
        <v>security; Virtual memory</v>
      </c>
      <c r="I318" s="10" t="b">
        <v>0</v>
      </c>
      <c r="J318" s="10" t="b">
        <v>0</v>
      </c>
      <c r="K318" s="10" t="b">
        <v>0</v>
      </c>
      <c r="L318" s="10" t="b">
        <v>0</v>
      </c>
      <c r="M318" s="10" t="b">
        <v>0</v>
      </c>
      <c r="N318" s="10" t="b">
        <v>0</v>
      </c>
      <c r="O318" s="11" t="b">
        <f t="shared" si="1"/>
        <v>0</v>
      </c>
      <c r="P318" s="16" t="b">
        <v>0</v>
      </c>
      <c r="Q318" s="7"/>
    </row>
    <row r="319">
      <c r="A319" s="5" t="b">
        <v>1</v>
      </c>
      <c r="B319" s="5" t="s">
        <v>357</v>
      </c>
      <c r="C319" s="6" t="str">
        <f>IFERROR(__xludf.DUMMYFUNCTION("""COMPUTED_VALUE"""),"10.1109/TDSC.2015.2427846")</f>
        <v>10.1109/TDSC.2015.2427846</v>
      </c>
      <c r="D319" s="7" t="str">
        <f>IFERROR(__xludf.DUMMYFUNCTION("""COMPUTED_VALUE"""),"Carminati B.; Ferrari E.; Guglielmi M.")</f>
        <v>Carminati B.; Ferrari E.; Guglielmi M.</v>
      </c>
      <c r="E319" s="7" t="str">
        <f>IFERROR(__xludf.DUMMYFUNCTION("""COMPUTED_VALUE"""),"Detection of Unspecified Emergencies for Controlled Information Sharing")</f>
        <v>Detection of Unspecified Emergencies for Controlled Information Sharing</v>
      </c>
      <c r="F319" s="7" t="str">
        <f>IFERROR(__xludf.DUMMYFUNCTION("""COMPUTED_VALUE"""),"TDSC")</f>
        <v>TDSC</v>
      </c>
      <c r="G319" s="7" t="str">
        <f>IFERROR(__xludf.DUMMYFUNCTION("""COMPUTED_VALUE"""),"During emergency situations one of the key requirements to handle the crisis is information sharing among organizations involved in the emergency management. When emergency situations are well known, it is possible to specify a priori these situations and"&amp;" to plan the information sharing needs in advance. However, there are many situations where it is not possible to describe these emergencies and their information sharing requirements beforehand. Therefore, in this paper, we present a framework able to de"&amp;"al with both specified and unspecified emergencies. The idea is to detect unspecified emergencies and related information sharing needs through denied access request analysis, anomaly detection techniques, and analysis of the history of permitted access r"&amp;"equests. Besides presenting the techniques, the paper also presents experiments to verify their effectiveness. © 2016 IEEE.")</f>
        <v>During emergency situations one of the key requirements to handle the crisis is information sharing among organizations involved in the emergency management. When emergency situations are well known, it is possible to specify a priori these situations and to plan the information sharing needs in advance. However, there are many situations where it is not possible to describe these emergencies and their information sharing requirements beforehand. Therefore, in this paper, we present a framework able to deal with both specified and unspecified emergencies. The idea is to detect unspecified emergencies and related information sharing needs through denied access request analysis, anomaly detection techniques, and analysis of the history of permitted access requests. Besides presenting the techniques, the paper also presents experiments to verify their effectiveness. © 2016 IEEE.</v>
      </c>
      <c r="H319" s="8" t="str">
        <f>IFERROR(__xludf.DUMMYFUNCTION("""COMPUTED_VALUE"""),"Access control; data sharing; emergency management; security")</f>
        <v>Access control; data sharing; emergency management; security</v>
      </c>
      <c r="I319" s="10" t="b">
        <v>0</v>
      </c>
      <c r="J319" s="10" t="b">
        <v>0</v>
      </c>
      <c r="K319" s="10" t="b">
        <v>0</v>
      </c>
      <c r="L319" s="10" t="b">
        <v>0</v>
      </c>
      <c r="M319" s="10" t="b">
        <v>0</v>
      </c>
      <c r="N319" s="10" t="b">
        <v>0</v>
      </c>
      <c r="O319" s="11" t="b">
        <f t="shared" si="1"/>
        <v>0</v>
      </c>
      <c r="P319" s="16" t="b">
        <v>0</v>
      </c>
      <c r="Q319" s="7"/>
    </row>
    <row r="320">
      <c r="A320" s="5" t="b">
        <v>1</v>
      </c>
      <c r="B320" s="5" t="s">
        <v>358</v>
      </c>
      <c r="C320" s="6" t="str">
        <f>IFERROR(__xludf.DUMMYFUNCTION("""COMPUTED_VALUE"""),"10.1109/TDSC.2007.70232")</f>
        <v>10.1109/TDSC.2007.70232</v>
      </c>
      <c r="D320" s="7" t="str">
        <f>IFERROR(__xludf.DUMMYFUNCTION("""COMPUTED_VALUE"""),"Obermaisser R.")</f>
        <v>Obermaisser R.</v>
      </c>
      <c r="E320" s="7" t="str">
        <f>IFERROR(__xludf.DUMMYFUNCTION("""COMPUTED_VALUE"""),"Temporal partitioning of communication resources in an integrated architecture")</f>
        <v>Temporal partitioning of communication resources in an integrated architecture</v>
      </c>
      <c r="F320" s="7" t="str">
        <f>IFERROR(__xludf.DUMMYFUNCTION("""COMPUTED_VALUE"""),"TDSC")</f>
        <v>TDSC</v>
      </c>
      <c r="G320" s="7" t="str">
        <f>IFERROR(__xludf.DUMMYFUNCTION("""COMPUTED_VALUE"""),"Integrated architectures in the automotive and avionic domain promise improved resource utilization and enable a better coordination of application subsystems compared to federated systems. An integrated architecture shares the system's communication reso"&amp;"urces by using a single physical network for exchanging messages of multiple application subsystems. Similarly, the computational resources (for example, memory and CPU time) of each node computer are available to multiple software components. In order to"&amp;" support a seamless system integration without unintended side effects in such an integrated architecture, it is important to ensure that the software components do not interfere through the use of these shared resources. For this reason, the DECOS integr"&amp;"ated architecture encapsulates application subsystems and their constituting software components. At the level of the communication system, virtual networks on top of an underlying time-triggered physical network exhibit predefined temporal properties (th"&amp;"at is, bandwidth, latency, and latency jitter). Due to encapsulation, the temporal properties of messages sent by a software component are independent from the behavior of other software components, in particular from those within other application subsys"&amp;"tems. This paper presents the mechanisms for the temporal partitioning of communication resources in the Dependable Embedded Components and Systems (DECOS) integrated architecture. Furthermore, experimental evidence is provided in order to demonstrate tha"&amp;"t the messages sent by one software component do not affect the temporal properties of messages exchanged by other software components. Rigid temporal partitioning is achievable while at the same time meeting the performance requirements imposed by presen"&amp;"t-day automotive applications and those envisioned for the future (for example, X-by-wire). For this purpose, we use an experimental framework with an implementation of virtual networks on top of a Time Division Multiple Access (TDMA)-controlled Ethernet "&amp;"network. © 2008 IEEE.")</f>
        <v>Integrated architectures in the automotive and avionic domain promise improved resource utilization and enable a better coordination of application subsystems compared to federated systems. An integrated architecture shares the system's communication resources by using a single physical network for exchanging messages of multiple application subsystems. Similarly, the computational resources (for example, memory and CPU time) of each node computer are available to multiple software components. In order to support a seamless system integration without unintended side effects in such an integrated architecture, it is important to ensure that the software components do not interfere through the use of these shared resources. For this reason, the DECOS integrated architecture encapsulates application subsystems and their constituting software components. At the level of the communication system, virtual networks on top of an underlying time-triggered physical network exhibit predefined temporal properties (that is, bandwidth, latency, and latency jitter). Due to encapsulation, the temporal properties of messages sent by a software component are independent from the behavior of other software components, in particular from those within other application subsystems. This paper presents the mechanisms for the temporal partitioning of communication resources in the Dependable Embedded Components and Systems (DECOS) integrated architecture. Furthermore, experimental evidence is provided in order to demonstrate that the messages sent by one software component do not affect the temporal properties of messages exchanged by other software components. Rigid temporal partitioning is achievable while at the same time meeting the performance requirements imposed by present-day automotive applications and those envisioned for the future (for example, X-by-wire). For this purpose, we use an experimental framework with an implementation of virtual networks on top of a Time Division Multiple Access (TDMA)-controlled Ethernet network. © 2008 IEEE.</v>
      </c>
      <c r="H320" s="8" t="str">
        <f>IFERROR(__xludf.DUMMYFUNCTION("""COMPUTED_VALUE"""),"Computer network performance; Distributed architectures; Fault tolerance; Infrastructure protection; Real-time and embedded systems; System architectures; System integration and implementation")</f>
        <v>Computer network performance; Distributed architectures; Fault tolerance; Infrastructure protection; Real-time and embedded systems; System architectures; System integration and implementation</v>
      </c>
      <c r="I320" s="10" t="b">
        <v>0</v>
      </c>
      <c r="J320" s="10" t="b">
        <v>0</v>
      </c>
      <c r="K320" s="10" t="b">
        <v>0</v>
      </c>
      <c r="L320" s="10" t="b">
        <v>0</v>
      </c>
      <c r="M320" s="10" t="b">
        <v>0</v>
      </c>
      <c r="N320" s="10" t="b">
        <v>0</v>
      </c>
      <c r="O320" s="11" t="b">
        <f t="shared" si="1"/>
        <v>0</v>
      </c>
      <c r="P320" s="16" t="b">
        <v>0</v>
      </c>
      <c r="Q320" s="7"/>
    </row>
    <row r="321">
      <c r="A321" s="5" t="b">
        <v>1</v>
      </c>
      <c r="B321" s="5" t="s">
        <v>359</v>
      </c>
      <c r="C321" s="6" t="str">
        <f>IFERROR(__xludf.DUMMYFUNCTION("""COMPUTED_VALUE"""),"10.1109/TDSC.2022.3213704")</f>
        <v>10.1109/TDSC.2022.3213704</v>
      </c>
      <c r="D321" s="7" t="str">
        <f>IFERROR(__xludf.DUMMYFUNCTION("""COMPUTED_VALUE"""),"Abdullahi S.M.; Lv K.; Sun S.; Wang H.")</f>
        <v>Abdullahi S.M.; Lv K.; Sun S.; Wang H.</v>
      </c>
      <c r="E321" s="7" t="str">
        <f>IFERROR(__xludf.DUMMYFUNCTION("""COMPUTED_VALUE"""),"Cancelable Fingerprint Template Construction Using Vector Permutation and Shift-Ordering")</f>
        <v>Cancelable Fingerprint Template Construction Using Vector Permutation and Shift-Ordering</v>
      </c>
      <c r="F321" s="7" t="str">
        <f>IFERROR(__xludf.DUMMYFUNCTION("""COMPUTED_VALUE"""),"TDSC")</f>
        <v>TDSC</v>
      </c>
      <c r="G321" s="7" t="str">
        <f>IFERROR(__xludf.DUMMYFUNCTION("""COMPUTED_VALUE"""),"The need for cancelable biometric techniques has seen a progressive rise due to the rapid deployment of biometric authentication systems. These techniques prevent compromising biometric data by generating and using their corresponding cancelable templates"&amp;" for user authentication. However, the non-invertible distance preserving transformation methods employed in various schemes are often vulnerable to information leakage since matching is performed in the transform domain. This paper proposed a non-inverti"&amp;"ble distance preserving scheme based on vector permutation and shift-order process. First, the dimension of feature vectors is reduced using kernelized principal component analysis before randomly permuting the extracted vector features. A shift-order pro"&amp;"cess is then applied to the generated features to achieve non-invertibility and combat similarity correlation-based attacks. The generated hash codes are resilient to various security and privacy attacks such as ARM, masquerade, and brute-force preimage. "&amp;"Experimental evaluations conducted on eight fingerprint datasets from FVC2002, FVC2004, and FVC2006 reveal a high matching performance of the proposed method with better recognition accuracy than other existing state-of-the-art. The scheme also fulfills t"&amp;"he revocability and unlinkability requirements of cancelable biometrics. IEEE")</f>
        <v>The need for cancelable biometric techniques has seen a progressive rise due to the rapid deployment of biometric authentication systems. These techniques prevent compromising biometric data by generating and using their corresponding cancelable templates for user authentication. However, the non-invertible distance preserving transformation methods employed in various schemes are often vulnerable to information leakage since matching is performed in the transform domain. This paper proposed a non-invertible distance preserving scheme based on vector permutation and shift-order process. First, the dimension of feature vectors is reduced using kernelized principal component analysis before randomly permuting the extracted vector features. A shift-order process is then applied to the generated features to achieve non-invertibility and combat similarity correlation-based attacks. The generated hash codes are resilient to various security and privacy attacks such as ARM, masquerade, and brute-force preimage. Experimental evaluations conducted on eight fingerprint datasets from FVC2002, FVC2004, and FVC2006 reveal a high matching performance of the proposed method with better recognition accuracy than other existing state-of-the-art. The scheme also fulfills the revocability and unlinkability requirements of cancelable biometrics. IEEE</v>
      </c>
      <c r="H321" s="8" t="str">
        <f>IFERROR(__xludf.DUMMYFUNCTION("""COMPUTED_VALUE"""),"Authentication; Cancelable biometrics; Codes; Feature extraction; Fingerprint authentication; Fingerprint recognition; Privacy; Security; Shift-ordering; Sun; Template protection; Vector permutation")</f>
        <v>Authentication; Cancelable biometrics; Codes; Feature extraction; Fingerprint authentication; Fingerprint recognition; Privacy; Security; Shift-ordering; Sun; Template protection; Vector permutation</v>
      </c>
      <c r="I321" s="10" t="b">
        <v>0</v>
      </c>
      <c r="J321" s="10" t="b">
        <v>0</v>
      </c>
      <c r="K321" s="10" t="b">
        <v>0</v>
      </c>
      <c r="L321" s="10" t="b">
        <v>0</v>
      </c>
      <c r="M321" s="10" t="b">
        <v>0</v>
      </c>
      <c r="N321" s="10" t="b">
        <v>0</v>
      </c>
      <c r="O321" s="11" t="b">
        <f t="shared" si="1"/>
        <v>0</v>
      </c>
      <c r="P321" s="16" t="b">
        <v>0</v>
      </c>
      <c r="Q321" s="7"/>
    </row>
    <row r="322">
      <c r="A322" s="5" t="b">
        <v>1</v>
      </c>
      <c r="B322" s="5" t="s">
        <v>360</v>
      </c>
      <c r="C322" s="6" t="str">
        <f>IFERROR(__xludf.DUMMYFUNCTION("""COMPUTED_VALUE"""),"10.1109/TDSC.2017.2706286")</f>
        <v>10.1109/TDSC.2017.2706286</v>
      </c>
      <c r="D322" s="7" t="str">
        <f>IFERROR(__xludf.DUMMYFUNCTION("""COMPUTED_VALUE"""),"Cota G.L.; Mokhtar S.B.; Gianini G.; Damiani E.; Lawall J.; Muller G.; Brunie L.")</f>
        <v>Cota G.L.; Mokhtar S.B.; Gianini G.; Damiani E.; Lawall J.; Muller G.; Brunie L.</v>
      </c>
      <c r="E322" s="7" t="str">
        <f>IFERROR(__xludf.DUMMYFUNCTION("""COMPUTED_VALUE"""),"RACOON++: A Semi-Automatic Framework for the Selfishness-Aware Design of Cooperative Systems")</f>
        <v>RACOON++: A Semi-Automatic Framework for the Selfishness-Aware Design of Cooperative Systems</v>
      </c>
      <c r="F322" s="7" t="str">
        <f>IFERROR(__xludf.DUMMYFUNCTION("""COMPUTED_VALUE"""),"TDSC")</f>
        <v>TDSC</v>
      </c>
      <c r="G322" s="7" t="str">
        <f>IFERROR(__xludf.DUMMYFUNCTION("""COMPUTED_VALUE"""),"A challenge in designing cooperative distributed systems is to develop feasible and cost-effective mechanisms to foster cooperation among selfish nodes, i.e., nodes that strategically deviate from the intended specification to increase their individual ut"&amp;"ility. Finding a satisfactory solution to this challenge may be complicated by the intrinsic characteristics of each system, as well as by the particular objectives set by the system designer. Our previous work addressed this challenge by proposing RACOON"&amp;", a general and semi-Automatic framework for designing selfishness-resilient cooperative systems. RACOON relies on classical game theory and a custom built simulator to predict the impact of a fixed set of selfish behaviours on the designer's objectives. "&amp;"In this paper, we present RACOON++, which extends the previous framework with a declarative model for defining the utility function and the static behaviour of selfish nodes, along with a new model for reasoning on the dynamic interactions of nodes, based"&amp;" on evolutionary game theory. We illustrate the benefits of using RACOON++ by designing three cooperative systems: A peer-To-peer live streaming system, a load balancing protocol, and an anonymous communication system. Extensive experimental results using"&amp;" the state-of-The-Art PeerSim simulator verify that the systems designed using RACOON++ achieve both selfishness-resilience and high performance. © 2004-2012 IEEE.")</f>
        <v>A challenge in designing cooperative distributed systems is to develop feasible and cost-effective mechanisms to foster cooperation among selfish nodes, i.e., nodes that strategically deviate from the intended specification to increase their individual utility. Finding a satisfactory solution to this challenge may be complicated by the intrinsic characteristics of each system, as well as by the particular objectives set by the system designer. Our previous work addressed this challenge by proposing RACOON, a general and semi-Automatic framework for designing selfishness-resilient cooperative systems. RACOON relies on classical game theory and a custom built simulator to predict the impact of a fixed set of selfish behaviours on the designer's objectives. In this paper, we present RACOON++, which extends the previous framework with a declarative model for defining the utility function and the static behaviour of selfish nodes, along with a new model for reasoning on the dynamic interactions of nodes, based on evolutionary game theory. We illustrate the benefits of using RACOON++ by designing three cooperative systems: A peer-To-peer live streaming system, a load balancing protocol, and an anonymous communication system. Extensive experimental results using the state-of-The-Art PeerSim simulator verify that the systems designed using RACOON++ achieve both selfishness-resilience and high performance. © 2004-2012 IEEE.</v>
      </c>
      <c r="H322" s="8"/>
      <c r="I322" s="10" t="b">
        <v>0</v>
      </c>
      <c r="J322" s="10" t="b">
        <v>0</v>
      </c>
      <c r="K322" s="10" t="b">
        <v>0</v>
      </c>
      <c r="L322" s="10" t="b">
        <v>0</v>
      </c>
      <c r="M322" s="10" t="b">
        <v>0</v>
      </c>
      <c r="N322" s="10" t="b">
        <v>0</v>
      </c>
      <c r="O322" s="11" t="b">
        <f t="shared" si="1"/>
        <v>0</v>
      </c>
      <c r="P322" s="16" t="b">
        <v>0</v>
      </c>
      <c r="Q322" s="7"/>
    </row>
    <row r="323">
      <c r="A323" s="5" t="b">
        <v>1</v>
      </c>
      <c r="B323" s="5" t="s">
        <v>361</v>
      </c>
      <c r="C323" s="6" t="str">
        <f>IFERROR(__xludf.DUMMYFUNCTION("""COMPUTED_VALUE"""),"10.1109/TDSC.2015.2423669")</f>
        <v>10.1109/TDSC.2015.2423669</v>
      </c>
      <c r="D323" s="7" t="str">
        <f>IFERROR(__xludf.DUMMYFUNCTION("""COMPUTED_VALUE"""),"Mao X.; Lai J.; Mei Q.; Chen K.; Weng J.")</f>
        <v>Mao X.; Lai J.; Mei Q.; Chen K.; Weng J.</v>
      </c>
      <c r="E323" s="7" t="str">
        <f>IFERROR(__xludf.DUMMYFUNCTION("""COMPUTED_VALUE"""),"Generic and Efficient Constructions of Attribute-Based Encryption with Verifiable Outsourced Decryption")</f>
        <v>Generic and Efficient Constructions of Attribute-Based Encryption with Verifiable Outsourced Decryption</v>
      </c>
      <c r="F323" s="7" t="str">
        <f>IFERROR(__xludf.DUMMYFUNCTION("""COMPUTED_VALUE"""),"TDSC")</f>
        <v>TDSC</v>
      </c>
      <c r="G323" s="7" t="str">
        <f>IFERROR(__xludf.DUMMYFUNCTION("""COMPUTED_VALUE"""),"Attribute-based encryption (ABE) provides a mechanism for complex access control over encrypted data. However in most ABE systems, the ciphertext size and the decryption overhead, which grow with the complexity of the access policy, are becoming critical "&amp;"barriers in applications running on resource-limited devices. Outsourcing decryption of ABE ciphertexts to a powerful third party is a reasonable manner to solve this problem. Since the third party is usually believed to be untrusted, the security require"&amp;"ments of ABE with outsourced decryption should include privacy and verifiability. Namely, any adversary including the third party should learn nothing about the encrypted message, and the correctness of the outsourced decryption is supposed to be verified"&amp;" efficiently. We propose generic constructions of CPA-secure and RCCA-secure ABE systems with verifiable outsourced decryption from CPA-secure ABE with outsourced decryption, respectively. We also instantiate our CPA-secure construction in the standard mo"&amp;"del and then show an implementation of this instantiation. The experimental results show that, compared with the existing scheme, our CPA-secure construction has more compact ciphertext and less computational costs. Moreover, the techniques involved in th"&amp;"e RCCA-secure construction can be applied in generally constructing CCA-secure ABE, which we believe to be of independent interest. © 2016 IEEE.")</f>
        <v>Attribute-based encryption (ABE) provides a mechanism for complex access control over encrypted data. However in most ABE systems, the ciphertext size and the decryption overhead, which grow with the complexity of the access policy, are becoming critical barriers in applications running on resource-limited devices. Outsourcing decryption of ABE ciphertexts to a powerful third party is a reasonable manner to solve this problem. Since the third party is usually believed to be untrusted, the security requirements of ABE with outsourced decryption should include privacy and verifiability. Namely, any adversary including the third party should learn nothing about the encrypted message, and the correctness of the outsourced decryption is supposed to be verified efficiently. We propose generic constructions of CPA-secure and RCCA-secure ABE systems with verifiable outsourced decryption from CPA-secure ABE with outsourced decryption, respectively. We also instantiate our CPA-secure construction in the standard model and then show an implementation of this instantiation. The experimental results show that, compared with the existing scheme, our CPA-secure construction has more compact ciphertext and less computational costs. Moreover, the techniques involved in the RCCA-secure construction can be applied in generally constructing CCA-secure ABE, which we believe to be of independent interest. © 2016 IEEE.</v>
      </c>
      <c r="H323" s="8" t="str">
        <f>IFERROR(__xludf.DUMMYFUNCTION("""COMPUTED_VALUE"""),"Attribute-based encryption; outsourced decryption; RCCA; verifiability")</f>
        <v>Attribute-based encryption; outsourced decryption; RCCA; verifiability</v>
      </c>
      <c r="I323" s="10" t="b">
        <v>0</v>
      </c>
      <c r="J323" s="10" t="b">
        <v>0</v>
      </c>
      <c r="K323" s="10" t="b">
        <v>0</v>
      </c>
      <c r="L323" s="10" t="b">
        <v>0</v>
      </c>
      <c r="M323" s="10" t="b">
        <v>0</v>
      </c>
      <c r="N323" s="10" t="b">
        <v>0</v>
      </c>
      <c r="O323" s="11" t="b">
        <f t="shared" si="1"/>
        <v>0</v>
      </c>
      <c r="P323" s="16" t="b">
        <v>0</v>
      </c>
      <c r="Q323" s="7"/>
    </row>
    <row r="324">
      <c r="A324" s="5" t="b">
        <v>1</v>
      </c>
      <c r="B324" s="5" t="s">
        <v>362</v>
      </c>
      <c r="C324" s="6" t="str">
        <f>IFERROR(__xludf.DUMMYFUNCTION("""COMPUTED_VALUE"""),"10.1109/TDSC.2021.3050517")</f>
        <v>10.1109/TDSC.2021.3050517</v>
      </c>
      <c r="D324" s="7" t="str">
        <f>IFERROR(__xludf.DUMMYFUNCTION("""COMPUTED_VALUE"""),"Shen J.; Yang H.; Vijayakumar P.; Kumar N.")</f>
        <v>Shen J.; Yang H.; Vijayakumar P.; Kumar N.</v>
      </c>
      <c r="E324" s="7" t="str">
        <f>IFERROR(__xludf.DUMMYFUNCTION("""COMPUTED_VALUE"""),"A Privacy-Preserving and Untraceable Group Data Sharing Scheme in Cloud Computing")</f>
        <v>A Privacy-Preserving and Untraceable Group Data Sharing Scheme in Cloud Computing</v>
      </c>
      <c r="F324" s="7" t="str">
        <f>IFERROR(__xludf.DUMMYFUNCTION("""COMPUTED_VALUE"""),"TDSC")</f>
        <v>TDSC</v>
      </c>
      <c r="G324" s="7" t="str">
        <f>IFERROR(__xludf.DUMMYFUNCTION("""COMPUTED_VALUE"""),"With the development of cloud computing, the great amount of storage data requires safe and efficient data sharing. In multiparty storage data sharing, first, the confidentiality of shared data is ensured to achieve data privacy preservation. Second, the "&amp;"security of stored data is ensured. That is, when stored shared data are subject to frequent access operations, the address sequence or access pattern of data is hidden. Therefore, determining how to ensure the untraceability of stored data or efficient h"&amp;"ide the data access pattern in sharing stored data is a challenge. By employing the proxy re-encryption algorithm and oblivious random access memory (ORAM), a privacy-preserving and untraceable scheme is proposed to support multiple users in sharing data "&amp;"in cloud computing. On the one hand, group members and a proxy use the key exchange phase to obtain keys and resist multiparty collusion if necessary. The ciphertext obtained according to the proxy re-encryption phase enables group members to implement ac"&amp;"cess control and store data, thereby completing secure data sharing. On the other hand, this article realizes data untraceability and a hidden data access pattern through a one-way circular linked table in a binary tree (OCLT) and obfuscation operation. A"&amp;"dditionally, based on the designed structure and pointer tuple, malicious users are identified and data tampering is prevented. The security analysis shows that the protocol designed in this article can meet the security requirements of proxy re-encryptio"&amp;"n and ORAM. Both theoretical and experimental analyses demonstrate that the proposed scheme is secure and efficient for group data sharing in cloud computing.  © 2004-2012 IEEE.")</f>
        <v>With the development of cloud computing, the great amount of storage data requires safe and efficient data sharing. In multiparty storage data sharing, first, the confidentiality of shared data is ensured to achieve data privacy preservation. Second, the security of stored data is ensured. That is, when stored shared data are subject to frequent access operations, the address sequence or access pattern of data is hidden. Therefore, determining how to ensure the untraceability of stored data or efficient hide the data access pattern in sharing stored data is a challenge. By employing the proxy re-encryption algorithm and oblivious random access memory (ORAM), a privacy-preserving and untraceable scheme is proposed to support multiple users in sharing data in cloud computing. On the one hand, group members and a proxy use the key exchange phase to obtain keys and resist multiparty collusion if necessary. The ciphertext obtained according to the proxy re-encryption phase enables group members to implement access control and store data, thereby completing secure data sharing. On the other hand, this article realizes data untraceability and a hidden data access pattern through a one-way circular linked table in a binary tree (OCLT) and obfuscation operation. Additionally, based on the designed structure and pointer tuple, malicious users are identified and data tampering is prevented. The security analysis shows that the protocol designed in this article can meet the security requirements of proxy re-encryption and ORAM. Both theoretical and experimental analyses demonstrate that the proposed scheme is secure and efficient for group data sharing in cloud computing.  © 2004-2012 IEEE.</v>
      </c>
      <c r="H324" s="8" t="str">
        <f>IFERROR(__xludf.DUMMYFUNCTION("""COMPUTED_VALUE"""),"cloud computing; Data sharing; multiple users; oblivious random access memory")</f>
        <v>cloud computing; Data sharing; multiple users; oblivious random access memory</v>
      </c>
      <c r="I324" s="10" t="b">
        <v>0</v>
      </c>
      <c r="J324" s="10" t="b">
        <v>0</v>
      </c>
      <c r="K324" s="10" t="b">
        <v>0</v>
      </c>
      <c r="L324" s="10" t="b">
        <v>0</v>
      </c>
      <c r="M324" s="10" t="b">
        <v>0</v>
      </c>
      <c r="N324" s="10" t="b">
        <v>0</v>
      </c>
      <c r="O324" s="11" t="b">
        <f t="shared" si="1"/>
        <v>0</v>
      </c>
      <c r="P324" s="16" t="b">
        <v>0</v>
      </c>
      <c r="Q324" s="7"/>
    </row>
    <row r="325">
      <c r="A325" s="5" t="b">
        <v>1</v>
      </c>
      <c r="B325" s="5" t="s">
        <v>363</v>
      </c>
      <c r="C325" s="6" t="str">
        <f>IFERROR(__xludf.DUMMYFUNCTION("""COMPUTED_VALUE"""),"10.1109/TDSC.2020.3043369")</f>
        <v>10.1109/TDSC.2020.3043369</v>
      </c>
      <c r="D325" s="7" t="str">
        <f>IFERROR(__xludf.DUMMYFUNCTION("""COMPUTED_VALUE"""),"Lu Z.; Shen H.")</f>
        <v>Lu Z.; Shen H.</v>
      </c>
      <c r="E325" s="7" t="str">
        <f>IFERROR(__xludf.DUMMYFUNCTION("""COMPUTED_VALUE"""),"Differentially Private k-Means Clustering with Convergence Guarantee")</f>
        <v>Differentially Private k-Means Clustering with Convergence Guarantee</v>
      </c>
      <c r="F325" s="7" t="str">
        <f>IFERROR(__xludf.DUMMYFUNCTION("""COMPUTED_VALUE"""),"TDSC")</f>
        <v>TDSC</v>
      </c>
      <c r="G325" s="7" t="str">
        <f>IFERROR(__xludf.DUMMYFUNCTION("""COMPUTED_VALUE"""),"Iterative clustering around representative points is an effective technique for clustering and helps us learn insights behind data to support various important applications. Unfortunately, it also provides security holes which may allow adversaries to inf"&amp;"er the privacy of individuals with some background knowledge. To protect individual privacy against such inference attacks, preserving differential privacy for iterative clustering algorithms has been extensively studied. Existing differentially private c"&amp;"lustering algorithms adopt the same framework to compute differentially private centroids iteratively by running Lloyd's kk-means algorithm to obtain the actual centroids, then perturbing them with a differential privacy mechanism. These algorithms suffer"&amp;" from the problem of no convergence guarantee, i.e., they provide no guarantee of termination at a solution of Lloyd's algorithm within a bounded number of iterations. This problem severely impacts their clustering quality and execution efficiency. To add"&amp;"ress this problem, this article follows the same centroid updating pattern as existing work in interactive settings; however we propose a novel framework for injecting differential privacy into the actual centroids. Specifically, to ensure convergence, we"&amp;" maintain the perturbed centroids of the previous iteration t-1t-1 to compute a convergence zone for each cluster in the current iteration tt, where we inject differential privacy noise. To achieve a satisfactory convergence rate, we further control the o"&amp;"rientation of centroid movement in each cluster using two strategies: one takes the orientation of centroid movement from iteration t-1t-1 to iteration tt (past knowledge); the other uses the additional information of the orientation from iteration tt to "&amp;"iteration t+1t+1 (future knowledge). We prove that, in the expected case, our algorithm (in both strategies) converges to a solution of Lloyd's algorithm in at most twice as many iterations as Lloyd's algorithm. Furthermore, when using both past and futur"&amp;"e knowledge, we prove that our algorithm converges to the same solution as Lloyd's algorithm (for the same initial centroids) with high probability, at the cost of a slower convergence speed compared to using only past knowledge due to duplicated operatio"&amp;"ns in each iteration required for computing the future knowledge. We perform experimental evaluations on seven widely used real-world datasets. The experimental results show that our algorithm outperforms the state-of-the-art methods for interactive diffe"&amp;"rentially private clustering with a guaranteed convergence and better clustering quality whilst meeting the same differential privacy requirements.  © 2004-2012 IEEE.")</f>
        <v>Iterative clustering around representative points is an effective technique for clustering and helps us learn insights behind data to support various important applications. Unfortunately, it also provides security holes which may allow adversaries to infer the privacy of individuals with some background knowledge. To protect individual privacy against such inference attacks, preserving differential privacy for iterative clustering algorithms has been extensively studied. Existing differentially private clustering algorithms adopt the same framework to compute differentially private centroids iteratively by running Lloyd's kk-means algorithm to obtain the actual centroids, then perturbing them with a differential privacy mechanism. These algorithms suffer from the problem of no convergence guarantee, i.e., they provide no guarantee of termination at a solution of Lloyd's algorithm within a bounded number of iterations. This problem severely impacts their clustering quality and execution efficiency. To address this problem, this article follows the same centroid updating pattern as existing work in interactive settings; however we propose a novel framework for injecting differential privacy into the actual centroids. Specifically, to ensure convergence, we maintain the perturbed centroids of the previous iteration t-1t-1 to compute a convergence zone for each cluster in the current iteration tt, where we inject differential privacy noise. To achieve a satisfactory convergence rate, we further control the orientation of centroid movement in each cluster using two strategies: one takes the orientation of centroid movement from iteration t-1t-1 to iteration tt (past knowledge); the other uses the additional information of the orientation from iteration tt to iteration t+1t+1 (future knowledge). We prove that, in the expected case, our algorithm (in both strategies) converges to a solution of Lloyd's algorithm in at most twice as many iterations as Lloyd's algorithm. Furthermore, when using both past and future knowledge, we prove that our algorithm converges to the same solution as Lloyd's algorithm (for the same initial centroids) with high probability, at the cost of a slower convergence speed compared to using only past knowledge due to duplicated operations in each iteration required for computing the future knowledge. We perform experimental evaluations on seven widely used real-world datasets. The experimental results show that our algorithm outperforms the state-of-the-art methods for interactive differentially private clustering with a guaranteed convergence and better clustering quality whilst meeting the same differential privacy requirements.  © 2004-2012 IEEE.</v>
      </c>
      <c r="H325" s="8" t="str">
        <f>IFERROR(__xludf.DUMMYFUNCTION("""COMPUTED_VALUE"""),"Differential privacy; k-Means clustering; machine learning")</f>
        <v>Differential privacy; k-Means clustering; machine learning</v>
      </c>
      <c r="I325" s="10" t="b">
        <v>0</v>
      </c>
      <c r="J325" s="10" t="b">
        <v>0</v>
      </c>
      <c r="K325" s="10" t="b">
        <v>0</v>
      </c>
      <c r="L325" s="10" t="b">
        <v>0</v>
      </c>
      <c r="M325" s="10" t="b">
        <v>0</v>
      </c>
      <c r="N325" s="10" t="b">
        <v>0</v>
      </c>
      <c r="O325" s="11" t="b">
        <f t="shared" si="1"/>
        <v>0</v>
      </c>
      <c r="P325" s="16" t="b">
        <v>0</v>
      </c>
      <c r="Q325" s="7"/>
    </row>
    <row r="326">
      <c r="A326" s="5" t="b">
        <v>1</v>
      </c>
      <c r="B326" s="5" t="s">
        <v>364</v>
      </c>
      <c r="C326" s="6" t="str">
        <f>IFERROR(__xludf.DUMMYFUNCTION("""COMPUTED_VALUE"""),"10.1109/TDSC.2016.2604381")</f>
        <v>10.1109/TDSC.2016.2604381</v>
      </c>
      <c r="D326" s="7" t="str">
        <f>IFERROR(__xludf.DUMMYFUNCTION("""COMPUTED_VALUE"""),"Chen P.; Qi Y.; Li X.; Hou D.; Lyu M.R.-T.")</f>
        <v>Chen P.; Qi Y.; Li X.; Hou D.; Lyu M.R.-T.</v>
      </c>
      <c r="E326" s="7" t="str">
        <f>IFERROR(__xludf.DUMMYFUNCTION("""COMPUTED_VALUE"""),"ARF-Predictor: Effective Prediction of Aging-Related Failure Using Entropy")</f>
        <v>ARF-Predictor: Effective Prediction of Aging-Related Failure Using Entropy</v>
      </c>
      <c r="F326" s="7" t="str">
        <f>IFERROR(__xludf.DUMMYFUNCTION("""COMPUTED_VALUE"""),"TDSC")</f>
        <v>TDSC</v>
      </c>
      <c r="G326" s="7" t="str">
        <f>IFERROR(__xludf.DUMMYFUNCTION("""COMPUTED_VALUE"""),"Even well-designed software systems suffer from chronic performance degradation, also known as ""software aging"", due to internal (e.g., software bugs) or external (e.g., resource exhaustion) impairments. These chronic problems often fly under the radar "&amp;"of software monitoring systems before causing severe impacts (e.g., system failures). Therefore, it is a challenging issue how to timely predict the occurrence of failures caused by these problems. Unfortunately, the effectiveness of prior approaches are "&amp;"far from satisfactory due to the insufficiency of aging indicators adopted by them. To accurately predict failures caused by software aging which are named as Aging-Related Failure (ARFs), this paper presents a novel entropy-based aging indicator, namely "&amp;"Multidimensional Multi-scale Entropy (MMSE) which leverages the complexity embedded in runtime performance metrics to indicate software aging. To the best of our knowledge, this is the first time to leverage entropy to predict ARFs. Based upon MMSE, we im"&amp;"plement three failure prediction approaches encapsulated in a proof-of-concept prototype named ARF-Predictor. The experimental evaluations in a Video on Demand (VoD) system, and in a real-world production system, AntVision, show that ARF-Predictor can pre"&amp;"dict ARFs with a very high accuracy and a low Ahead-Time-To-Failure ( ATTF ). Compared to previous approaches, ARF-Predictor improves the prediction accuracy by about 5 times and reduces ATTF even by 3 orders of magnitude. In addition, ARF-Predictor is li"&amp;"ght-weight enough to satisfy the real-time requirement. © 2018 IEEE.")</f>
        <v>Even well-designed software systems suffer from chronic performance degradation, also known as "software aging", due to internal (e.g., software bugs) or external (e.g., resource exhaustion) impairments. These chronic problems often fly under the radar of software monitoring systems before causing severe impacts (e.g., system failures). Therefore, it is a challenging issue how to timely predict the occurrence of failures caused by these problems. Unfortunately, the effectiveness of prior approaches are far from satisfactory due to the insufficiency of aging indicators adopted by them. To accurately predict failures caused by software aging which are named as Aging-Related Failure (ARFs), this paper presents a novel entropy-based aging indicator, namely Multidimensional Multi-scale Entropy (MMSE) which leverages the complexity embedded in runtime performance metrics to indicate software aging. To the best of our knowledge, this is the first time to leverage entropy to predict ARFs. Based upon MMSE, we implement three failure prediction approaches encapsulated in a proof-of-concept prototype named ARF-Predictor. The experimental evaluations in a Video on Demand (VoD) system, and in a real-world production system, AntVision, show that ARF-Predictor can predict ARFs with a very high accuracy and a low Ahead-Time-To-Failure ( ATTF ). Compared to previous approaches, ARF-Predictor improves the prediction accuracy by about 5 times and reduces ATTF even by 3 orders of magnitude. In addition, ARF-Predictor is light-weight enough to satisfy the real-time requirement. © 2018 IEEE.</v>
      </c>
      <c r="H326" s="8" t="str">
        <f>IFERROR(__xludf.DUMMYFUNCTION("""COMPUTED_VALUE"""),"availability; failure prediction; multi-scale entropy; performance degradation; Software aging")</f>
        <v>availability; failure prediction; multi-scale entropy; performance degradation; Software aging</v>
      </c>
      <c r="I326" s="10" t="b">
        <v>0</v>
      </c>
      <c r="J326" s="10" t="b">
        <v>0</v>
      </c>
      <c r="K326" s="10" t="b">
        <v>0</v>
      </c>
      <c r="L326" s="10" t="b">
        <v>0</v>
      </c>
      <c r="M326" s="10" t="b">
        <v>0</v>
      </c>
      <c r="N326" s="10" t="b">
        <v>0</v>
      </c>
      <c r="O326" s="11" t="b">
        <f t="shared" si="1"/>
        <v>0</v>
      </c>
      <c r="P326" s="16" t="b">
        <v>0</v>
      </c>
      <c r="Q326" s="7"/>
    </row>
    <row r="327">
      <c r="A327" s="5" t="b">
        <v>1</v>
      </c>
      <c r="B327" s="5" t="s">
        <v>365</v>
      </c>
      <c r="C327" s="6" t="str">
        <f>IFERROR(__xludf.DUMMYFUNCTION("""COMPUTED_VALUE"""),"10.1109/TDSC.2017.2777991")</f>
        <v>10.1109/TDSC.2017.2777991</v>
      </c>
      <c r="D327" s="7" t="str">
        <f>IFERROR(__xludf.DUMMYFUNCTION("""COMPUTED_VALUE"""),"Catuogno L.; Galdi C.; Persiano G.")</f>
        <v>Catuogno L.; Galdi C.; Persiano G.</v>
      </c>
      <c r="E327" s="7" t="str">
        <f>IFERROR(__xludf.DUMMYFUNCTION("""COMPUTED_VALUE"""),"Secure Dependency Enforcement in Package Management Systems")</f>
        <v>Secure Dependency Enforcement in Package Management Systems</v>
      </c>
      <c r="F327" s="7" t="str">
        <f>IFERROR(__xludf.DUMMYFUNCTION("""COMPUTED_VALUE"""),"TDSC")</f>
        <v>TDSC</v>
      </c>
      <c r="G327" s="7" t="str">
        <f>IFERROR(__xludf.DUMMYFUNCTION("""COMPUTED_VALUE"""),"Package management systems play an essential role in pursuing systems dependability by ensuring that software is correctly installed and kept up-to-date according to vendor-defined installation policies. Circumventing such policies could make the system u"&amp;"nhealthy and insecure and can constitute a serious security threat. In many application scenarios, e.g., distribution of commercial software, the confidentiality of the software must be guaranteed against non-authorized players. In some cases, the install"&amp;"ation policy itself is considered a sensitive information, e.g., when it reveals required hardware in military contexts. In this paper we address the problem of strongly enforcing software dependencies in package management systems, to prevent that a mali"&amp;"cious user forces the system to install any package despite its requirements are not completely fulfilled. The enforcement is strong in the sense that the encrypted software package cannot be even decrypted if the dependencies are not satisfied. Once a ne"&amp;"w package is decrypted and installed, our protocol non-interactively updates the key material on the target device. This key update will allow the decryption of further packages that depend on the newly installed one. We further present 'policy-hiding' va"&amp;"riants of our protocol. Finally we provide an experimental evaluation of the system performance. © 2004-2012 IEEE.")</f>
        <v>Package management systems play an essential role in pursuing systems dependability by ensuring that software is correctly installed and kept up-to-date according to vendor-defined installation policies. Circumventing such policies could make the system unhealthy and insecure and can constitute a serious security threat. In many application scenarios, e.g., distribution of commercial software, the confidentiality of the software must be guaranteed against non-authorized players. In some cases, the installation policy itself is considered a sensitive information, e.g., when it reveals required hardware in military contexts. In this paper we address the problem of strongly enforcing software dependencies in package management systems, to prevent that a malicious user forces the system to install any package despite its requirements are not completely fulfilled. The enforcement is strong in the sense that the encrypted software package cannot be even decrypted if the dependencies are not satisfied. Once a new package is decrypted and installed, our protocol non-interactively updates the key material on the target device. This key update will allow the decryption of further packages that depend on the newly installed one. We further present 'policy-hiding' variants of our protocol. Finally we provide an experimental evaluation of the system performance. © 2004-2012 IEEE.</v>
      </c>
      <c r="H327" s="8" t="str">
        <f>IFERROR(__xludf.DUMMYFUNCTION("""COMPUTED_VALUE"""),"dependency enforcement; Package management systems; secure software update")</f>
        <v>dependency enforcement; Package management systems; secure software update</v>
      </c>
      <c r="I327" s="10" t="b">
        <v>0</v>
      </c>
      <c r="J327" s="10" t="b">
        <v>0</v>
      </c>
      <c r="K327" s="10" t="b">
        <v>0</v>
      </c>
      <c r="L327" s="10" t="b">
        <v>0</v>
      </c>
      <c r="M327" s="10" t="b">
        <v>0</v>
      </c>
      <c r="N327" s="10" t="b">
        <v>0</v>
      </c>
      <c r="O327" s="11" t="b">
        <f t="shared" si="1"/>
        <v>0</v>
      </c>
      <c r="P327" s="16" t="b">
        <v>0</v>
      </c>
      <c r="Q327" s="7"/>
    </row>
    <row r="328">
      <c r="A328" s="5" t="b">
        <v>1</v>
      </c>
      <c r="B328" s="5" t="s">
        <v>366</v>
      </c>
      <c r="C328" s="6" t="str">
        <f>IFERROR(__xludf.DUMMYFUNCTION("""COMPUTED_VALUE"""),"10.1109/TDSC.2007.70225")</f>
        <v>10.1109/TDSC.2007.70225</v>
      </c>
      <c r="D328" s="7" t="str">
        <f>IFERROR(__xludf.DUMMYFUNCTION("""COMPUTED_VALUE"""),"Jha S.; Li N.; Tripunitara M.; Wang Q.; Winsborough W.H.")</f>
        <v>Jha S.; Li N.; Tripunitara M.; Wang Q.; Winsborough W.H.</v>
      </c>
      <c r="E328" s="7" t="str">
        <f>IFERROR(__xludf.DUMMYFUNCTION("""COMPUTED_VALUE"""),"Toward formal verification of role-based access control policies")</f>
        <v>Toward formal verification of role-based access control policies</v>
      </c>
      <c r="F328" s="7" t="str">
        <f>IFERROR(__xludf.DUMMYFUNCTION("""COMPUTED_VALUE"""),"TDSC")</f>
        <v>TDSC</v>
      </c>
      <c r="G328" s="7" t="str">
        <f>IFERROR(__xludf.DUMMYFUNCTION("""COMPUTED_VALUE"""),"Specifying and managing access control policies is a challenging problem. We propose to develop formal verification techniques for access control policies to improve the current state of the art of policy specification and management. In this paper, we fo"&amp;"rmalize classes of security analysis problems in the context of Role-Based Access Control. We show that in general, these problems are PSPACE-complete. We also study the factors that contribute to the computational complexity by considering a lattice of v"&amp;"arious subcases of the problem with different restrictions. We show that several subcases remain PSPACE-complete and several further restricted subcases are NP-complete, and we identify two subcases that are solvable in polynomial time. We also discuss ou"&amp;"r experiences and findings from experimentations that use existing formal method tools such as model checking and logic programming for addressing these problems. © 2008 IEEE.")</f>
        <v>Specifying and managing access control policies is a challenging problem. We propose to develop formal verification techniques for access control policies to improve the current state of the art of policy specification and management. In this paper, we formalize classes of security analysis problems in the context of Role-Based Access Control. We show that in general, these problems are PSPACE-complete. We also study the factors that contribute to the computational complexity by considering a lattice of various subcases of the problem with different restrictions. We show that several subcases remain PSPACE-complete and several further restricted subcases are NP-complete, and we identify two subcases that are solvable in polynomial time. We also discuss our experiences and findings from experimentations that use existing formal method tools such as model checking and logic programming for addressing these problems. © 2008 IEEE.</v>
      </c>
      <c r="H328" s="8" t="str">
        <f>IFERROR(__xludf.DUMMYFUNCTION("""COMPUTED_VALUE"""),"Access control; Computational complexity; Formal methods; RBAC")</f>
        <v>Access control; Computational complexity; Formal methods; RBAC</v>
      </c>
      <c r="I328" s="10" t="b">
        <v>0</v>
      </c>
      <c r="J328" s="10" t="b">
        <v>0</v>
      </c>
      <c r="K328" s="10" t="b">
        <v>0</v>
      </c>
      <c r="L328" s="10" t="b">
        <v>0</v>
      </c>
      <c r="M328" s="10" t="b">
        <v>0</v>
      </c>
      <c r="N328" s="10" t="b">
        <v>0</v>
      </c>
      <c r="O328" s="11" t="b">
        <f t="shared" si="1"/>
        <v>0</v>
      </c>
      <c r="P328" s="16" t="b">
        <v>0</v>
      </c>
      <c r="Q328" s="7"/>
    </row>
    <row r="329">
      <c r="A329" s="5" t="b">
        <v>1</v>
      </c>
      <c r="B329" s="5" t="s">
        <v>367</v>
      </c>
      <c r="C329" s="6" t="str">
        <f>IFERROR(__xludf.DUMMYFUNCTION("""COMPUTED_VALUE"""),"10.1109/TDSC.2023.3323669")</f>
        <v>10.1109/TDSC.2023.3323669</v>
      </c>
      <c r="D329" s="7" t="str">
        <f>IFERROR(__xludf.DUMMYFUNCTION("""COMPUTED_VALUE"""),"Zhang M.; Li X.; Ren Y.; Luo B.; Miao Y.; Liu X.; Deng R.H.")</f>
        <v>Zhang M.; Li X.; Ren Y.; Luo B.; Miao Y.; Liu X.; Deng R.H.</v>
      </c>
      <c r="E329" s="7" t="str">
        <f>IFERROR(__xludf.DUMMYFUNCTION("""COMPUTED_VALUE"""),"Privacy-Preserved Data Trading via Verifiable Data Disturbance")</f>
        <v>Privacy-Preserved Data Trading via Verifiable Data Disturbance</v>
      </c>
      <c r="F329" s="7" t="str">
        <f>IFERROR(__xludf.DUMMYFUNCTION("""COMPUTED_VALUE"""),"TDSC")</f>
        <v>TDSC</v>
      </c>
      <c r="G329" s="7" t="str">
        <f>IFERROR(__xludf.DUMMYFUNCTION("""COMPUTED_VALUE"""),"To motivate data owner (DO) to trade data, the existing data trading allows DO to sell the disturbed data to the data consumer (DC), where the disturbance parameter and the data price are negotiated by them, and DO independently adds the disturbance noise"&amp;" to data (usually continuous type) following the negotiation result. However, DOs may violate the negotiated parameter and add more noise to data while obtaining the negotiated price, which damages DC&amp;#x0027;s disturbed data availability. This deficiency "&amp;"is rooted in the absence of supervision and verifiability on DOs&amp;#x0027; independent disturbances. Aiming at the above problem, we devise a privacy-preserved data trading via verifiable data disturbance. Specifically, the honest-but-curious disturbance se"&amp;"rver (DS) is introduced to generate encrypted verifiable disturbance noises, and secretly distribute noises to DOs referring to the method of private information retrieval. Using homomorphic encryption, DOs finish data disturbance without knowing noises&amp;#"&amp;"x0027; specific sizes. Subsequently, DC selects DOs to verify with our proposed anti-forgery verification, where the anti-forgery on both disturbance noise and original data guarantees verification correctness. Theoretical analysis proves that DOs&amp;#x0027;"&amp;" original data is preserved in data trading. Extensive experiments using the real-world dataset demonstrate that our scheme can detect more than 80&amp;#x0025; of malicious DOs and decrease their utilities to punish malicious disturbance compared with existin"&amp;"g works. IEEE")</f>
        <v>To motivate data owner (DO) to trade data, the existing data trading allows DO to sell the disturbed data to the data consumer (DC), where the disturbance parameter and the data price are negotiated by them, and DO independently adds the disturbance noise to data (usually continuous type) following the negotiation result. However, DOs may violate the negotiated parameter and add more noise to data while obtaining the negotiated price, which damages DC&amp;#x0027;s disturbed data availability. This deficiency is rooted in the absence of supervision and verifiability on DOs&amp;#x0027; independent disturbances. Aiming at the above problem, we devise a privacy-preserved data trading via verifiable data disturbance. Specifically, the honest-but-curious disturbance server (DS) is introduced to generate encrypted verifiable disturbance noises, and secretly distribute noises to DOs referring to the method of private information retrieval. Using homomorphic encryption, DOs finish data disturbance without knowing noises&amp;#x0027; specific sizes. Subsequently, DC selects DOs to verify with our proposed anti-forgery verification, where the anti-forgery on both disturbance noise and original data guarantees verification correctness. Theoretical analysis proves that DOs&amp;#x0027; original data is preserved in data trading. Extensive experiments using the real-world dataset demonstrate that our scheme can detect more than 80&amp;#x0025; of malicious DOs and decrease their utilities to punish malicious disturbance compared with existing works. IEEE</v>
      </c>
      <c r="H329" s="8" t="str">
        <f>IFERROR(__xludf.DUMMYFUNCTION("""COMPUTED_VALUE"""),"availability requirement; data trading; Differential privacy; Games; Nash equilibrium; Pricing; Privacy; privacy preserved; private information retrieval; Public key; Servers")</f>
        <v>availability requirement; data trading; Differential privacy; Games; Nash equilibrium; Pricing; Privacy; privacy preserved; private information retrieval; Public key; Servers</v>
      </c>
      <c r="I329" s="10" t="b">
        <v>0</v>
      </c>
      <c r="J329" s="10" t="b">
        <v>0</v>
      </c>
      <c r="K329" s="10" t="b">
        <v>0</v>
      </c>
      <c r="L329" s="10" t="b">
        <v>0</v>
      </c>
      <c r="M329" s="10" t="b">
        <v>0</v>
      </c>
      <c r="N329" s="10" t="b">
        <v>0</v>
      </c>
      <c r="O329" s="11" t="b">
        <f t="shared" si="1"/>
        <v>0</v>
      </c>
      <c r="P329" s="16" t="b">
        <v>0</v>
      </c>
      <c r="Q329" s="7"/>
    </row>
    <row r="330">
      <c r="A330" s="5" t="b">
        <v>1</v>
      </c>
      <c r="B330" s="5" t="s">
        <v>368</v>
      </c>
      <c r="C330" s="6" t="str">
        <f>IFERROR(__xludf.DUMMYFUNCTION("""COMPUTED_VALUE"""),"10.1109/TDSC.2008.73")</f>
        <v>10.1109/TDSC.2008.73</v>
      </c>
      <c r="D330" s="7" t="str">
        <f>IFERROR(__xludf.DUMMYFUNCTION("""COMPUTED_VALUE"""),"Mirkovic J.; Hussain A.; Fahmy S.; Reiher P.; Thomas R.K.")</f>
        <v>Mirkovic J.; Hussain A.; Fahmy S.; Reiher P.; Thomas R.K.</v>
      </c>
      <c r="E330" s="7" t="str">
        <f>IFERROR(__xludf.DUMMYFUNCTION("""COMPUTED_VALUE"""),"Accurately measuring denial of service in simulation and testbed experiments")</f>
        <v>Accurately measuring denial of service in simulation and testbed experiments</v>
      </c>
      <c r="F330" s="7" t="str">
        <f>IFERROR(__xludf.DUMMYFUNCTION("""COMPUTED_VALUE"""),"TDSC")</f>
        <v>TDSC</v>
      </c>
      <c r="G330" s="7" t="str">
        <f>IFERROR(__xludf.DUMMYFUNCTION("""COMPUTED_VALUE"""),"Researchers in the denial-of-service (DoS) field lack accurate, quantitative, and versatile metrics to measure service denial in simulation and testbed experiments. Without such metrics, it is impossible to measure severity of various attacks, quantify su"&amp;"ccess of proposed defenses, and compare their performance. Existing DoS metrics equate service denial with slow communication, low throughput, high resource utilization, and high loss rate. These metrics are not versatile because they fail to monitor all "&amp;"traffic parameters that signal service degradation. They are not quantitative because they fail to specify exact ranges of parameter values that correspond to good or poor service quality. Finally, they are not accurate since they were not proven to corre"&amp;"spond to human perception of service denial. We propose several DoS impact metrics that measure the quality of service experienced by users during an attack. Our metrics are quantitative: they map QoS requirements for several applications into measurable "&amp;"traffic parameters with acceptable, scientifically determined thresholds. They are versatile: they apply to a wide range of attack scenarios, which we demonstrate via testbed experiments and simulations. We also prove metrics' accuracy through testing wit"&amp;"h human users. © 2006 IEEE.")</f>
        <v>Researchers in the denial-of-service (DoS) field lack accurate, quantitative, and versatile metrics to measure service denial in simulation and testbed experiments. Without such metrics, it is impossible to measure severity of various attacks, quantify success of proposed defenses, and compare their performance. Existing DoS metrics equate service denial with slow communication, low throughput, high resource utilization, and high loss rate. These metrics are not versatile because they fail to monitor all traffic parameters that signal service degradation. They are not quantitative because they fail to specify exact ranges of parameter values that correspond to good or poor service quality. Finally, they are not accurate since they were not proven to correspond to human perception of service denial. We propose several DoS impact metrics that measure the quality of service experienced by users during an attack. Our metrics are quantitative: they map QoS requirements for several applications into measurable traffic parameters with acceptable, scientifically determined thresholds. They are versatile: they apply to a wide range of attack scenarios, which we demonstrate via testbed experiments and simulations. We also prove metrics' accuracy through testing with human users. © 2006 IEEE.</v>
      </c>
      <c r="H330" s="8" t="str">
        <f>IFERROR(__xludf.DUMMYFUNCTION("""COMPUTED_VALUE"""),"Communication/networking and information technology; Computer systems organization; Measurement techniques; Network-level security and protection; Performance of systems.")</f>
        <v>Communication/networking and information technology; Computer systems organization; Measurement techniques; Network-level security and protection; Performance of systems.</v>
      </c>
      <c r="I330" s="10" t="b">
        <v>0</v>
      </c>
      <c r="J330" s="10" t="b">
        <v>0</v>
      </c>
      <c r="K330" s="10" t="b">
        <v>0</v>
      </c>
      <c r="L330" s="10" t="b">
        <v>0</v>
      </c>
      <c r="M330" s="10" t="b">
        <v>0</v>
      </c>
      <c r="N330" s="10" t="b">
        <v>0</v>
      </c>
      <c r="O330" s="11" t="b">
        <f t="shared" si="1"/>
        <v>0</v>
      </c>
      <c r="P330" s="16" t="b">
        <v>0</v>
      </c>
      <c r="Q330" s="7"/>
    </row>
    <row r="331">
      <c r="A331" s="5" t="b">
        <v>1</v>
      </c>
      <c r="B331" s="5" t="s">
        <v>369</v>
      </c>
      <c r="C331" s="6" t="str">
        <f>IFERROR(__xludf.DUMMYFUNCTION("""COMPUTED_VALUE"""),"10.1109/TDSC.2016.2635128")</f>
        <v>10.1109/TDSC.2016.2635128</v>
      </c>
      <c r="D331" s="7" t="str">
        <f>IFERROR(__xludf.DUMMYFUNCTION("""COMPUTED_VALUE"""),"Wan Z.; Deng R.H.")</f>
        <v>Wan Z.; Deng R.H.</v>
      </c>
      <c r="E331" s="7" t="str">
        <f>IFERROR(__xludf.DUMMYFUNCTION("""COMPUTED_VALUE"""),"VPSearch: Achieving Verifiability for Privacy-Preserving Multi-Keyword Search over Encrypted Cloud Data")</f>
        <v>VPSearch: Achieving Verifiability for Privacy-Preserving Multi-Keyword Search over Encrypted Cloud Data</v>
      </c>
      <c r="F331" s="7" t="str">
        <f>IFERROR(__xludf.DUMMYFUNCTION("""COMPUTED_VALUE"""),"TDSC")</f>
        <v>TDSC</v>
      </c>
      <c r="G331" s="7" t="str">
        <f>IFERROR(__xludf.DUMMYFUNCTION("""COMPUTED_VALUE"""),"Although cloud computing offers elastic computation and storage resources, it poses challenges on verifiability of computations and data privacy. In this work we investigate verifiability for privacy-preserving multi-keyword search over outsourced documen"&amp;"ts. As the cloud server may return incorrect results due to system faults or incentive to reduce computation cost, it is critical to offer verifiability of search results and privacy protection for outsourced data at the same time. To fulfill these requir"&amp;"ements, we design a Verifiable P rivacy-preserving keyword Search scheme, called VPSearch, by integrating an adapted homomorphic MAC technique with a privacy-preserving multi-keyword search scheme. The proposed scheme enables the client to verify search r"&amp;"esults efficiently without storing a local copy of the outsourced data. We also propose a random challenge technique with ordering for verifying top-k search results, which can detect incorrect top-k results with probability close to 1. We provide detaile"&amp;"d analysis on security, verifiability, privacy, and efficiency of the proposed scheme. Finally, we implement VPSearch using Matlab and evaluate its performance over three UCI bag-of-words data sets. Experiment results show that authentication tag generati"&amp;"on incurs about 3 percent overhead only and a search query over 300,000 documents takes about 0.98 seconds on a laptop. To verify 300,000 similarity scores for one query, VPSearch costs only 0.29 seconds. © 2004-2012 IEEE.")</f>
        <v>Although cloud computing offers elastic computation and storage resources, it poses challenges on verifiability of computations and data privacy. In this work we investigate verifiability for privacy-preserving multi-keyword search over outsourced documents. As the cloud server may return incorrect results due to system faults or incentive to reduce computation cost, it is critical to offer verifiability of search results and privacy protection for outsourced data at the same time. To fulfill these requirements, we design a Verifiable P rivacy-preserving keyword Search scheme, called VPSearch, by integrating an adapted homomorphic MAC technique with a privacy-preserving multi-keyword search scheme. The proposed scheme enables the client to verify search results efficiently without storing a local copy of the outsourced data. We also propose a random challenge technique with ordering for verifying top-k search results, which can detect incorrect top-k results with probability close to 1. We provide detailed analysis on security, verifiability, privacy, and efficiency of the proposed scheme. Finally, we implement VPSearch using Matlab and evaluate its performance over three UCI bag-of-words data sets. Experiment results show that authentication tag generation incurs about 3 percent overhead only and a search query over 300,000 documents takes about 0.98 seconds on a laptop. To verify 300,000 similarity scores for one query, VPSearch costs only 0.29 seconds. © 2004-2012 IEEE.</v>
      </c>
      <c r="H331" s="8" t="str">
        <f>IFERROR(__xludf.DUMMYFUNCTION("""COMPUTED_VALUE"""),"Cloud computing; privacy; search; verifiability")</f>
        <v>Cloud computing; privacy; search; verifiability</v>
      </c>
      <c r="I331" s="10" t="b">
        <v>0</v>
      </c>
      <c r="J331" s="10" t="b">
        <v>0</v>
      </c>
      <c r="K331" s="10" t="b">
        <v>0</v>
      </c>
      <c r="L331" s="10" t="b">
        <v>0</v>
      </c>
      <c r="M331" s="10" t="b">
        <v>0</v>
      </c>
      <c r="N331" s="10" t="b">
        <v>0</v>
      </c>
      <c r="O331" s="11" t="b">
        <f t="shared" si="1"/>
        <v>0</v>
      </c>
      <c r="P331" s="16" t="b">
        <v>0</v>
      </c>
      <c r="Q331" s="7"/>
    </row>
    <row r="332">
      <c r="A332" s="5" t="b">
        <v>1</v>
      </c>
      <c r="B332" s="5" t="s">
        <v>370</v>
      </c>
      <c r="C332" s="6" t="str">
        <f>IFERROR(__xludf.DUMMYFUNCTION("""COMPUTED_VALUE"""),"10.1109/TDSC.2015.2497680")</f>
        <v>10.1109/TDSC.2015.2497680</v>
      </c>
      <c r="D332" s="7" t="str">
        <f>IFERROR(__xludf.DUMMYFUNCTION("""COMPUTED_VALUE"""),"Colombo P.; Ferrari E.")</f>
        <v>Colombo P.; Ferrari E.</v>
      </c>
      <c r="E332" s="7" t="str">
        <f>IFERROR(__xludf.DUMMYFUNCTION("""COMPUTED_VALUE"""),"Enhancing MongoDB with Purpose-Based Access Control")</f>
        <v>Enhancing MongoDB with Purpose-Based Access Control</v>
      </c>
      <c r="F332" s="7" t="str">
        <f>IFERROR(__xludf.DUMMYFUNCTION("""COMPUTED_VALUE"""),"TDSC")</f>
        <v>TDSC</v>
      </c>
      <c r="G332" s="7" t="str">
        <f>IFERROR(__xludf.DUMMYFUNCTION("""COMPUTED_VALUE"""),"Privacy has become a key requirement for data management systems. Nevertheless, NoSQL datastores, namely highly scalable non relational database management systems, which often support data management of Internet scale applications,still do not provide su"&amp;"pport for privacy policies enforcement. With this work, we begin to address this issue, by proposing an approach for the integration of purpose based policy enforcement capabilities into MongoDB, a popular NoSQL datastore. Our contribution consists of the"&amp;" enhancement of the MongoDB role based access control model with privacy concepts and related enforcement monitor. The proposed monitor is easily integrable into any MongoDB deployment through simple configurations. Experimental results show that our moni"&amp;"tor enforces purpose-based access control with low overhead. © 2004-2012 IEEE.")</f>
        <v>Privacy has become a key requirement for data management systems. Nevertheless, NoSQL datastores, namely highly scalable non relational database management systems, which often support data management of Internet scale applications,still do not provide support for privacy policies enforcement. With this work, we begin to address this issue, by proposing an approach for the integration of purpose based policy enforcement capabilities into MongoDB, a popular NoSQL datastore. Our contribution consists of the enhancement of the MongoDB role based access control model with privacy concepts and related enforcement monitor. The proposed monitor is easily integrable into any MongoDB deployment through simple configurations. Experimental results show that our monitor enforces purpose-based access control with low overhead. © 2004-2012 IEEE.</v>
      </c>
      <c r="H332" s="8" t="str">
        <f>IFERROR(__xludf.DUMMYFUNCTION("""COMPUTED_VALUE"""),"MongoDB; NoSQL datastores; Purpose-based access control")</f>
        <v>MongoDB; NoSQL datastores; Purpose-based access control</v>
      </c>
      <c r="I332" s="10" t="b">
        <v>0</v>
      </c>
      <c r="J332" s="10" t="b">
        <v>0</v>
      </c>
      <c r="K332" s="10" t="b">
        <v>0</v>
      </c>
      <c r="L332" s="10" t="b">
        <v>0</v>
      </c>
      <c r="M332" s="10" t="b">
        <v>0</v>
      </c>
      <c r="N332" s="10" t="b">
        <v>0</v>
      </c>
      <c r="O332" s="11" t="b">
        <f t="shared" si="1"/>
        <v>0</v>
      </c>
      <c r="P332" s="16" t="b">
        <v>0</v>
      </c>
      <c r="Q332" s="7"/>
    </row>
    <row r="333">
      <c r="A333" s="5" t="b">
        <v>1</v>
      </c>
      <c r="B333" s="5" t="s">
        <v>371</v>
      </c>
      <c r="C333" s="6" t="str">
        <f>IFERROR(__xludf.DUMMYFUNCTION("""COMPUTED_VALUE"""),"10.1109/TDSC.2022.3227654")</f>
        <v>10.1109/TDSC.2022.3227654</v>
      </c>
      <c r="D333" s="7" t="str">
        <f>IFERROR(__xludf.DUMMYFUNCTION("""COMPUTED_VALUE"""),"Yang M.; Tjuawinata I.; Lam K.-Y.; Zhu T.; Zhao J.")</f>
        <v>Yang M.; Tjuawinata I.; Lam K.-Y.; Zhu T.; Zhao J.</v>
      </c>
      <c r="E333" s="7" t="str">
        <f>IFERROR(__xludf.DUMMYFUNCTION("""COMPUTED_VALUE"""),"Differentially Private Distributed Frequency Estimation")</f>
        <v>Differentially Private Distributed Frequency Estimation</v>
      </c>
      <c r="F333" s="7" t="str">
        <f>IFERROR(__xludf.DUMMYFUNCTION("""COMPUTED_VALUE"""),"TDSC")</f>
        <v>TDSC</v>
      </c>
      <c r="G333" s="7" t="str">
        <f>IFERROR(__xludf.DUMMYFUNCTION("""COMPUTED_VALUE"""),"In order to remain competitive, Internet companies collect and analyse user data for the purpose of the improvement of user experiences. Frequency estimation is a widely used statistical tool, which could potentially conflict with the relevant privacy reg"&amp;"ulations. Privacy preserving analytic methods based on differential privacy have been proposed, which require either a large user base or a trusted server. Although the requirements for such solutions may not be a problem for larger companies, they may be"&amp;" unattainable for smaller organizations. To address this issue, we propose a distributed privacy-preserving sampling-based frequency estimation method which has high accuracy even in the scenario with a small number of users while not requiring any truste"&amp;"d server. This is achieved by combining multi-party computation and sampling techniques. We also provide a relation between its privacy guarantee, output accuracy, and the number of participants. Distinct from most existing methods, our methods achieve ce"&amp;"ntralized differential privacy guarantee without the need of any trusted server. We established that, even for a small number of participants, our mechanisms can produce estimates with high accuracy and hence they provide smaller companies with more oppor"&amp;"tunity for growth through privacy-preserving statistical analysis. We further propose an architectural model to support weighted aggregation in order to achieve a higher accuracy estimate to cater for users with varying privacy requirements. Compared to t"&amp;"he unweighted aggregation, our method provides a more accurate estimate. Extensive experiments are conducted to show the effectiveness of the proposed methods.  © 2004-2012 IEEE.")</f>
        <v>In order to remain competitive, Internet companies collect and analyse user data for the purpose of the improvement of user experiences. Frequency estimation is a widely used statistical tool, which could potentially conflict with the relevant privacy regulations. Privacy preserving analytic methods based on differential privacy have been proposed, which require either a large user base or a trusted server. Although the requirements for such solutions may not be a problem for larger companies, they may be unattainable for smaller organizations. To address this issue, we propose a distributed privacy-preserving sampling-based frequency estimation method which has high accuracy even in the scenario with a small number of users while not requiring any trusted server. This is achieved by combining multi-party computation and sampling techniques. We also provide a relation between its privacy guarantee, output accuracy, and the number of participants. Distinct from most existing methods, our methods achieve centralized differential privacy guarantee without the need of any trusted server. We established that, even for a small number of participants, our mechanisms can produce estimates with high accuracy and hence they provide smaller companies with more opportunity for growth through privacy-preserving statistical analysis. We further propose an architectural model to support weighted aggregation in order to achieve a higher accuracy estimate to cater for users with varying privacy requirements. Compared to the unweighted aggregation, our method provides a more accurate estimate. Extensive experiments are conducted to show the effectiveness of the proposed methods.  © 2004-2012 IEEE.</v>
      </c>
      <c r="H333" s="8" t="str">
        <f>IFERROR(__xludf.DUMMYFUNCTION("""COMPUTED_VALUE"""),"data analytics; Differential privacy; frequency estimation; secret sharing")</f>
        <v>data analytics; Differential privacy; frequency estimation; secret sharing</v>
      </c>
      <c r="I333" s="10" t="b">
        <v>0</v>
      </c>
      <c r="J333" s="10" t="b">
        <v>0</v>
      </c>
      <c r="K333" s="10" t="b">
        <v>0</v>
      </c>
      <c r="L333" s="10" t="b">
        <v>0</v>
      </c>
      <c r="M333" s="10" t="b">
        <v>0</v>
      </c>
      <c r="N333" s="10" t="b">
        <v>0</v>
      </c>
      <c r="O333" s="11" t="b">
        <f t="shared" si="1"/>
        <v>0</v>
      </c>
      <c r="P333" s="16" t="b">
        <v>0</v>
      </c>
      <c r="Q333" s="7"/>
    </row>
    <row r="334">
      <c r="A334" s="5" t="b">
        <v>1</v>
      </c>
      <c r="B334" s="5" t="s">
        <v>372</v>
      </c>
      <c r="C334" s="6" t="str">
        <f>IFERROR(__xludf.DUMMYFUNCTION("""COMPUTED_VALUE"""),"10.1109/TDSC.2020.3026191")</f>
        <v>10.1109/TDSC.2020.3026191</v>
      </c>
      <c r="D334" s="7" t="str">
        <f>IFERROR(__xludf.DUMMYFUNCTION("""COMPUTED_VALUE"""),"Qi S.; Zheng Y.; Chen X.; Wei W.")</f>
        <v>Qi S.; Zheng Y.; Chen X.; Wei W.</v>
      </c>
      <c r="E334" s="7" t="str">
        <f>IFERROR(__xludf.DUMMYFUNCTION("""COMPUTED_VALUE"""),"Ants can Carry Cheese: Secure and Private RFID-Enabled Third-Party Distribution")</f>
        <v>Ants can Carry Cheese: Secure and Private RFID-Enabled Third-Party Distribution</v>
      </c>
      <c r="F334" s="7" t="str">
        <f>IFERROR(__xludf.DUMMYFUNCTION("""COMPUTED_VALUE"""),"TDSC")</f>
        <v>TDSC</v>
      </c>
      <c r="G334" s="7" t="str">
        <f>IFERROR(__xludf.DUMMYFUNCTION("""COMPUTED_VALUE"""),"Radio Frequency Identification (RFID) is a key emerging technology to improve data sharing in item distribution systems. By attaching RFID tags to items, item related data can be bound to items and participants involved in an item distribution system can "&amp;"directly store, access and update the data by interrogating the tags. Such a flexible data access manner of RFID technology, however, raises privacy and security concerns. In this article, we focus on a special item distribution system named RFID-enabled "&amp;"Third-party Distribution (RTD) system and identify two inherent security and privacy requirements. We further design a Secure RTD system called Ants, which uses cryptography to protect item messages carried by tags to satisfy both of the requirements whil"&amp;"e preserving the flexible data access manner of RFID technology. Ants introduces two new techniques named commitment accumulation and selective message proof for memory-constrained tags to carry long crypto-item messages. We conduct theoretical analysis a"&amp;"nd experiments to demonstrate the security and efficiency of Ants.  © 2004-2012 IEEE.")</f>
        <v>Radio Frequency Identification (RFID) is a key emerging technology to improve data sharing in item distribution systems. By attaching RFID tags to items, item related data can be bound to items and participants involved in an item distribution system can directly store, access and update the data by interrogating the tags. Such a flexible data access manner of RFID technology, however, raises privacy and security concerns. In this article, we focus on a special item distribution system named RFID-enabled Third-party Distribution (RTD) system and identify two inherent security and privacy requirements. We further design a Secure RTD system called Ants, which uses cryptography to protect item messages carried by tags to satisfy both of the requirements while preserving the flexible data access manner of RFID technology. Ants introduces two new techniques named commitment accumulation and selective message proof for memory-constrained tags to carry long crypto-item messages. We conduct theoretical analysis and experiments to demonstrate the security and efficiency of Ants.  © 2004-2012 IEEE.</v>
      </c>
      <c r="H334" s="8" t="str">
        <f>IFERROR(__xludf.DUMMYFUNCTION("""COMPUTED_VALUE"""),"data sharing; privacy; RFID; security; Third-party logistics")</f>
        <v>data sharing; privacy; RFID; security; Third-party logistics</v>
      </c>
      <c r="I334" s="10" t="b">
        <v>0</v>
      </c>
      <c r="J334" s="10" t="b">
        <v>0</v>
      </c>
      <c r="K334" s="10" t="b">
        <v>0</v>
      </c>
      <c r="L334" s="10" t="b">
        <v>0</v>
      </c>
      <c r="M334" s="10" t="b">
        <v>0</v>
      </c>
      <c r="N334" s="10" t="b">
        <v>0</v>
      </c>
      <c r="O334" s="11" t="b">
        <f t="shared" si="1"/>
        <v>0</v>
      </c>
      <c r="P334" s="16" t="b">
        <v>0</v>
      </c>
      <c r="Q334" s="7"/>
    </row>
    <row r="335">
      <c r="A335" s="5" t="b">
        <v>1</v>
      </c>
      <c r="B335" s="5" t="s">
        <v>373</v>
      </c>
      <c r="C335" s="6" t="str">
        <f>IFERROR(__xludf.DUMMYFUNCTION("""COMPUTED_VALUE"""),"10.1109/TDSC.2021.3108031")</f>
        <v>10.1109/TDSC.2021.3108031</v>
      </c>
      <c r="D335" s="7" t="str">
        <f>IFERROR(__xludf.DUMMYFUNCTION("""COMPUTED_VALUE"""),"Rahaman S.; Cai H.; Chowdhury O.; Yao D.")</f>
        <v>Rahaman S.; Cai H.; Chowdhury O.; Yao D.</v>
      </c>
      <c r="E335" s="7" t="str">
        <f>IFERROR(__xludf.DUMMYFUNCTION("""COMPUTED_VALUE"""),"From Theory to Code: Identifying Logical Flaws in Cryptographic Implementations in C/C++")</f>
        <v>From Theory to Code: Identifying Logical Flaws in Cryptographic Implementations in C/C++</v>
      </c>
      <c r="F335" s="7" t="str">
        <f>IFERROR(__xludf.DUMMYFUNCTION("""COMPUTED_VALUE"""),"TDSC")</f>
        <v>TDSC</v>
      </c>
      <c r="G335" s="7" t="str">
        <f>IFERROR(__xludf.DUMMYFUNCTION("""COMPUTED_VALUE"""),"Cryptographic protocols are often expected to be provably secure. However, this security guarantee often falls short in practice due to various implementation flaws. We propose a new paradigm called cryptographic program analysis (CPA) which prescribes th"&amp;"e use of program analysis to detect these implementation flaws at compile time. The principal insight of the CPA is that many of these flaws in cryptographic implementations can be mapped to the violation of meta-level properties of implementations. A pro"&amp;"gram property that is necessary to realize a cryptographic property is referred to as meta-level property. We show that violations of these meta-level properties can be identified at compile-time that can serve as sufficient evidence of the encompassing f"&amp;"laws. We investigated existing literature on cryptographic implementation flaws and derived 25 corresponding meta-level properties. To instantiate the abstract paradigm of CPA, we develop a specification language based on deterministic finite automaton (D"&amp;"FA) and show that most of the meta-level properties can be expressed in terms of our language. We then develop a tool called TaintCrypt which uses static taint analysis to identify meta-level property violations of C/C++ cryptographic implementations at c"&amp;"ompile-time. We demonstrate the efficacy of TaintCrypt by analyzing open-source C/C++ cryptographic libraries (e.g., OpenSSL) and observe that TaintCrypt could have helped to avoid several high-profile flaws. We also evaluated TaintCrypt on 5 popular appl"&amp;"ications and libraries, which generated new security insights. The experimental evaluation on large-scale projects indicates the scalability of our approach.  © 2004-2012 IEEE.")</f>
        <v>Cryptographic protocols are often expected to be provably secure. However, this security guarantee often falls short in practice due to various implementation flaws. We propose a new paradigm called cryptographic program analysis (CPA) which prescribes the use of program analysis to detect these implementation flaws at compile time. The principal insight of the CPA is that many of these flaws in cryptographic implementations can be mapped to the violation of meta-level properties of implementations. A program property that is necessary to realize a cryptographic property is referred to as meta-level property. We show that violations of these meta-level properties can be identified at compile-time that can serve as sufficient evidence of the encompassing flaws. We investigated existing literature on cryptographic implementation flaws and derived 25 corresponding meta-level properties. To instantiate the abstract paradigm of CPA, we develop a specification language based on deterministic finite automaton (DFA) and show that most of the meta-level properties can be expressed in terms of our language. We then develop a tool called TaintCrypt which uses static taint analysis to identify meta-level property violations of C/C++ cryptographic implementations at compile-time. We demonstrate the efficacy of TaintCrypt by analyzing open-source C/C++ cryptographic libraries (e.g., OpenSSL) and observe that TaintCrypt could have helped to avoid several high-profile flaws. We also evaluated TaintCrypt on 5 popular applications and libraries, which generated new security insights. The experimental evaluation on large-scale projects indicates the scalability of our approach.  © 2004-2012 IEEE.</v>
      </c>
      <c r="H335" s="8" t="str">
        <f>IFERROR(__xludf.DUMMYFUNCTION("""COMPUTED_VALUE"""),"Cryptographic code; information flow analysis; security vulnerability; static tainting")</f>
        <v>Cryptographic code; information flow analysis; security vulnerability; static tainting</v>
      </c>
      <c r="I335" s="10" t="b">
        <v>0</v>
      </c>
      <c r="J335" s="10" t="b">
        <v>0</v>
      </c>
      <c r="K335" s="10" t="b">
        <v>0</v>
      </c>
      <c r="L335" s="10" t="b">
        <v>0</v>
      </c>
      <c r="M335" s="10" t="b">
        <v>0</v>
      </c>
      <c r="N335" s="10" t="b">
        <v>0</v>
      </c>
      <c r="O335" s="11" t="b">
        <f t="shared" si="1"/>
        <v>0</v>
      </c>
      <c r="P335" s="16" t="b">
        <v>0</v>
      </c>
      <c r="Q335" s="7"/>
    </row>
    <row r="336">
      <c r="A336" s="5" t="b">
        <v>1</v>
      </c>
      <c r="B336" s="5" t="s">
        <v>374</v>
      </c>
      <c r="C336" s="6" t="str">
        <f>IFERROR(__xludf.DUMMYFUNCTION("""COMPUTED_VALUE"""),"10.1109/TDSC.2012.24")</f>
        <v>10.1109/TDSC.2012.24</v>
      </c>
      <c r="D336" s="7" t="str">
        <f>IFERROR(__xludf.DUMMYFUNCTION("""COMPUTED_VALUE"""),"Xu D.; Tu M.; Sanford M.; Thomas L.; Woodraska D.; Xu W.")</f>
        <v>Xu D.; Tu M.; Sanford M.; Thomas L.; Woodraska D.; Xu W.</v>
      </c>
      <c r="E336" s="7" t="str">
        <f>IFERROR(__xludf.DUMMYFUNCTION("""COMPUTED_VALUE"""),"Automated security test generation with formal threat models")</f>
        <v>Automated security test generation with formal threat models</v>
      </c>
      <c r="F336" s="7" t="str">
        <f>IFERROR(__xludf.DUMMYFUNCTION("""COMPUTED_VALUE"""),"TDSC")</f>
        <v>TDSC</v>
      </c>
      <c r="G336" s="7" t="str">
        <f>IFERROR(__xludf.DUMMYFUNCTION("""COMPUTED_VALUE"""),"Security attacks typically result from unintended behaviors or invalid inputs. Security testing is labor intensive because a real-world program usually has too many invalid inputs. It is highly desirable to automate or partially automate security-testing "&amp;"process. This paper presents an approach to automated generation of security tests by using formal threat models represented as Predicate/Transition nets. It generates all attack paths, i.e., security tests, from a threat model and converts them into exec"&amp;"utable test code according to the given Model-Implementation Mapping (MIM) specification. We have applied this approach to two real-world systems, Magento (a web-based shopping system being used by many online stores) and FileZilla Server (a popular FTP s"&amp;"erver implementation in C++). Threat models are built systematically by examining all potential STRIDE (spoofing identity, tampering with data, repudiation, information disclosure, denial of service, and elevation of privilege) threats to system functions"&amp;". The security tests generated from these models have found multiple security risks in each system. The test code for most of the security tests can be generated and executed automatically. To further evaluate the vulnerability detection capability of the"&amp;" testing approach, the security tests have been applied to a number of security mutants where vulnerabilities are injected deliberately. The mutants are created according to the common vulnerabilities in C++ and web applications. Our experiments show that"&amp;" the security tests have killed the majority of the mutants. © 2012 IEEE.")</f>
        <v>Security attacks typically result from unintended behaviors or invalid inputs. Security testing is labor intensive because a real-world program usually has too many invalid inputs. It is highly desirable to automate or partially automate security-testing process. This paper presents an approach to automated generation of security tests by using formal threat models represented as Predicate/Transition nets. It generates all attack paths, i.e., security tests, from a threat model and converts them into executable test code according to the given Model-Implementation Mapping (MIM) specification. We have applied this approach to two real-world systems, Magento (a web-based shopping system being used by many online stores) and FileZilla Server (a popular FTP server implementation in C++). Threat models are built systematically by examining all potential STRIDE (spoofing identity, tampering with data, repudiation, information disclosure, denial of service, and elevation of privilege) threats to system functions. The security tests generated from these models have found multiple security risks in each system. The test code for most of the security tests can be generated and executed automatically. To further evaluate the vulnerability detection capability of the testing approach, the security tests have been applied to a number of security mutants where vulnerabilities are injected deliberately. The mutants are created according to the common vulnerabilities in C++ and web applications. Our experiments show that the security tests have killed the majority of the mutants. © 2012 IEEE.</v>
      </c>
      <c r="H336" s="8" t="str">
        <f>IFERROR(__xludf.DUMMYFUNCTION("""COMPUTED_VALUE"""),"KeywordsSoftware security; model-based testing; Petri nets.; security testing; software testing; threat modeling")</f>
        <v>KeywordsSoftware security; model-based testing; Petri nets.; security testing; software testing; threat modeling</v>
      </c>
      <c r="I336" s="10" t="b">
        <v>0</v>
      </c>
      <c r="J336" s="10" t="b">
        <v>0</v>
      </c>
      <c r="K336" s="10" t="b">
        <v>0</v>
      </c>
      <c r="L336" s="10" t="b">
        <v>0</v>
      </c>
      <c r="M336" s="10" t="b">
        <v>0</v>
      </c>
      <c r="N336" s="10" t="b">
        <v>0</v>
      </c>
      <c r="O336" s="11" t="b">
        <f t="shared" si="1"/>
        <v>0</v>
      </c>
      <c r="P336" s="16" t="b">
        <v>0</v>
      </c>
      <c r="Q336" s="7"/>
    </row>
    <row r="337">
      <c r="A337" s="5" t="b">
        <v>1</v>
      </c>
      <c r="B337" s="5" t="s">
        <v>375</v>
      </c>
      <c r="C337" s="6" t="str">
        <f>IFERROR(__xludf.DUMMYFUNCTION("""COMPUTED_VALUE"""),"10.1109/TDSC.2019.2922958")</f>
        <v>10.1109/TDSC.2019.2922958</v>
      </c>
      <c r="D337" s="7" t="str">
        <f>IFERROR(__xludf.DUMMYFUNCTION("""COMPUTED_VALUE"""),"Liang J.; Qin Z.; Xiao S.; Ou L.; Lin X.")</f>
        <v>Liang J.; Qin Z.; Xiao S.; Ou L.; Lin X.</v>
      </c>
      <c r="E337" s="7" t="str">
        <f>IFERROR(__xludf.DUMMYFUNCTION("""COMPUTED_VALUE"""),"Efficient and Secure Decision Tree Classification for Cloud-Assisted Online Diagnosis Services")</f>
        <v>Efficient and Secure Decision Tree Classification for Cloud-Assisted Online Diagnosis Services</v>
      </c>
      <c r="F337" s="7" t="str">
        <f>IFERROR(__xludf.DUMMYFUNCTION("""COMPUTED_VALUE"""),"TDSC")</f>
        <v>TDSC</v>
      </c>
      <c r="G337" s="7" t="str">
        <f>IFERROR(__xludf.DUMMYFUNCTION("""COMPUTED_VALUE"""),"Decision tree classification has become a prevailing technique for online diagnosis services. By outsourcing computation intensive tasks to a cloud server, cloud-assisted online diagnosis services are better ways for cases that the storage and computation"&amp;" requirements exceed the capability of medical institutions. With privacy concerns as well as intellectual property protection issues, the valuable diagnosis classifier and the sensitive user data should be protected against the cloud server. In this pape"&amp;"r, we identify a work-flow for cloud-assisted online diagnosis services. We propose an efficient and secure decision tree classification scheme in the proposed work-flow. Specifically, the medical institution transforms a locally pre-trained decision tree"&amp;" classifier to a decision table, and later uses searchable symmetric encryption to encrypt the decision table. Then, the encrypted table is outsourced to the cloud server, and a user can submit encrypted physiological features to the cloud server and obta"&amp;"in an encrypted diagnosis prediction back. We provide formal security proofs to demonstrate that our scheme protects the confidentiality of the decision tree classifier and the user's data. The performance analysis shows that our scheme achieves faster-th"&amp;"an-linear classification speed. Experimental evaluations show that our scheme requires several micro-seconds to process a diagnosis request in the tested datasets.  © 2004-2012 IEEE.")</f>
        <v>Decision tree classification has become a prevailing technique for online diagnosis services. By outsourcing computation intensive tasks to a cloud server, cloud-assisted online diagnosis services are better ways for cases that the storage and computation requirements exceed the capability of medical institutions. With privacy concerns as well as intellectual property protection issues, the valuable diagnosis classifier and the sensitive user data should be protected against the cloud server. In this paper, we identify a work-flow for cloud-assisted online diagnosis services. We propose an efficient and secure decision tree classification scheme in the proposed work-flow. Specifically, the medical institution transforms a locally pre-trained decision tree classifier to a decision table, and later uses searchable symmetric encryption to encrypt the decision table. Then, the encrypted table is outsourced to the cloud server, and a user can submit encrypted physiological features to the cloud server and obtain an encrypted diagnosis prediction back. We provide formal security proofs to demonstrate that our scheme protects the confidentiality of the decision tree classifier and the user's data. The performance analysis shows that our scheme achieves faster-than-linear classification speed. Experimental evaluations show that our scheme requires several micro-seconds to process a diagnosis request in the tested datasets.  © 2004-2012 IEEE.</v>
      </c>
      <c r="H337" s="8" t="str">
        <f>IFERROR(__xludf.DUMMYFUNCTION("""COMPUTED_VALUE"""),"Cloud-assisted online diagnosis services; searchable symmetric encryption; secure decision tree classification")</f>
        <v>Cloud-assisted online diagnosis services; searchable symmetric encryption; secure decision tree classification</v>
      </c>
      <c r="I337" s="10" t="b">
        <v>0</v>
      </c>
      <c r="J337" s="10" t="b">
        <v>0</v>
      </c>
      <c r="K337" s="10" t="b">
        <v>0</v>
      </c>
      <c r="L337" s="10" t="b">
        <v>0</v>
      </c>
      <c r="M337" s="10" t="b">
        <v>0</v>
      </c>
      <c r="N337" s="10" t="b">
        <v>0</v>
      </c>
      <c r="O337" s="11" t="b">
        <f t="shared" si="1"/>
        <v>0</v>
      </c>
      <c r="P337" s="16" t="b">
        <v>0</v>
      </c>
      <c r="Q337" s="7"/>
    </row>
    <row r="338">
      <c r="A338" s="5" t="b">
        <v>1</v>
      </c>
      <c r="B338" s="5" t="s">
        <v>376</v>
      </c>
      <c r="C338" s="6" t="str">
        <f>IFERROR(__xludf.DUMMYFUNCTION("""COMPUTED_VALUE"""),"10.1109/TDSC.2018.2816026")</f>
        <v>10.1109/TDSC.2018.2816026</v>
      </c>
      <c r="D338" s="7" t="str">
        <f>IFERROR(__xludf.DUMMYFUNCTION("""COMPUTED_VALUE"""),"Mohaisen A.; Gu Z.; Ren K.; Li Z.; Kamhoua C.A.; Njilla L.L.; Nyang D.")</f>
        <v>Mohaisen A.; Gu Z.; Ren K.; Li Z.; Kamhoua C.A.; Njilla L.L.; Nyang D.</v>
      </c>
      <c r="E338" s="7" t="str">
        <f>IFERROR(__xludf.DUMMYFUNCTION("""COMPUTED_VALUE"""),"Look-Aside at your own risk: Privacy implications of dnssec look-Aside validation")</f>
        <v>Look-Aside at your own risk: Privacy implications of dnssec look-Aside validation</v>
      </c>
      <c r="F338" s="7" t="str">
        <f>IFERROR(__xludf.DUMMYFUNCTION("""COMPUTED_VALUE"""),"TDSC")</f>
        <v>TDSC</v>
      </c>
      <c r="G338" s="7" t="str">
        <f>IFERROR(__xludf.DUMMYFUNCTION("""COMPUTED_VALUE"""),"The Domain Name System Security Extension (DNSSEC) leverages public-key cryptography to provide data integrity, source authentication, and denial of existence for DNS responses. To complement DNSSEC operations, DNSSEC Look-Aside Validation (DLV) is design"&amp;"ed for alternative off-path validation. Although DNS privacy attracts a lot of attention, the privacy implications of DLV are not fully investigated and understood. In this paper, we take a first in-depth look into DLV, highlighting its lax specifications"&amp;" and privacy implications. By performing extensive experiments over datasets of domain names under comprehensive experimental settings, our findings firmly confirm the privacy leakages caused by DLV. We discover that a large number of domains that should "&amp;"not be sent to DLV servers are being leaked. We explore the root causes, including the lax specifications of DLV. We also propose two approaches to fix the privacy leakages. Our approaches require trivial modifications to the existing DNS standards, and w"&amp;"e demonstrate their cost in terms of latency and communication.  © 2004-2012 IEEE.")</f>
        <v>The Domain Name System Security Extension (DNSSEC) leverages public-key cryptography to provide data integrity, source authentication, and denial of existence for DNS responses. To complement DNSSEC operations, DNSSEC Look-Aside Validation (DLV) is designed for alternative off-path validation. Although DNS privacy attracts a lot of attention, the privacy implications of DLV are not fully investigated and understood. In this paper, we take a first in-depth look into DLV, highlighting its lax specifications and privacy implications. By performing extensive experiments over datasets of domain names under comprehensive experimental settings, our findings firmly confirm the privacy leakages caused by DLV. We discover that a large number of domains that should not be sent to DLV servers are being leaked. We explore the root causes, including the lax specifications of DLV. We also propose two approaches to fix the privacy leakages. Our approaches require trivial modifications to the existing DNS standards, and we demonstrate their cost in terms of latency and communication.  © 2004-2012 IEEE.</v>
      </c>
      <c r="H338" s="8" t="str">
        <f>IFERROR(__xludf.DUMMYFUNCTION("""COMPUTED_VALUE"""),"defenses; Domain name system; privacy leakage")</f>
        <v>defenses; Domain name system; privacy leakage</v>
      </c>
      <c r="I338" s="10" t="b">
        <v>0</v>
      </c>
      <c r="J338" s="10" t="b">
        <v>0</v>
      </c>
      <c r="K338" s="10" t="b">
        <v>0</v>
      </c>
      <c r="L338" s="10" t="b">
        <v>0</v>
      </c>
      <c r="M338" s="10" t="b">
        <v>0</v>
      </c>
      <c r="N338" s="10" t="b">
        <v>0</v>
      </c>
      <c r="O338" s="11" t="b">
        <f t="shared" si="1"/>
        <v>0</v>
      </c>
      <c r="P338" s="16" t="b">
        <v>0</v>
      </c>
      <c r="Q338" s="7"/>
    </row>
    <row r="339">
      <c r="A339" s="5" t="b">
        <v>1</v>
      </c>
      <c r="B339" s="5" t="s">
        <v>377</v>
      </c>
      <c r="C339" s="6" t="str">
        <f>IFERROR(__xludf.DUMMYFUNCTION("""COMPUTED_VALUE"""),"10.1109/TDSC.2013.23")</f>
        <v>10.1109/TDSC.2013.23</v>
      </c>
      <c r="D339" s="7" t="str">
        <f>IFERROR(__xludf.DUMMYFUNCTION("""COMPUTED_VALUE"""),"Vadlamudi S.G.; Chakrabarti P.P.")</f>
        <v>Vadlamudi S.G.; Chakrabarti P.P.</v>
      </c>
      <c r="E339" s="7" t="str">
        <f>IFERROR(__xludf.DUMMYFUNCTION("""COMPUTED_VALUE"""),"Robustness analysis of embedded control systems with respect to signal perturbations: Finding minimal counterexamples using fault injection")</f>
        <v>Robustness analysis of embedded control systems with respect to signal perturbations: Finding minimal counterexamples using fault injection</v>
      </c>
      <c r="F339" s="7" t="str">
        <f>IFERROR(__xludf.DUMMYFUNCTION("""COMPUTED_VALUE"""),"TDSC")</f>
        <v>TDSC</v>
      </c>
      <c r="G339" s="7" t="str">
        <f>IFERROR(__xludf.DUMMYFUNCTION("""COMPUTED_VALUE"""),"Fault-tolerance of embedded control systems is of great importance, given their wide usage in various domains such as aeronautics, automotive, medical, and so on. Signal perturbations such as small amounts of noise, shift, and spikes, can sometimes severe"&amp;"ly hamper the performance of the system, apart from complete failure of components and links. Finding minimal counterexamples (perturbations on the system leading to violation of fault-tolerance requirements) can be of great assistance to control system d"&amp;"esigners in understanding and adjusting the fault-tolerance behavior of the system. Fault injection is an effective method for dependability analysis of such systems. In this paper, we introduce the concept of dominating sets of perturbations, and define "&amp;"a minimal set of counterexamples called the basis. We propose effective methods using a simulation-based fault injection technique on Simulink models for finding the basis set at an early stage of design, given the fault specification and fault-tolerance "&amp;"requirements. Experimental results on two different control system examples from the Simulink automotive library demonstrate the efficacy of the proposed framework. © 2013 IEEE.")</f>
        <v>Fault-tolerance of embedded control systems is of great importance, given their wide usage in various domains such as aeronautics, automotive, medical, and so on. Signal perturbations such as small amounts of noise, shift, and spikes, can sometimes severely hamper the performance of the system, apart from complete failure of components and links. Finding minimal counterexamples (perturbations on the system leading to violation of fault-tolerance requirements) can be of great assistance to control system designers in understanding and adjusting the fault-tolerance behavior of the system. Fault injection is an effective method for dependability analysis of such systems. In this paper, we introduce the concept of dominating sets of perturbations, and define a minimal set of counterexamples called the basis. We propose effective methods using a simulation-based fault injection technique on Simulink models for finding the basis set at an early stage of design, given the fault specification and fault-tolerance requirements. Experimental results on two different control system examples from the Simulink automotive library demonstrate the efficacy of the proposed framework. © 2013 IEEE.</v>
      </c>
      <c r="H339" s="8" t="str">
        <f>IFERROR(__xludf.DUMMYFUNCTION("""COMPUTED_VALUE"""),"embedded control systems; fault injection; minimal counterexamples; monotonicity; quality-faults; Robustness analysis; signal perturbations")</f>
        <v>embedded control systems; fault injection; minimal counterexamples; monotonicity; quality-faults; Robustness analysis; signal perturbations</v>
      </c>
      <c r="I339" s="10" t="b">
        <v>0</v>
      </c>
      <c r="J339" s="10" t="b">
        <v>0</v>
      </c>
      <c r="K339" s="10" t="b">
        <v>0</v>
      </c>
      <c r="L339" s="10" t="b">
        <v>0</v>
      </c>
      <c r="M339" s="10" t="b">
        <v>0</v>
      </c>
      <c r="N339" s="10" t="b">
        <v>0</v>
      </c>
      <c r="O339" s="11" t="b">
        <f t="shared" si="1"/>
        <v>0</v>
      </c>
      <c r="P339" s="16" t="b">
        <v>0</v>
      </c>
      <c r="Q339" s="7"/>
    </row>
    <row r="340">
      <c r="A340" s="5" t="b">
        <v>1</v>
      </c>
      <c r="B340" s="5" t="s">
        <v>378</v>
      </c>
      <c r="C340" s="6" t="str">
        <f>IFERROR(__xludf.DUMMYFUNCTION("""COMPUTED_VALUE"""),"10.1109/TDSC.2019.2922403")</f>
        <v>10.1109/TDSC.2019.2922403</v>
      </c>
      <c r="D340" s="7" t="str">
        <f>IFERROR(__xludf.DUMMYFUNCTION("""COMPUTED_VALUE"""),"Zhao Y.; Chow S.S.M.")</f>
        <v>Zhao Y.; Chow S.S.M.</v>
      </c>
      <c r="E340" s="7" t="str">
        <f>IFERROR(__xludf.DUMMYFUNCTION("""COMPUTED_VALUE"""),"Updatable Block-Level Message-Locked Encryption")</f>
        <v>Updatable Block-Level Message-Locked Encryption</v>
      </c>
      <c r="F340" s="7" t="str">
        <f>IFERROR(__xludf.DUMMYFUNCTION("""COMPUTED_VALUE"""),"TDSC")</f>
        <v>TDSC</v>
      </c>
      <c r="G340" s="7" t="str">
        <f>IFERROR(__xludf.DUMMYFUNCTION("""COMPUTED_VALUE"""),"Deduplication is widely used for reducing the storage requirement for storage service providers. Nevertheless, it is unclear how to support deduplication of encrypted data securely until the study of Bellare et al. on message-locked encryption (MLE, Euroc"&amp;"rypt 2013). While updating (shared) files is natural, existing MLE solutions do not allow efficient update of encrypted files stored remotely. Even modifying a single bit requires the expensive way of downloading and decrypting a large ciphertext (then re"&amp;"-uploading). This paper initiates the study of updatable block-level MLE, a new primitive in incremental cryptography and cloud cryptography. Our proposed provably-secure construction is updatable with computation cost logarithmic in the file size. It nat"&amp;"urally supports block-level deduplication. It also supports proof-of-ownership which protects storage providers from being abused as a free content distribution network. Our experiments show its practical performance relative to the original MLE and exist"&amp;"ing non-updatable block-level MLE.  © 2004-2012 IEEE.")</f>
        <v>Deduplication is widely used for reducing the storage requirement for storage service providers. Nevertheless, it is unclear how to support deduplication of encrypted data securely until the study of Bellare et al. on message-locked encryption (MLE, Eurocrypt 2013). While updating (shared) files is natural, existing MLE solutions do not allow efficient update of encrypted files stored remotely. Even modifying a single bit requires the expensive way of downloading and decrypting a large ciphertext (then re-uploading). This paper initiates the study of updatable block-level MLE, a new primitive in incremental cryptography and cloud cryptography. Our proposed provably-secure construction is updatable with computation cost logarithmic in the file size. It naturally supports block-level deduplication. It also supports proof-of-ownership which protects storage providers from being abused as a free content distribution network. Our experiments show its practical performance relative to the original MLE and existing non-updatable block-level MLE.  © 2004-2012 IEEE.</v>
      </c>
      <c r="H340" s="8" t="str">
        <f>IFERROR(__xludf.DUMMYFUNCTION("""COMPUTED_VALUE"""),"deduplication; hash function; incremental cloud cryptography; Message-locked encryption; proofs-of-ownership")</f>
        <v>deduplication; hash function; incremental cloud cryptography; Message-locked encryption; proofs-of-ownership</v>
      </c>
      <c r="I340" s="10" t="b">
        <v>0</v>
      </c>
      <c r="J340" s="10" t="b">
        <v>0</v>
      </c>
      <c r="K340" s="10" t="b">
        <v>0</v>
      </c>
      <c r="L340" s="10" t="b">
        <v>0</v>
      </c>
      <c r="M340" s="10" t="b">
        <v>0</v>
      </c>
      <c r="N340" s="10" t="b">
        <v>0</v>
      </c>
      <c r="O340" s="11" t="b">
        <f t="shared" si="1"/>
        <v>0</v>
      </c>
      <c r="P340" s="16" t="b">
        <v>0</v>
      </c>
      <c r="Q340" s="7"/>
    </row>
    <row r="341">
      <c r="A341" s="5" t="b">
        <v>1</v>
      </c>
      <c r="B341" s="5" t="s">
        <v>379</v>
      </c>
      <c r="C341" s="6" t="str">
        <f>IFERROR(__xludf.DUMMYFUNCTION("""COMPUTED_VALUE"""),"10.1109/TDSC.2021.3092375")</f>
        <v>10.1109/TDSC.2021.3092375</v>
      </c>
      <c r="D341" s="7" t="str">
        <f>IFERROR(__xludf.DUMMYFUNCTION("""COMPUTED_VALUE"""),"Chen J.; Zhan Z.; He K.; Du R.; Wang D.; Liu F.")</f>
        <v>Chen J.; Zhan Z.; He K.; Du R.; Wang D.; Liu F.</v>
      </c>
      <c r="E341" s="7" t="str">
        <f>IFERROR(__xludf.DUMMYFUNCTION("""COMPUTED_VALUE"""),"XAuth: Efficient Privacy-preserving Cross-domain Authentication")</f>
        <v>XAuth: Efficient Privacy-preserving Cross-domain Authentication</v>
      </c>
      <c r="F341" s="7" t="str">
        <f>IFERROR(__xludf.DUMMYFUNCTION("""COMPUTED_VALUE"""),"TDSC")</f>
        <v>TDSC</v>
      </c>
      <c r="G341" s="7" t="str">
        <f>IFERROR(__xludf.DUMMYFUNCTION("""COMPUTED_VALUE"""),"It is well known that each Public Key Infrastructure (PKI) system forms a closed security domain and only recognizes certificates in its own domain (such as medical systems, financial systems, and 5G networks). When users need to access services in other "&amp;"domains, their identities often cannot be recognized or PKI systems require extremely complex operations to authenticate the users identities. This is the cross-domain authentication problem. The distributed consensus feature of blockchain provides a tech"&amp;"nical approach to solve this problem. However, there are some unresolved problems in existing blockchain-based schemes. On one hand, due to the low throughput of blockchain systems, the response speed may be insufferable when the number of crossdomain aut"&amp;"hentication requirements becomes enormous. On the other hand, these schemes insufficiently consider the privacy risk in the cross-domain scenario. In this paper, we propose an efficient privacy-preserving cross-domain authentication scheme called XAuth th"&amp;"at is integrated naturally with the existing PKI and Certificate Transparency (CT) systems. Specifically, we design a lightweight correctness verification protocol based on Multiple Merkle Hash Tree for rapid response. To protect users privacy, we present"&amp;" an anonymous authentication protocol for cross-domain authentication. The security analysis and experimental results demonstrate that XAuth is secure and efficient. IEEE")</f>
        <v>It is well known that each Public Key Infrastructure (PKI) system forms a closed security domain and only recognizes certificates in its own domain (such as medical systems, financial systems, and 5G networks). When users need to access services in other domains, their identities often cannot be recognized or PKI systems require extremely complex operations to authenticate the users identities. This is the cross-domain authentication problem. The distributed consensus feature of blockchain provides a technical approach to solve this problem. However, there are some unresolved problems in existing blockchain-based schemes. On one hand, due to the low throughput of blockchain systems, the response speed may be insufferable when the number of crossdomain authentication requirements becomes enormous. On the other hand, these schemes insufficiently consider the privacy risk in the cross-domain scenario. In this paper, we propose an efficient privacy-preserving cross-domain authentication scheme called XAuth that is integrated naturally with the existing PKI and Certificate Transparency (CT) systems. Specifically, we design a lightweight correctness verification protocol based on Multiple Merkle Hash Tree for rapid response. To protect users privacy, we present an anonymous authentication protocol for cross-domain authentication. The security analysis and experimental results demonstrate that XAuth is secure and efficient. IEEE</v>
      </c>
      <c r="H341" s="8" t="str">
        <f>IFERROR(__xludf.DUMMYFUNCTION("""COMPUTED_VALUE"""),"Authentication; Blockchain; Blockchain; Computer architecture; Cross-domain authentication; Privacy; Privacy-preserving; Protocols; Public key; Public Key Infrastructure; Security")</f>
        <v>Authentication; Blockchain; Blockchain; Computer architecture; Cross-domain authentication; Privacy; Privacy-preserving; Protocols; Public key; Public Key Infrastructure; Security</v>
      </c>
      <c r="I341" s="10" t="b">
        <v>0</v>
      </c>
      <c r="J341" s="10" t="b">
        <v>0</v>
      </c>
      <c r="K341" s="10" t="b">
        <v>0</v>
      </c>
      <c r="L341" s="10" t="b">
        <v>0</v>
      </c>
      <c r="M341" s="10" t="b">
        <v>0</v>
      </c>
      <c r="N341" s="10" t="b">
        <v>0</v>
      </c>
      <c r="O341" s="11" t="b">
        <f t="shared" si="1"/>
        <v>0</v>
      </c>
      <c r="P341" s="16" t="b">
        <v>0</v>
      </c>
      <c r="Q341" s="7"/>
    </row>
    <row r="342">
      <c r="A342" s="5" t="b">
        <v>1</v>
      </c>
      <c r="B342" s="5" t="s">
        <v>380</v>
      </c>
      <c r="C342" s="6" t="str">
        <f>IFERROR(__xludf.DUMMYFUNCTION("""COMPUTED_VALUE"""),"10.1109/TDSC.2013.19")</f>
        <v>10.1109/TDSC.2013.19</v>
      </c>
      <c r="D342" s="7" t="str">
        <f>IFERROR(__xludf.DUMMYFUNCTION("""COMPUTED_VALUE"""),"Mohaien A.; Kune D.F.; Vasserman E.Y.; Kim M.; Kim Y.")</f>
        <v>Mohaien A.; Kune D.F.; Vasserman E.Y.; Kim M.; Kim Y.</v>
      </c>
      <c r="E342" s="7" t="str">
        <f>IFERROR(__xludf.DUMMYFUNCTION("""COMPUTED_VALUE"""),"Secure encounter-based mobile social networks: Requirements, designs, and tradeoffs")</f>
        <v>Secure encounter-based mobile social networks: Requirements, designs, and tradeoffs</v>
      </c>
      <c r="F342" s="7" t="str">
        <f>IFERROR(__xludf.DUMMYFUNCTION("""COMPUTED_VALUE"""),"TDSC")</f>
        <v>TDSC</v>
      </c>
      <c r="G342" s="7" t="str">
        <f>IFERROR(__xludf.DUMMYFUNCTION("""COMPUTED_VALUE"""),"Encounter-based social networks and encounter-based systems link users who share a location at the same time, as opposed to the traditional social network paradigm of linking users who have an offline friendship. This new approach presents challenges that"&amp;" are fundamentally different from those tackled by previous social network designs. In this paper, we explore the functional and security requirements for these new systems, such as availability, security, and privacy, and present several design options f"&amp;"or building secure encounter-based social networks. To highlight these challenges, we examine one recently proposed encounter-based social network design and compare it to a set of idealized security and functionality requirements. We show that it is vuln"&amp;"erable to several attacks, including impersonation, collusion, and privacy breaching, even though it was designed specifically for security. Mindful of the possible pitfalls, we construct a flexible framework for secure encounter-based social networks, wh"&amp;"ich can be used to construct networks that offer different security, privacy, and availability guarantees. We describe two example constructions derived from this framework, and consider each in terms of the ideal requirements. Some of our new designs ful"&amp;"fill more requirements in terms of system security, reliability, and privacy than previous work. We also evaluate real-world performance of one of our designs by implementing a proof-of-concept iPhone application called MeetUp. Experiments highlight the p"&amp;"otential of our system and hint at the deployability of our designs on a large scale. © 2013 IEEE.")</f>
        <v>Encounter-based social networks and encounter-based systems link users who share a location at the same time, as opposed to the traditional social network paradigm of linking users who have an offline friendship. This new approach presents challenges that are fundamentally different from those tackled by previous social network designs. In this paper, we explore the functional and security requirements for these new systems, such as availability, security, and privacy, and present several design options for building secure encounter-based social networks. To highlight these challenges, we examine one recently proposed encounter-based social network design and compare it to a set of idealized security and functionality requirements. We show that it is vulnerable to several attacks, including impersonation, collusion, and privacy breaching, even though it was designed specifically for security. Mindful of the possible pitfalls, we construct a flexible framework for secure encounter-based social networks, which can be used to construct networks that offer different security, privacy, and availability guarantees. We describe two example constructions derived from this framework, and consider each in terms of the ideal requirements. Some of our new designs fulfill more requirements in terms of system security, reliability, and privacy than previous work. We also evaluate real-world performance of one of our designs by implementing a proof-of-concept iPhone application called MeetUp. Experiments highlight the potential of our system and hint at the deployability of our designs on a large scale. © 2013 IEEE.</v>
      </c>
      <c r="H342" s="8" t="str">
        <f>IFERROR(__xludf.DUMMYFUNCTION("""COMPUTED_VALUE"""),"Location-based services; Privacy; Social networks")</f>
        <v>Location-based services; Privacy; Social networks</v>
      </c>
      <c r="I342" s="10" t="b">
        <v>0</v>
      </c>
      <c r="J342" s="10" t="b">
        <v>0</v>
      </c>
      <c r="K342" s="10" t="b">
        <v>0</v>
      </c>
      <c r="L342" s="10" t="b">
        <v>0</v>
      </c>
      <c r="M342" s="10" t="b">
        <v>0</v>
      </c>
      <c r="N342" s="10" t="b">
        <v>0</v>
      </c>
      <c r="O342" s="11" t="b">
        <f t="shared" si="1"/>
        <v>0</v>
      </c>
      <c r="P342" s="16" t="b">
        <v>0</v>
      </c>
      <c r="Q342" s="7"/>
    </row>
    <row r="343">
      <c r="A343" s="5" t="b">
        <v>1</v>
      </c>
      <c r="B343" s="5" t="s">
        <v>381</v>
      </c>
      <c r="C343" s="6" t="str">
        <f>IFERROR(__xludf.DUMMYFUNCTION("""COMPUTED_VALUE"""),"10.1109/TDSC.2022.3200840")</f>
        <v>10.1109/TDSC.2022.3200840</v>
      </c>
      <c r="D343" s="7" t="str">
        <f>IFERROR(__xludf.DUMMYFUNCTION("""COMPUTED_VALUE"""),"Nelaturu K.; Mavridou A.; Stachtiari E.; Veneris A.; Laszka A.")</f>
        <v>Nelaturu K.; Mavridou A.; Stachtiari E.; Veneris A.; Laszka A.</v>
      </c>
      <c r="E343" s="7" t="str">
        <f>IFERROR(__xludf.DUMMYFUNCTION("""COMPUTED_VALUE"""),"Correct-by-Design Interacting Smart Contracts and a Systematic Approach for Verifying ERC20 and ERC721 Contracts with VeriSolid")</f>
        <v>Correct-by-Design Interacting Smart Contracts and a Systematic Approach for Verifying ERC20 and ERC721 Contracts with VeriSolid</v>
      </c>
      <c r="F343" s="7" t="str">
        <f>IFERROR(__xludf.DUMMYFUNCTION("""COMPUTED_VALUE"""),"TDSC")</f>
        <v>TDSC</v>
      </c>
      <c r="G343" s="7" t="str">
        <f>IFERROR(__xludf.DUMMYFUNCTION("""COMPUTED_VALUE"""),"Blockchain-based smart contracts enable the creation of decentralized applications, which often handle assets of considerable value. While the underlying platforms guarantee the correctness of smart-contract execution, they cannot ensure that the code of "&amp;"a contract is correct. Today, as evidenced by a number of recent security breaches, developers still have a hard time making contracts that work properly.Even though these incidents often exploit contract interaction, prior work on smart-contract verifica"&amp;"tion, vulnerability discovery, and secure development typically considers only individual contracts in isolation. To address this gap, we introduce the VeriSolid framework for the formal verification of contracts that are specified using a abstract state "&amp;"machine based model with rigorous operational semantics. Our model-based approach allows developers to reason about and verify the behavior of a set of interacting contracts at a high level of abstraction. VeriSolid allows the generation of Solidity code "&amp;"that is functionally and behaviorally equivalent to verified models, which enables the creation of correct-by-design smart contracts. We additionally introduce a graphical notation (called deployment diagrams) for specifying possible interactions between "&amp;"contract types. Based on this notation, we present a framework for the automated verification, generation, and deployment of contracts that conform to a deployment diagram. To demonstrate the applicability of VeriSolid, we translate existing Ethereum Impr"&amp;"ovement Proposal (EIP) specifications to temporal properties for two of the most popular contract interfaces: ERC20 and ERC721. We also show you how to write code for the ERC20 and ERC721 interfaces in a way that is safe, and we do this by using VeriSolid"&amp;". We evaluate our framework on 726 contracts that are currently deployed on the Ethereum blockchain, which include 267 ERC20 and 459 ERC721 contracts. Our experiments indicate that 18% of ERC20 contracts and 4% of ERC721 contracts fail to satisfy the EIP "&amp;"specifications.  © 2004-2012 IEEE.")</f>
        <v>Blockchain-based smart contracts enable the creation of decentralized applications, which often handle assets of considerable value. While the underlying platforms guarantee the correctness of smart-contract execution, they cannot ensure that the code of a contract is correct. Today, as evidenced by a number of recent security breaches, developers still have a hard time making contracts that work properly.Even though these incidents often exploit contract interaction, prior work on smart-contract verification, vulnerability discovery, and secure development typically considers only individual contracts in isolation. To address this gap, we introduce the VeriSolid framework for the formal verification of contracts that are specified using a abstract state machine based model with rigorous operational semantics. Our model-based approach allows developers to reason about and verify the behavior of a set of interacting contracts at a high level of abstraction. VeriSolid allows the generation of Solidity code that is functionally and behaviorally equivalent to verified models, which enables the creation of correct-by-design smart contracts. We additionally introduce a graphical notation (called deployment diagrams) for specifying possible interactions between contract types. Based on this notation, we present a framework for the automated verification, generation, and deployment of contracts that conform to a deployment diagram. To demonstrate the applicability of VeriSolid, we translate existing Ethereum Improvement Proposal (EIP) specifications to temporal properties for two of the most popular contract interfaces: ERC20 and ERC721. We also show you how to write code for the ERC20 and ERC721 interfaces in a way that is safe, and we do this by using VeriSolid. We evaluate our framework on 726 contracts that are currently deployed on the Ethereum blockchain, which include 267 ERC20 and 459 ERC721 contracts. Our experiments indicate that 18% of ERC20 contracts and 4% of ERC721 contracts fail to satisfy the EIP specifications.  © 2004-2012 IEEE.</v>
      </c>
      <c r="H343" s="8" t="str">
        <f>IFERROR(__xludf.DUMMYFUNCTION("""COMPUTED_VALUE"""),"EIP; ERC20; ERC721; ethereum; Smart contracts; solidity; verification")</f>
        <v>EIP; ERC20; ERC721; ethereum; Smart contracts; solidity; verification</v>
      </c>
      <c r="I343" s="10" t="b">
        <v>0</v>
      </c>
      <c r="J343" s="10" t="b">
        <v>0</v>
      </c>
      <c r="K343" s="10" t="b">
        <v>0</v>
      </c>
      <c r="L343" s="10" t="b">
        <v>0</v>
      </c>
      <c r="M343" s="10" t="b">
        <v>0</v>
      </c>
      <c r="N343" s="10" t="b">
        <v>0</v>
      </c>
      <c r="O343" s="11" t="b">
        <f t="shared" si="1"/>
        <v>0</v>
      </c>
      <c r="P343" s="16" t="b">
        <v>0</v>
      </c>
      <c r="Q343" s="7"/>
    </row>
    <row r="344">
      <c r="A344" s="5" t="b">
        <v>1</v>
      </c>
      <c r="B344" s="5" t="s">
        <v>382</v>
      </c>
      <c r="C344" s="6" t="str">
        <f>IFERROR(__xludf.DUMMYFUNCTION("""COMPUTED_VALUE"""),"10.1109/TDSC.2021.3051525")</f>
        <v>10.1109/TDSC.2021.3051525</v>
      </c>
      <c r="D344" s="7" t="str">
        <f>IFERROR(__xludf.DUMMYFUNCTION("""COMPUTED_VALUE"""),"Li Z.; Zou D.; Xu S.; Jin H.; Zhu Y.; Chen Z.")</f>
        <v>Li Z.; Zou D.; Xu S.; Jin H.; Zhu Y.; Chen Z.</v>
      </c>
      <c r="E344" s="7" t="str">
        <f>IFERROR(__xludf.DUMMYFUNCTION("""COMPUTED_VALUE"""),"SySeVR: A Framework for Using Deep Learning to Detect Software Vulnerabilities")</f>
        <v>SySeVR: A Framework for Using Deep Learning to Detect Software Vulnerabilities</v>
      </c>
      <c r="F344" s="7" t="str">
        <f>IFERROR(__xludf.DUMMYFUNCTION("""COMPUTED_VALUE"""),"TDSC")</f>
        <v>TDSC</v>
      </c>
      <c r="G344" s="7" t="str">
        <f>IFERROR(__xludf.DUMMYFUNCTION("""COMPUTED_VALUE"""),"The detection of software vulnerabilities (or vulnerabilities for short) is an important problem that has yet to be tackled, as manifested by the many vulnerabilities reported on a daily basis. This calls for machine learning methods for vulnerability det"&amp;"ection. Deep learning is attractive for this purpose because it alleviates the requirement to manually define features. Despite the tremendous success of deep learning in other application domains, its applicability to vulnerability detection is not syste"&amp;"matically understood. In order to fill this void, we propose the first systematic framework for using deep learning to detect vulnerabilities in C/C++ programs with source code. The framework, dubbed Syntax-based, Semantics-based, and Vector Representatio"&amp;"ns (SySeVR), focuses on obtaining program representations that can accommodate syntax and semantic information pertinent to vulnerabilities. Our experiments with four software products demonstrate the usefulness of the framework: we detect 15 vulnerabilit"&amp;"ies that are not reported in the National Vulnerability Database. Among these 15 vulnerabilities, seven are unknown and have been reported to the vendors, and the other eight have been 'silently' patched by the vendors when releasing newer versions of the"&amp;" pertinent software products.  © 2004-2012 IEEE.")</f>
        <v>The detection of software vulnerabilities (or vulnerabilities for short) is an important problem that has yet to be tackled, as manifested by the many vulnerabilities reported on a daily basis. This calls for machine learning methods for vulnerability detection. Deep learning is attractive for this purpose because it alleviates the requirement to manually define features. Despite the tremendous success of deep learning in other application domains, its applicability to vulnerability detection is not systematically understood. In order to fill this void, we propose the first systematic framework for using deep learning to detect vulnerabilities in C/C++ programs with source code. The framework, dubbed Syntax-based, Semantics-based, and Vector Representations (SySeVR), focuses on obtaining program representations that can accommodate syntax and semantic information pertinent to vulnerabilities. Our experiments with four software products demonstrate the usefulness of the framework: we detect 15 vulnerabilities that are not reported in the National Vulnerability Database. Among these 15 vulnerabilities, seven are unknown and have been reported to the vendors, and the other eight have been 'silently' patched by the vendors when releasing newer versions of the pertinent software products.  © 2004-2012 IEEE.</v>
      </c>
      <c r="H344" s="8" t="str">
        <f>IFERROR(__xludf.DUMMYFUNCTION("""COMPUTED_VALUE"""),"deep learning; program analysis; program representation; security; Vulnerability detection")</f>
        <v>deep learning; program analysis; program representation; security; Vulnerability detection</v>
      </c>
      <c r="I344" s="10" t="b">
        <v>0</v>
      </c>
      <c r="J344" s="10" t="b">
        <v>0</v>
      </c>
      <c r="K344" s="10" t="b">
        <v>0</v>
      </c>
      <c r="L344" s="10" t="b">
        <v>0</v>
      </c>
      <c r="M344" s="10" t="b">
        <v>0</v>
      </c>
      <c r="N344" s="10" t="b">
        <v>0</v>
      </c>
      <c r="O344" s="11" t="b">
        <f t="shared" si="1"/>
        <v>0</v>
      </c>
      <c r="P344" s="16" t="b">
        <v>0</v>
      </c>
      <c r="Q344" s="7"/>
    </row>
    <row r="345">
      <c r="A345" s="5" t="b">
        <v>1</v>
      </c>
      <c r="B345" s="5" t="s">
        <v>383</v>
      </c>
      <c r="C345" s="6" t="str">
        <f>IFERROR(__xludf.DUMMYFUNCTION("""COMPUTED_VALUE"""),"10.1109/TDSC.2018.2885271")</f>
        <v>10.1109/TDSC.2018.2885271</v>
      </c>
      <c r="D345" s="7" t="str">
        <f>IFERROR(__xludf.DUMMYFUNCTION("""COMPUTED_VALUE"""),"Bowers A.; Liao C.; Steiert D.; Lin D.; Squicciarini A.; Hurson A.")</f>
        <v>Bowers A.; Liao C.; Steiert D.; Lin D.; Squicciarini A.; Hurson A.</v>
      </c>
      <c r="E345" s="7" t="str">
        <f>IFERROR(__xludf.DUMMYFUNCTION("""COMPUTED_VALUE"""),"Detecting Suspicious File Migration or Replication in the Cloud")</f>
        <v>Detecting Suspicious File Migration or Replication in the Cloud</v>
      </c>
      <c r="F345" s="7" t="str">
        <f>IFERROR(__xludf.DUMMYFUNCTION("""COMPUTED_VALUE"""),"TDSC")</f>
        <v>TDSC</v>
      </c>
      <c r="G345" s="7" t="str">
        <f>IFERROR(__xludf.DUMMYFUNCTION("""COMPUTED_VALUE"""),"There has been a prolific rise in the popularity of cloud storage in recent years. While cloud storage offers many advantages such as flexibility and convenience, users are typically unable to tell or control the actual locations of their data. This limit"&amp;"ation may affect users' confidence and trust in the storage provider, or even render cloud unsuitable for storing data with strict location requirements. To address this issue, we propose a system called LAST-HDFS which integrates Location-Aware Storage T"&amp;"echnique (LAST) into the open source Hadoop Distributed File System (HDFS). The LAST-HDFS system enforces location-aware file allocations and continuously monitors file transfers to detect potentially illegal transfers in the cloud. Illegal transfers here"&amp;" refer to attempts to move sensitive data outside the ('legal') boundaries specified by the file owner and its policies. Our underlying algorithms model file transfers among nodes as a weighted graph, and maximize the probability of storing data items of "&amp;"similar privacy preferences in the same region. We equip each cloud node with a socket monitor that is capable of monitoring the real-time communication among cloud nodes. Based on the real-time data transfer information captured by the socket monitors, o"&amp;"ur system calculates the probability of a given transfer to be illegal. We have implemented our proposed framework and carried out an extensive experimental evaluation in a large-scale real cloud environment to demonstrate the effectiveness and efficiency"&amp;" of our proposed system. © 2020 IEEE.")</f>
        <v>There has been a prolific rise in the popularity of cloud storage in recent years. While cloud storage offers many advantages such as flexibility and convenience, users are typically unable to tell or control the actual locations of their data. This limitation may affect users' confidence and trust in the storage provider, or even render cloud unsuitable for storing data with strict location requirements. To address this issue, we propose a system called LAST-HDFS which integrates Location-Aware Storage Technique (LAST) into the open source Hadoop Distributed File System (HDFS). The LAST-HDFS system enforces location-aware file allocations and continuously monitors file transfers to detect potentially illegal transfers in the cloud. Illegal transfers here refer to attempts to move sensitive data outside the ('legal') boundaries specified by the file owner and its policies. Our underlying algorithms model file transfers among nodes as a weighted graph, and maximize the probability of storing data items of similar privacy preferences in the same region. We equip each cloud node with a socket monitor that is capable of monitoring the real-time communication among cloud nodes. Based on the real-time data transfer information captured by the socket monitors, our system calculates the probability of a given transfer to be illegal. We have implemented our proposed framework and carried out an extensive experimental evaluation in a large-scale real cloud environment to demonstrate the effectiveness and efficiency of our proposed system. © 2020 IEEE.</v>
      </c>
      <c r="H345" s="8" t="str">
        <f>IFERROR(__xludf.DUMMYFUNCTION("""COMPUTED_VALUE"""),"Cloud storage; file transfer; location privacy")</f>
        <v>Cloud storage; file transfer; location privacy</v>
      </c>
      <c r="I345" s="10" t="b">
        <v>0</v>
      </c>
      <c r="J345" s="10" t="b">
        <v>0</v>
      </c>
      <c r="K345" s="10" t="b">
        <v>0</v>
      </c>
      <c r="L345" s="10" t="b">
        <v>0</v>
      </c>
      <c r="M345" s="10" t="b">
        <v>0</v>
      </c>
      <c r="N345" s="10" t="b">
        <v>0</v>
      </c>
      <c r="O345" s="11" t="b">
        <f t="shared" si="1"/>
        <v>0</v>
      </c>
      <c r="P345" s="16" t="b">
        <v>0</v>
      </c>
      <c r="Q345" s="7"/>
    </row>
    <row r="346">
      <c r="A346" s="5" t="b">
        <v>1</v>
      </c>
      <c r="B346" s="5" t="s">
        <v>384</v>
      </c>
      <c r="C346" s="6" t="str">
        <f>IFERROR(__xludf.DUMMYFUNCTION("""COMPUTED_VALUE"""),"10.1109/TDSC.2010.38")</f>
        <v>10.1109/TDSC.2010.38</v>
      </c>
      <c r="D346" s="7" t="str">
        <f>IFERROR(__xludf.DUMMYFUNCTION("""COMPUTED_VALUE"""),"Baliga A.; Ganapathy V.; Iftode L.")</f>
        <v>Baliga A.; Ganapathy V.; Iftode L.</v>
      </c>
      <c r="E346" s="7" t="str">
        <f>IFERROR(__xludf.DUMMYFUNCTION("""COMPUTED_VALUE"""),"Detecting kernel-level rootkits using data structure invariants")</f>
        <v>Detecting kernel-level rootkits using data structure invariants</v>
      </c>
      <c r="F346" s="7" t="str">
        <f>IFERROR(__xludf.DUMMYFUNCTION("""COMPUTED_VALUE"""),"TDSC")</f>
        <v>TDSC</v>
      </c>
      <c r="G346" s="7" t="str">
        <f>IFERROR(__xludf.DUMMYFUNCTION("""COMPUTED_VALUE"""),"Rootkits affect system security by modifying kernel data structures to achieve a variety of malicious goals. While early rootkits modified control data structures, such as the system call table and values of function pointers, recent work has demonstrated"&amp;" rootkits that maliciously modify noncontrol data. Most prior techniques for rootkit detection have focused solely on detecting control data modifications and, therefore, fail to detect such rootkits. This paper presents a novel technique to detect rootki"&amp;"ts that modify both control and noncontrol data. The main idea is to externally observe the execution of the kernel during an inference phase and hypothesize invariants on kernel data structures. A rootkit detection phase uses these invariants as specific"&amp;"ations of data structure integrity. During this phase, violation of invariants indicates an infection. We have implemented Gibraltar, a prototype tool that infers kernel data structure invariants and uses them to detect rootkits. Experiments show that Gib"&amp;"raltar can effectively detect previously known rootkits, including those that modify noncontrol data structures. © 2011 IEEE.")</f>
        <v>Rootkits affect system security by modifying kernel data structures to achieve a variety of malicious goals. While early rootkits modified control data structures, such as the system call table and values of function pointers, recent work has demonstrated rootkits that maliciously modify noncontrol data. Most prior techniques for rootkit detection have focused solely on detecting control data modifications and, therefore, fail to detect such rootkits. This paper presents a novel technique to detect rootkits that modify both control and noncontrol data. The main idea is to externally observe the execution of the kernel during an inference phase and hypothesize invariants on kernel data structures. A rootkit detection phase uses these invariants as specifications of data structure integrity. During this phase, violation of invariants indicates an infection. We have implemented Gibraltar, a prototype tool that infers kernel data structure invariants and uses them to detect rootkits. Experiments show that Gibraltar can effectively detect previously known rootkits, including those that modify noncontrol data structures. © 2011 IEEE.</v>
      </c>
      <c r="H346" s="8" t="str">
        <f>IFERROR(__xludf.DUMMYFUNCTION("""COMPUTED_VALUE"""),"invariant inference; Kernel-level rootkits; noncontrol data attacks; static and dynamic program analysis")</f>
        <v>invariant inference; Kernel-level rootkits; noncontrol data attacks; static and dynamic program analysis</v>
      </c>
      <c r="I346" s="10" t="b">
        <v>0</v>
      </c>
      <c r="J346" s="10" t="b">
        <v>0</v>
      </c>
      <c r="K346" s="10" t="b">
        <v>0</v>
      </c>
      <c r="L346" s="10" t="b">
        <v>0</v>
      </c>
      <c r="M346" s="10" t="b">
        <v>0</v>
      </c>
      <c r="N346" s="10" t="b">
        <v>0</v>
      </c>
      <c r="O346" s="11" t="b">
        <f t="shared" si="1"/>
        <v>0</v>
      </c>
      <c r="P346" s="16" t="b">
        <v>0</v>
      </c>
      <c r="Q346" s="7"/>
    </row>
    <row r="347">
      <c r="A347" s="5" t="b">
        <v>1</v>
      </c>
      <c r="B347" s="5" t="s">
        <v>385</v>
      </c>
      <c r="C347" s="6" t="str">
        <f>IFERROR(__xludf.DUMMYFUNCTION("""COMPUTED_VALUE"""),"10.1109/TDSC.2013.11")</f>
        <v>10.1109/TDSC.2013.11</v>
      </c>
      <c r="D347" s="7" t="str">
        <f>IFERROR(__xludf.DUMMYFUNCTION("""COMPUTED_VALUE"""),"Carminati B.; Ferrari E.; Guglielmi M.")</f>
        <v>Carminati B.; Ferrari E.; Guglielmi M.</v>
      </c>
      <c r="E347" s="7" t="str">
        <f>IFERROR(__xludf.DUMMYFUNCTION("""COMPUTED_VALUE"""),"A system for timely and controlled information sharing in emergency situations")</f>
        <v>A system for timely and controlled information sharing in emergency situations</v>
      </c>
      <c r="F347" s="7" t="str">
        <f>IFERROR(__xludf.DUMMYFUNCTION("""COMPUTED_VALUE"""),"TDSC")</f>
        <v>TDSC</v>
      </c>
      <c r="G347" s="7" t="str">
        <f>IFERROR(__xludf.DUMMYFUNCTION("""COMPUTED_VALUE"""),"During natural disasters or emergency situations, an essential requirement for an effective emergency management is the information sharing. In this paper, we present an access control model to enforce controlled information sharing in emergency situation"&amp;"s. An in-depth analysis of the model is discussed throughout the paper, and administration policies are introduced to enhance the model flexibility during emergencies. Moreover, a prototype implementation and experiments results are provided showing the e"&amp;"fficiency and scalability of the system. © 2004-2012 IEEE.")</f>
        <v>During natural disasters or emergency situations, an essential requirement for an effective emergency management is the information sharing. In this paper, we present an access control model to enforce controlled information sharing in emergency situations. An in-depth analysis of the model is discussed throughout the paper, and administration policies are introduced to enhance the model flexibility during emergencies. Moreover, a prototype implementation and experiments results are provided showing the efficiency and scalability of the system. © 2004-2012 IEEE.</v>
      </c>
      <c r="H347" s="8" t="str">
        <f>IFERROR(__xludf.DUMMYFUNCTION("""COMPUTED_VALUE"""),"Access controls; data sharing; privacy; security")</f>
        <v>Access controls; data sharing; privacy; security</v>
      </c>
      <c r="I347" s="10" t="b">
        <v>0</v>
      </c>
      <c r="J347" s="10" t="b">
        <v>0</v>
      </c>
      <c r="K347" s="10" t="b">
        <v>0</v>
      </c>
      <c r="L347" s="10" t="b">
        <v>0</v>
      </c>
      <c r="M347" s="10" t="b">
        <v>0</v>
      </c>
      <c r="N347" s="10" t="b">
        <v>0</v>
      </c>
      <c r="O347" s="11" t="b">
        <f t="shared" si="1"/>
        <v>0</v>
      </c>
      <c r="P347" s="16" t="b">
        <v>0</v>
      </c>
      <c r="Q347" s="7"/>
    </row>
    <row r="348">
      <c r="A348" s="5" t="b">
        <v>1</v>
      </c>
      <c r="B348" s="5" t="s">
        <v>386</v>
      </c>
      <c r="C348" s="6" t="str">
        <f>IFERROR(__xludf.DUMMYFUNCTION("""COMPUTED_VALUE"""),"10.1109/TDSC.2023.3252523")</f>
        <v>10.1109/TDSC.2023.3252523</v>
      </c>
      <c r="D348" s="7" t="str">
        <f>IFERROR(__xludf.DUMMYFUNCTION("""COMPUTED_VALUE"""),"Liang H.; Li X.; Xiao D.; Liu J.; Zhou Y.; Wang A.; Li J.")</f>
        <v>Liang H.; Li X.; Xiao D.; Liu J.; Zhou Y.; Wang A.; Li J.</v>
      </c>
      <c r="E348" s="7" t="str">
        <f>IFERROR(__xludf.DUMMYFUNCTION("""COMPUTED_VALUE"""),"Generative Pre-trained Transformer-Based Reinforcement Learning for Testing Web Application Firewalls")</f>
        <v>Generative Pre-trained Transformer-Based Reinforcement Learning for Testing Web Application Firewalls</v>
      </c>
      <c r="F348" s="7" t="str">
        <f>IFERROR(__xludf.DUMMYFUNCTION("""COMPUTED_VALUE"""),"TDSC")</f>
        <v>TDSC</v>
      </c>
      <c r="G348" s="7" t="str">
        <f>IFERROR(__xludf.DUMMYFUNCTION("""COMPUTED_VALUE"""),"Web Application Firewalls (WAFs) are widely deployed to protect key web applications against multiple security threats, so it is important to test WAFs regularly to prevent attackers from bypassing them easily. Machine-learning-based black-box WAF testing"&amp;" is gaining more attention, though existing learning-based approaches have strict requirements on the source and scale of payload data and suffer from the local optimum problem, limiting their effectiveness and practical application. We propose GPTFuzzer,"&amp;" a &lt;italic&gt;practical&lt;/italic&gt; and &lt;italic&gt;effective&lt;/italic&gt; generation-based approach to test WAFs by generating attack payloads token-by-token. Specifically, we fine-tune a Generative Pre-trained Transformer language model with reinforcement learning to"&amp;" make GPTFuzzer have the least restrictions on payload data and thus more applicable in practice, and we use reward modeling and KL-divergence penalty to improve the effectiveness of our approach and mitigate the local optimum issue. We implement GPTFuzze"&amp;"r and evaluate it on two well-known open-source WAFs against three kinds of common attacks. Experimental results show that GPTFuzzer significantly outperforms state-of-the-art approaches, &lt;italic&gt;i.e.&lt;/italic&gt; ML-Driven and RAT, finding up to 7.8&amp;#x00D7; "&amp;"(3.2&amp;#x00D7; on average) more bypassing payloads within 1,250,000 requests, or finding out all bypassing payloads using up to 8.1&amp;#x00D7; (3.3&amp;#x00D7; on average) fewer requests. IEEE")</f>
        <v>Web Application Firewalls (WAFs) are widely deployed to protect key web applications against multiple security threats, so it is important to test WAFs regularly to prevent attackers from bypassing them easily. Machine-learning-based black-box WAF testing is gaining more attention, though existing learning-based approaches have strict requirements on the source and scale of payload data and suffer from the local optimum problem, limiting their effectiveness and practical application. We propose GPTFuzzer, a &lt;italic&gt;practical&lt;/italic&gt; and &lt;italic&gt;effective&lt;/italic&gt; generation-based approach to test WAFs by generating attack payloads token-by-token. Specifically, we fine-tune a Generative Pre-trained Transformer language model with reinforcement learning to make GPTFuzzer have the least restrictions on payload data and thus more applicable in practice, and we use reward modeling and KL-divergence penalty to improve the effectiveness of our approach and mitigate the local optimum issue. We implement GPTFuzzer and evaluate it on two well-known open-source WAFs against three kinds of common attacks. Experimental results show that GPTFuzzer significantly outperforms state-of-the-art approaches, &lt;italic&gt;i.e.&lt;/italic&gt; ML-Driven and RAT, finding up to 7.8&amp;#x00D7; (3.2&amp;#x00D7; on average) more bypassing payloads within 1,250,000 requests, or finding out all bypassing payloads using up to 8.1&amp;#x00D7; (3.3&amp;#x00D7; on average) fewer requests. IEEE</v>
      </c>
      <c r="H348" s="8" t="str">
        <f>IFERROR(__xludf.DUMMYFUNCTION("""COMPUTED_VALUE"""),"Adaptation models; black-box testing; Data models; Grammar; Payloads; reinforcement learning; Reinforcement learning; Security; Testing; Transformer; Web Application Firewall")</f>
        <v>Adaptation models; black-box testing; Data models; Grammar; Payloads; reinforcement learning; Reinforcement learning; Security; Testing; Transformer; Web Application Firewall</v>
      </c>
      <c r="I348" s="10" t="b">
        <v>0</v>
      </c>
      <c r="J348" s="10" t="b">
        <v>0</v>
      </c>
      <c r="K348" s="10" t="b">
        <v>0</v>
      </c>
      <c r="L348" s="10" t="b">
        <v>0</v>
      </c>
      <c r="M348" s="10" t="b">
        <v>0</v>
      </c>
      <c r="N348" s="10" t="b">
        <v>0</v>
      </c>
      <c r="O348" s="11" t="b">
        <f t="shared" si="1"/>
        <v>0</v>
      </c>
      <c r="P348" s="16" t="b">
        <v>0</v>
      </c>
      <c r="Q348" s="7"/>
    </row>
    <row r="349">
      <c r="A349" s="5" t="b">
        <v>1</v>
      </c>
      <c r="B349" s="5" t="s">
        <v>387</v>
      </c>
      <c r="C349" s="6" t="str">
        <f>IFERROR(__xludf.DUMMYFUNCTION("""COMPUTED_VALUE"""),"10.1109/TDSC.2021.3085988")</f>
        <v>10.1109/TDSC.2021.3085988</v>
      </c>
      <c r="D349" s="7" t="str">
        <f>IFERROR(__xludf.DUMMYFUNCTION("""COMPUTED_VALUE"""),"Weng J.; Weng J.; Cai C.; Huang H.; Wang C.")</f>
        <v>Weng J.; Weng J.; Cai C.; Huang H.; Wang C.</v>
      </c>
      <c r="E349" s="7" t="str">
        <f>IFERROR(__xludf.DUMMYFUNCTION("""COMPUTED_VALUE"""),"Golden Grain: Building a Secure and Decentralized Model Marketplace for MLaaS")</f>
        <v>Golden Grain: Building a Secure and Decentralized Model Marketplace for MLaaS</v>
      </c>
      <c r="F349" s="7" t="str">
        <f>IFERROR(__xludf.DUMMYFUNCTION("""COMPUTED_VALUE"""),"TDSC")</f>
        <v>TDSC</v>
      </c>
      <c r="G349" s="7" t="str">
        <f>IFERROR(__xludf.DUMMYFUNCTION("""COMPUTED_VALUE"""),"ML-as-a-service (MLaaS) becomes increasingly popular and revolutionizes the lives of people. A natural requirement for MLaaS is, however, to provide highly accurate prediction services. To achieve this, current MLaaS systems integrate and combine multiple"&amp;" well-trained models in their services. Yet, in reality, there is no easy way for MLaaS providers, especially for startups, to collect sufficiently well-trained models from individual developers, due to the lack of incentives. In this paper, we aim to fil"&amp;"l this gap by building up a model marketplace, called Golden Grain, to facilitate model sharing, which enforces the fair model-money swapping process between individual developers and MLaaS providers. Specifically, we deploy the swapping process on the bl"&amp;"ockchain, and further introduce a blockchain-empowered model benchmarking process for transparently determining the model prices according to their authentic performances, so as to motivate the faithful contributions of well-trained models. Especially, to"&amp;" ease the blockchain overhead for model benchmarking, our marketplace carefully offloads the heavy computation and designs a secure off-chain on-chain interaction protocol based on a trusted execution environment (TEE), for ensuring both the integrity and"&amp;" authenticity of benchmarking. We implement a prototype of our Golden Grain on the Ethereum blockchain, and conduct extensive experiments using standard benchmark datasets to demonstrate the practically affordable performance of our design. IEEE")</f>
        <v>ML-as-a-service (MLaaS) becomes increasingly popular and revolutionizes the lives of people. A natural requirement for MLaaS is, however, to provide highly accurate prediction services. To achieve this, current MLaaS systems integrate and combine multiple well-trained models in their services. Yet, in reality, there is no easy way for MLaaS providers, especially for startups, to collect sufficiently well-trained models from individual developers, due to the lack of incentives. In this paper, we aim to fill this gap by building up a model marketplace, called Golden Grain, to facilitate model sharing, which enforces the fair model-money swapping process between individual developers and MLaaS providers. Specifically, we deploy the swapping process on the blockchain, and further introduce a blockchain-empowered model benchmarking process for transparently determining the model prices according to their authentic performances, so as to motivate the faithful contributions of well-trained models. Especially, to ease the blockchain overhead for model benchmarking, our marketplace carefully offloads the heavy computation and designs a secure off-chain on-chain interaction protocol based on a trusted execution environment (TEE), for ensuring both the integrity and authenticity of benchmarking. We implement a prototype of our Golden Grain on the Ethereum blockchain, and conduct extensive experiments using standard benchmark datasets to demonstrate the practically affordable performance of our design. IEEE</v>
      </c>
      <c r="H349" s="8" t="str">
        <f>IFERROR(__xludf.DUMMYFUNCTION("""COMPUTED_VALUE"""),"Benchmark testing; Blockchain; Blockchain; Computational modeling; Data models; Marketplace; ML-as-a-service; Predictive models; Smart contracts; Trusted execution environment; Urban areas")</f>
        <v>Benchmark testing; Blockchain; Blockchain; Computational modeling; Data models; Marketplace; ML-as-a-service; Predictive models; Smart contracts; Trusted execution environment; Urban areas</v>
      </c>
      <c r="I349" s="10" t="b">
        <v>0</v>
      </c>
      <c r="J349" s="10" t="b">
        <v>0</v>
      </c>
      <c r="K349" s="10" t="b">
        <v>0</v>
      </c>
      <c r="L349" s="10" t="b">
        <v>0</v>
      </c>
      <c r="M349" s="10" t="b">
        <v>0</v>
      </c>
      <c r="N349" s="10" t="b">
        <v>0</v>
      </c>
      <c r="O349" s="11" t="b">
        <f t="shared" si="1"/>
        <v>0</v>
      </c>
      <c r="P349" s="16" t="b">
        <v>0</v>
      </c>
      <c r="Q349" s="7"/>
    </row>
    <row r="350">
      <c r="A350" s="5" t="b">
        <v>1</v>
      </c>
      <c r="B350" s="5" t="s">
        <v>388</v>
      </c>
      <c r="C350" s="6" t="str">
        <f>IFERROR(__xludf.DUMMYFUNCTION("""COMPUTED_VALUE"""),"10.1016/j.jss.2019.03.061")</f>
        <v>10.1016/j.jss.2019.03.061</v>
      </c>
      <c r="D350" s="7" t="str">
        <f>IFERROR(__xludf.DUMMYFUNCTION("""COMPUTED_VALUE"""),"Alpuente M.; Ballis D.; Sapiña J.")</f>
        <v>Alpuente M.; Ballis D.; Sapiña J.</v>
      </c>
      <c r="E350" s="7" t="str">
        <f>IFERROR(__xludf.DUMMYFUNCTION("""COMPUTED_VALUE"""),"Static correction of Maude programs with assertions")</f>
        <v>Static correction of Maude programs with assertions</v>
      </c>
      <c r="F350" s="7" t="str">
        <f>IFERROR(__xludf.DUMMYFUNCTION("""COMPUTED_VALUE"""),"JSS")</f>
        <v>JSS</v>
      </c>
      <c r="G350" s="7" t="str">
        <f>IFERROR(__xludf.DUMMYFUNCTION("""COMPUTED_VALUE"""),"                             In this paper, we present a novel transformation method for Maude programs featuring both automatic program diagnosis and correction. The input of our method is a reference specification A of the program behavior that is given"&amp;" in the form of assertions together with an overly general program R whose execution might violate the assertions. Our correction technique translates R into a refined program R                             ′                              in which every com"&amp;"putation is also a computation in R that satisfies the assertions of A. The technique is first formalized for topmost rewrite theories, and then we generalize it to larger classes of rewrite theories that support nested structured configurations. Our tech"&amp;"nique copes with infinite space states and does not require the knowledge of any failing run. We report experiments that assess the effectiveness of assertion-driven correction.                          © 2019 Elsevier Inc.")</f>
        <v>                             In this paper, we present a novel transformation method for Maude programs featuring both automatic program diagnosis and correction. The input of our method is a reference specification A of the program behavior that is given in the form of assertions together with an overly general program R whose execution might violate the assertions. Our correction technique translates R into a refined program R                             ′                              in which every computation is also a computation in R that satisfies the assertions of A. The technique is first formalized for topmost rewrite theories, and then we generalize it to larger classes of rewrite theories that support nested structured configurations. Our technique copes with infinite space states and does not require the knowledge of any failing run. We report experiments that assess the effectiveness of assertion-driven correction.                          © 2019 Elsevier Inc.</v>
      </c>
      <c r="H350" s="8" t="str">
        <f>IFERROR(__xludf.DUMMYFUNCTION("""COMPUTED_VALUE"""),"Assertion checking; Equational rewriting; Maude; Program repair; Program transformation; Rewriting logic")</f>
        <v>Assertion checking; Equational rewriting; Maude; Program repair; Program transformation; Rewriting logic</v>
      </c>
      <c r="I350" s="10" t="b">
        <v>0</v>
      </c>
      <c r="J350" s="10" t="b">
        <v>0</v>
      </c>
      <c r="K350" s="10" t="b">
        <v>0</v>
      </c>
      <c r="L350" s="10" t="b">
        <v>0</v>
      </c>
      <c r="M350" s="10" t="b">
        <v>0</v>
      </c>
      <c r="N350" s="10" t="b">
        <v>0</v>
      </c>
      <c r="O350" s="11" t="b">
        <f t="shared" si="1"/>
        <v>0</v>
      </c>
      <c r="P350" s="16" t="b">
        <v>0</v>
      </c>
      <c r="Q350" s="7"/>
    </row>
    <row r="351">
      <c r="A351" s="5" t="b">
        <v>1</v>
      </c>
      <c r="B351" s="5" t="s">
        <v>389</v>
      </c>
      <c r="C351" s="6" t="str">
        <f>IFERROR(__xludf.DUMMYFUNCTION("""COMPUTED_VALUE"""),"10.1016/j.jss.2018.07.008")</f>
        <v>10.1016/j.jss.2018.07.008</v>
      </c>
      <c r="D351" s="7" t="str">
        <f>IFERROR(__xludf.DUMMYFUNCTION("""COMPUTED_VALUE"""),"Rupakheti C.R.; Hays M.; Mohan S.; Chenoweth S.; Stouder A.")</f>
        <v>Rupakheti C.R.; Hays M.; Mohan S.; Chenoweth S.; Stouder A.</v>
      </c>
      <c r="E351" s="7" t="str">
        <f>IFERROR(__xludf.DUMMYFUNCTION("""COMPUTED_VALUE"""),"On a pursuit for perfecting an undergraduate requirements engineering course")</f>
        <v>On a pursuit for perfecting an undergraduate requirements engineering course</v>
      </c>
      <c r="F351" s="7" t="str">
        <f>IFERROR(__xludf.DUMMYFUNCTION("""COMPUTED_VALUE"""),"JSS")</f>
        <v>JSS</v>
      </c>
      <c r="G351" s="7" t="str">
        <f>IFERROR(__xludf.DUMMYFUNCTION("""COMPUTED_VALUE"""),"Requirements Engineering (RE) is an essential component of any software development cycle. Understanding and satisfying stakeholder needs and wants is the difference between the success and failure of a product. However, RE is often perceived as a “soft” "&amp;"skill by students and is often ignored by students who prioritize the learning of coding, testing, and algorithmic thinking. This view contrasts with the industry, where “soft” skills are instead valued equal to any other engineering ability. A key challe"&amp;"nge in teaching RE is that students who are accustomed to technical work have a hard time relating to something that is non-technical. Furthermore, students are rarely afforded the opportunity to practice requirements elicitation and management skills in "&amp;"a meaningful way while learning the RE concepts as an adjunct to other content. At Rose-Hulman, several project-based approaches have been experimented with in teaching RE, and these have evolved over time. In this paper, the progress of teaching methodol"&amp;"ogies is documented to capture the pros and cons of these varied approaches, and to reflect on what worked and what did not in teaching RE to undergraduate engineering students. © 2018 Elsevier Inc.")</f>
        <v>Requirements Engineering (RE) is an essential component of any software development cycle. Understanding and satisfying stakeholder needs and wants is the difference between the success and failure of a product. However, RE is often perceived as a “soft” skill by students and is often ignored by students who prioritize the learning of coding, testing, and algorithmic thinking. This view contrasts with the industry, where “soft” skills are instead valued equal to any other engineering ability. A key challenge in teaching RE is that students who are accustomed to technical work have a hard time relating to something that is non-technical. Furthermore, students are rarely afforded the opportunity to practice requirements elicitation and management skills in a meaningful way while learning the RE concepts as an adjunct to other content. At Rose-Hulman, several project-based approaches have been experimented with in teaching RE, and these have evolved over time. In this paper, the progress of teaching methodologies is documented to capture the pros and cons of these varied approaches, and to reflect on what worked and what did not in teaching RE to undergraduate engineering students. © 2018 Elsevier Inc.</v>
      </c>
      <c r="H351" s="8" t="str">
        <f>IFERROR(__xludf.DUMMYFUNCTION("""COMPUTED_VALUE"""),"Course evolution; Project-Based learning; Requirements engineering")</f>
        <v>Course evolution; Project-Based learning; Requirements engineering</v>
      </c>
      <c r="I351" s="10" t="b">
        <v>0</v>
      </c>
      <c r="J351" s="10" t="b">
        <v>0</v>
      </c>
      <c r="K351" s="10" t="b">
        <v>0</v>
      </c>
      <c r="L351" s="10" t="b">
        <v>0</v>
      </c>
      <c r="M351" s="10" t="b">
        <v>0</v>
      </c>
      <c r="N351" s="10" t="b">
        <v>0</v>
      </c>
      <c r="O351" s="11" t="b">
        <f t="shared" si="1"/>
        <v>0</v>
      </c>
      <c r="P351" s="16" t="b">
        <v>0</v>
      </c>
      <c r="Q351" s="13" t="s">
        <v>390</v>
      </c>
    </row>
    <row r="352">
      <c r="A352" s="5" t="b">
        <v>1</v>
      </c>
      <c r="B352" s="5" t="s">
        <v>391</v>
      </c>
      <c r="C352" s="6" t="str">
        <f>IFERROR(__xludf.DUMMYFUNCTION("""COMPUTED_VALUE"""),"10.1016/j.jss.2021.110975")</f>
        <v>10.1016/j.jss.2021.110975</v>
      </c>
      <c r="D352" s="7" t="str">
        <f>IFERROR(__xludf.DUMMYFUNCTION("""COMPUTED_VALUE"""),"Liu S.")</f>
        <v>Liu S.</v>
      </c>
      <c r="E352" s="7" t="str">
        <f>IFERROR(__xludf.DUMMYFUNCTION("""COMPUTED_VALUE"""),"A three-step hybrid specification approach to error prevention")</f>
        <v>A three-step hybrid specification approach to error prevention</v>
      </c>
      <c r="F352" s="7" t="str">
        <f>IFERROR(__xludf.DUMMYFUNCTION("""COMPUTED_VALUE"""),"JSS")</f>
        <v>JSS</v>
      </c>
      <c r="G352" s="7" t="str">
        <f>IFERROR(__xludf.DUMMYFUNCTION("""COMPUTED_VALUE"""),"Effectively preventing errors in requirements analysis and design is extremely important for enhancing software productivity and reliability, but how to fulfill this goal remains an open problem. In this paper, we propose a concept of hybrid specification"&amp;" and describe a novel three-step hybrid specification approach to address this problem. We discuss how the three-step approach can be used to effectively prevent errors in the early phases of development. The expected effect of the approach is to strike a"&amp;" good balance between enhancing productivity and ensuring the reliability of the program implemented. We present a controlled experiment to evaluate the effectiveness of the approach. The result of the experiment shows that our method can detect and preve"&amp;"nt 28.36% more errors than a comparable traditional requirements analysis method. © 2021 Elsevier Inc.")</f>
        <v>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 © 2021 Elsevier Inc.</v>
      </c>
      <c r="H352" s="8" t="str">
        <f>IFERROR(__xludf.DUMMYFUNCTION("""COMPUTED_VALUE"""),"Formal methods; Hybrid specification; Requirements analysis; Software productivity; Software reliability")</f>
        <v>Formal methods; Hybrid specification; Requirements analysis; Software productivity; Software reliability</v>
      </c>
      <c r="I352" s="9" t="b">
        <v>1</v>
      </c>
      <c r="J352" s="9" t="b">
        <v>1</v>
      </c>
      <c r="K352" s="10" t="b">
        <v>0</v>
      </c>
      <c r="L352" s="10" t="b">
        <v>0</v>
      </c>
      <c r="M352" s="10" t="b">
        <v>0</v>
      </c>
      <c r="N352" s="10" t="b">
        <v>0</v>
      </c>
      <c r="O352" s="11" t="b">
        <f t="shared" si="1"/>
        <v>0</v>
      </c>
      <c r="P352" s="16" t="b">
        <v>0</v>
      </c>
      <c r="Q352" s="7"/>
    </row>
    <row r="353">
      <c r="A353" s="5" t="b">
        <v>1</v>
      </c>
      <c r="B353" s="5" t="s">
        <v>392</v>
      </c>
      <c r="C353" s="6" t="str">
        <f>IFERROR(__xludf.DUMMYFUNCTION("""COMPUTED_VALUE"""),"10.1016/j.jss.2015.08.051")</f>
        <v>10.1016/j.jss.2015.08.051</v>
      </c>
      <c r="D353" s="7" t="str">
        <f>IFERROR(__xludf.DUMMYFUNCTION("""COMPUTED_VALUE"""),"Galante G.; Erpen De Bona L.C.")</f>
        <v>Galante G.; Erpen De Bona L.C.</v>
      </c>
      <c r="E353" s="7" t="str">
        <f>IFERROR(__xludf.DUMMYFUNCTION("""COMPUTED_VALUE"""),"A programming-level approach for elasticizing parallel scientific applications")</f>
        <v>A programming-level approach for elasticizing parallel scientific applications</v>
      </c>
      <c r="F353" s="7" t="str">
        <f>IFERROR(__xludf.DUMMYFUNCTION("""COMPUTED_VALUE"""),"JSS")</f>
        <v>JSS</v>
      </c>
      <c r="G353" s="7" t="str">
        <f>IFERROR(__xludf.DUMMYFUNCTION("""COMPUTED_VALUE"""),"Elasticity is considered one of the fundamental properties of cloud computing. Several mechanisms to provide the feature are offered by public cloud providers and in some academic works. We argue these solutions are inefficient in providing elasticity for"&amp;" scientific applications, since they cannot consider the internal structure and behavior of applications. In this paper we present an approach for exploring the elasticity in scientific applications, in which the elasticity control is embedded in applicat"&amp;"ion source code and constructed using elasticity primitives. This approach enables the application itself to request or to release its own resources, taking into account the execution flow and runtime requirements. To support the construction of elastic a"&amp;"pplications using the presented approach, we developed the Cloudine framework. Cloudine provides all components necessary to construct and execute elastic scientific applications. The Cloudine effectiveness is demonstrated in the experiments where the pla"&amp;"tform is successfully used to include new features to existing applications, to extend functionalities of other elasticity frameworks and to add elasticity support to parallel programming libraries. © 2015 Elsevier Inc. All rights reserved.")</f>
        <v>Elasticity is considered one of the fundamental properties of cloud computing. Several mechanisms to provide the feature are offered by public cloud providers and in some academic works. We argue these solutions are inefficient in providing elasticity for scientific applications, since they cannot consider the internal structure and behavior of applications. In this paper we present an approach for exploring the elasticity in scientific applications, in which the elasticity control is embedded in application source code and constructed using elasticity primitives. This approach enables the application itself to request or to release its own resources, taking into account the execution flow and runtime requirements. To support the construction of elastic applications using the presented approach, we developed the Cloudine framework. Cloudine provides all components necessary to construct and execute elastic scientific applications. The Cloudine effectiveness is demonstrated in the experiments where the platform is successfully used to include new features to existing applications, to extend functionalities of other elasticity frameworks and to add elasticity support to parallel programming libraries. © 2015 Elsevier Inc. All rights reserved.</v>
      </c>
      <c r="H353" s="8" t="str">
        <f>IFERROR(__xludf.DUMMYFUNCTION("""COMPUTED_VALUE"""),"Cloud computing; Elasticity; Parallel applications")</f>
        <v>Cloud computing; Elasticity; Parallel applications</v>
      </c>
      <c r="I353" s="10" t="b">
        <v>0</v>
      </c>
      <c r="J353" s="10" t="b">
        <v>0</v>
      </c>
      <c r="K353" s="10" t="b">
        <v>0</v>
      </c>
      <c r="L353" s="10" t="b">
        <v>0</v>
      </c>
      <c r="M353" s="10" t="b">
        <v>0</v>
      </c>
      <c r="N353" s="10" t="b">
        <v>0</v>
      </c>
      <c r="O353" s="11" t="b">
        <f t="shared" si="1"/>
        <v>0</v>
      </c>
      <c r="P353" s="16" t="b">
        <v>0</v>
      </c>
      <c r="Q353" s="7"/>
    </row>
    <row r="354">
      <c r="A354" s="5" t="b">
        <v>1</v>
      </c>
      <c r="B354" s="5" t="s">
        <v>393</v>
      </c>
      <c r="C354" s="6" t="str">
        <f>IFERROR(__xludf.DUMMYFUNCTION("""COMPUTED_VALUE"""),"10.1016/j.jss.2013.07.053")</f>
        <v>10.1016/j.jss.2013.07.053</v>
      </c>
      <c r="D354" s="7" t="str">
        <f>IFERROR(__xludf.DUMMYFUNCTION("""COMPUTED_VALUE"""),"Perez-Palacin D.; Mirandola R.; Merseguer J.")</f>
        <v>Perez-Palacin D.; Mirandola R.; Merseguer J.</v>
      </c>
      <c r="E354" s="7" t="str">
        <f>IFERROR(__xludf.DUMMYFUNCTION("""COMPUTED_VALUE"""),"On the relationships between QoS and software adaptability at the architectural level")</f>
        <v>On the relationships between QoS and software adaptability at the architectural level</v>
      </c>
      <c r="F354" s="7" t="str">
        <f>IFERROR(__xludf.DUMMYFUNCTION("""COMPUTED_VALUE"""),"JSS")</f>
        <v>JSS</v>
      </c>
      <c r="G354" s="7" t="str">
        <f>IFERROR(__xludf.DUMMYFUNCTION("""COMPUTED_VALUE"""),"Modern software operates in highly dynamic and often unpredictable environments that can degrade its quality of service. Therefore, it is increasingly important having systems able to adapt their behavior. However, the achievement of software adaptability"&amp;" can influence other software quality attributes, such as availability, performance or cost. This paper proposes an approach for analyzing tradeoffs between the system adaptability and its quality of service. The proposed approach is based on a set of met"&amp;"rics that allow the system adaptability evaluation. The approach can help software architects to guide decisions on system adaptation for fulfilling system quality requirements. The application and effectiveness of the approach are illustrated through exa"&amp;"mples and a wide set of experiments carried out with a tool we have developed. © 2013 Elsevier Inc.")</f>
        <v>Modern software operates in highly dynamic and often unpredictable environments that can degrade its quality of service. Therefore, it is increasingly important having systems able to adapt their behavior. However, the achievement of software adaptability can influence other software quality attributes, such as availability, performance or cost. This paper proposes an approach for analyzing tradeoffs between the system adaptability and its quality of service. The proposed approach is based on a set of metrics that allow the system adaptability evaluation. The approach can help software architects to guide decisions on system adaptation for fulfilling system quality requirements. The application and effectiveness of the approach are illustrated through examples and a wide set of experiments carried out with a tool we have developed. © 2013 Elsevier Inc.</v>
      </c>
      <c r="H354" s="8" t="str">
        <f>IFERROR(__xludf.DUMMYFUNCTION("""COMPUTED_VALUE"""),"Adaptability; Quality of service; Software architectures")</f>
        <v>Adaptability; Quality of service; Software architectures</v>
      </c>
      <c r="I354" s="10" t="b">
        <v>0</v>
      </c>
      <c r="J354" s="10" t="b">
        <v>0</v>
      </c>
      <c r="K354" s="10" t="b">
        <v>0</v>
      </c>
      <c r="L354" s="10" t="b">
        <v>0</v>
      </c>
      <c r="M354" s="10" t="b">
        <v>0</v>
      </c>
      <c r="N354" s="10" t="b">
        <v>0</v>
      </c>
      <c r="O354" s="11" t="b">
        <f t="shared" si="1"/>
        <v>0</v>
      </c>
      <c r="P354" s="16" t="b">
        <v>0</v>
      </c>
      <c r="Q354" s="7"/>
    </row>
    <row r="355">
      <c r="A355" s="5" t="b">
        <v>1</v>
      </c>
      <c r="B355" s="5" t="s">
        <v>394</v>
      </c>
      <c r="C355" s="6" t="str">
        <f>IFERROR(__xludf.DUMMYFUNCTION("""COMPUTED_VALUE"""),"10.1016/j.jss.2017.11.020")</f>
        <v>10.1016/j.jss.2017.11.020</v>
      </c>
      <c r="D355" s="7" t="str">
        <f>IFERROR(__xludf.DUMMYFUNCTION("""COMPUTED_VALUE"""),"Ren J.; Lin C.; Liu Q.; Obaidat M.S.; Wu G.; Tan G.")</f>
        <v>Ren J.; Lin C.; Liu Q.; Obaidat M.S.; Wu G.; Tan G.</v>
      </c>
      <c r="E355" s="7" t="str">
        <f>IFERROR(__xludf.DUMMYFUNCTION("""COMPUTED_VALUE"""),"Broadcast tree construction framework in tactile internet via dynamic algorithm")</f>
        <v>Broadcast tree construction framework in tactile internet via dynamic algorithm</v>
      </c>
      <c r="F355" s="7" t="str">
        <f>IFERROR(__xludf.DUMMYFUNCTION("""COMPUTED_VALUE"""),"JSS")</f>
        <v>JSS</v>
      </c>
      <c r="G355" s="7" t="str">
        <f>IFERROR(__xludf.DUMMYFUNCTION("""COMPUTED_VALUE"""),"Extremely low-latency and real-time communications are required in Tactile Internet to transfer physical tactile experiences remotely. In addition, its traffic has stringent requirements on bandwidth and quality of service (QoS). To minimize total costs o"&amp;"f establishing the network and satisfy a pre-defined global upper delay-bound on the paths from the server to any other client for message broadcast in Tactile Internet, this paper presents a Rooted Delay-Constrained Minimum Spanning Tree (RDCMST) constru"&amp;"ction framework based on dynamic algorithm. The network is modeled as a connected weighted and undirected graph. Infeasible and suboptimal edges are discarded first by preprocessing techniques to reduce the processing complexity of the algorithm. Then the"&amp;" edges of the graph are processed based on a dynamic graph algorithm, which can maintain a single-source shortest path tree for the online edge deletions, such that total costs can be minimized while ensuring the delay-constraint and the tree structure. E"&amp;"xperimental results show that our proposed approach greatly outperforms existing competing RDCMST formation algorithms, in terms of both average cost and stability of solutions. © 2017 Elsevier Inc.")</f>
        <v>Extremely low-latency and real-time communications are required in Tactile Internet to transfer physical tactile experiences remotely. In addition, its traffic has stringent requirements on bandwidth and quality of service (QoS). To minimize total costs of establishing the network and satisfy a pre-defined global upper delay-bound on the paths from the server to any other client for message broadcast in Tactile Internet, this paper presents a Rooted Delay-Constrained Minimum Spanning Tree (RDCMST) construction framework based on dynamic algorithm. The network is modeled as a connected weighted and undirected graph. Infeasible and suboptimal edges are discarded first by preprocessing techniques to reduce the processing complexity of the algorithm. Then the edges of the graph are processed based on a dynamic graph algorithm, which can maintain a single-source shortest path tree for the online edge deletions, such that total costs can be minimized while ensuring the delay-constraint and the tree structure. Experimental results show that our proposed approach greatly outperforms existing competing RDCMST formation algorithms, in terms of both average cost and stability of solutions. © 2017 Elsevier Inc.</v>
      </c>
      <c r="H355" s="8" t="str">
        <f>IFERROR(__xludf.DUMMYFUNCTION("""COMPUTED_VALUE"""),"Dynamic algorithm; Real-time; Rooted delay-constrained minimum spanning tree; Tactile internet")</f>
        <v>Dynamic algorithm; Real-time; Rooted delay-constrained minimum spanning tree; Tactile internet</v>
      </c>
      <c r="I355" s="10" t="b">
        <v>0</v>
      </c>
      <c r="J355" s="10" t="b">
        <v>0</v>
      </c>
      <c r="K355" s="10" t="b">
        <v>0</v>
      </c>
      <c r="L355" s="10" t="b">
        <v>0</v>
      </c>
      <c r="M355" s="10" t="b">
        <v>0</v>
      </c>
      <c r="N355" s="10" t="b">
        <v>0</v>
      </c>
      <c r="O355" s="11" t="b">
        <f t="shared" si="1"/>
        <v>0</v>
      </c>
      <c r="P355" s="16" t="b">
        <v>0</v>
      </c>
      <c r="Q355" s="7"/>
    </row>
    <row r="356">
      <c r="A356" s="5" t="b">
        <v>1</v>
      </c>
      <c r="B356" s="5" t="s">
        <v>395</v>
      </c>
      <c r="C356" s="18" t="str">
        <f>IFERROR(__xludf.DUMMYFUNCTION("""COMPUTED_VALUE"""),"10.1016/j.jss.2013.03.106")</f>
        <v>10.1016/j.jss.2013.03.106</v>
      </c>
      <c r="D356" s="7" t="str">
        <f>IFERROR(__xludf.DUMMYFUNCTION("""COMPUTED_VALUE"""),"Cagiltay N.E.; Tokdemir G.; Kilic O.; Topalli D.")</f>
        <v>Cagiltay N.E.; Tokdemir G.; Kilic O.; Topalli D.</v>
      </c>
      <c r="E356" s="7" t="str">
        <f>IFERROR(__xludf.DUMMYFUNCTION("""COMPUTED_VALUE"""),"Performing and analyzing non-formal inspections of entity relationship diagram (ERD)")</f>
        <v>Performing and analyzing non-formal inspections of entity relationship diagram (ERD)</v>
      </c>
      <c r="F356" s="7" t="str">
        <f>IFERROR(__xludf.DUMMYFUNCTION("""COMPUTED_VALUE"""),"JSS")</f>
        <v>JSS</v>
      </c>
      <c r="G356" s="7" t="str">
        <f>IFERROR(__xludf.DUMMYFUNCTION("""COMPUTED_VALUE"""),"Designing and understanding of diagrammatic representations is a critical issue for the success of software projects because diagrams in this field provide a collection of related information with various perceptual signs and they help software engineers "&amp;"to understand operational systems at different levels of information system development process. Entity relationship diagram (ERD) is one of the main diagrammatic representations of a conceptual data model that reflects users' data requirements in a datab"&amp;"ase system. In today's business environment, the business model is in a constant change which creates highly dynamic data requirements which also requires additional processes like modifications of ERD. However, in the literature there are not many measur"&amp;"es to better understand the behaviors of software engineers during designing and understanding these representations. Hence, the main motivation of this study is to develop measures to better understand performance of software engineers during their under"&amp;"standing process of ERD. Accordingly, this study proposes two measures for ERD defect detection process. The defect detection difficulty level (DF) measures how difficult a defect to be detected according to the other defects for a group of software engin"&amp;"eers. Defect detection performance (PP) measure is also proposed to understand the performance of a software engineer during the defect detection process. The results of this study are validated through the eye tracker data collected during the defect det"&amp;"ection process of participants. Additionally, a relationship between the defect detection performance (PP) of a software engineer and his/her search patterns within an ERD is analyzed. Second experiment with five participants is also conducted to show the"&amp;" correlation between the proposed metric results and eye tracker data. The results of experiment-2 also found to be similar for DF and PP values. The results of this study are expected to provide insights to the researchers, software companies, and to the"&amp;" educators to improve ERD reasoning process. Through these measures several design guidelines can be developed for better graphical representations and modeling of the information which would improve quality of these diagrams. Moreover, some reviewing ins"&amp;"tructions can be developed for the software engineers to improve their reviewing process in ERD. These guidelines in turn will provide some tools for the educators to improve design and review skills of future software engineers. © 2013 Elsevier Inc. All "&amp;"rights reserved.")</f>
        <v>Designing and understanding of diagrammatic representations is a critical issue for the success of software projects because diagrams in this field provide a collection of related information with various perceptual signs and they help software engineers to understand operational systems at different levels of information system development process. Entity relationship diagram (ERD) is one of the main diagrammatic representations of a conceptual data model that reflects users' data requirements in a database system. In today's business environment, the business model is in a constant change which creates highly dynamic data requirements which also requires additional processes like modifications of ERD. However, in the literature there are not many measures to better understand the behaviors of software engineers during designing and understanding these representations. Hence, the main motivation of this study is to develop measures to better understand performance of software engineers during their understanding process of ERD. Accordingly, this study proposes two measures for ERD defect detection process. The defect detection difficulty level (DF) measures how difficult a defect to be detected according to the other defects for a group of software engineers. Defect detection performance (PP) measure is also proposed to understand the performance of a software engineer during the defect detection process. The results of this study are validated through the eye tracker data collected during the defect detection process of participants. Additionally, a relationship between the defect detection performance (PP) of a software engineer and his/her search patterns within an ERD is analyzed. Second experiment with five participants is also conducted to show the correlation between the proposed metric results and eye tracker data. The results of experiment-2 also found to be similar for DF and PP values. The results of this study are expected to provide insights to the researchers, software companies, and to the educators to improve ERD reasoning process. Through these measures several design guidelines can be developed for better graphical representations and modeling of the information which would improve quality of these diagrams. Moreover, some reviewing instructions can be developed for the software engineers to improve their reviewing process in ERD. These guidelines in turn will provide some tools for the educators to improve design and review skills of future software engineers. © 2013 Elsevier Inc. All rights reserved.</v>
      </c>
      <c r="H356" s="8" t="str">
        <f>IFERROR(__xludf.DUMMYFUNCTION("""COMPUTED_VALUE"""),"Defect detection; ERD; Eye tracking")</f>
        <v>Defect detection; ERD; Eye tracking</v>
      </c>
      <c r="I356" s="9" t="b">
        <v>1</v>
      </c>
      <c r="J356" s="9" t="b">
        <v>1</v>
      </c>
      <c r="K356" s="9" t="b">
        <v>1</v>
      </c>
      <c r="L356" s="10" t="b">
        <v>0</v>
      </c>
      <c r="M356" s="10" t="b">
        <v>0</v>
      </c>
      <c r="N356" s="10" t="b">
        <v>0</v>
      </c>
      <c r="O356" s="11" t="b">
        <f t="shared" si="1"/>
        <v>1</v>
      </c>
      <c r="P356" s="16" t="b">
        <v>0</v>
      </c>
      <c r="Q356" s="7"/>
    </row>
    <row r="357">
      <c r="A357" s="5" t="b">
        <v>1</v>
      </c>
      <c r="B357" s="5" t="s">
        <v>396</v>
      </c>
      <c r="C357" s="6" t="str">
        <f>IFERROR(__xludf.DUMMYFUNCTION("""COMPUTED_VALUE"""),"10.1016/j.jss.2015.07.039")</f>
        <v>10.1016/j.jss.2015.07.039</v>
      </c>
      <c r="D357" s="7" t="str">
        <f>IFERROR(__xludf.DUMMYFUNCTION("""COMPUTED_VALUE"""),"Sabatucci L.; Ceccato M.; Marchetto A.; Susi A.")</f>
        <v>Sabatucci L.; Ceccato M.; Marchetto A.; Susi A.</v>
      </c>
      <c r="E357" s="7" t="str">
        <f>IFERROR(__xludf.DUMMYFUNCTION("""COMPUTED_VALUE"""),"Ahab's legs in scenario-based requirements validation: An experiment to study communication mistakes")</f>
        <v>Ahab's legs in scenario-based requirements validation: An experiment to study communication mistakes</v>
      </c>
      <c r="F357" s="7" t="str">
        <f>IFERROR(__xludf.DUMMYFUNCTION("""COMPUTED_VALUE"""),"JSS")</f>
        <v>JSS</v>
      </c>
      <c r="G357" s="7" t="str">
        <f>IFERROR(__xludf.DUMMYFUNCTION("""COMPUTED_VALUE"""),"The correct identification of requirements is a crucial step for the implementation of a satisfactory software system. In the validation of requirements with scenarios, a straightforward communication is central to obtain a good participation from stakeho"&amp;"lders. Technical specifications are translated into scenarios to make them concrete and easy to understand for non-technical users, and contextual details are added to encourage user engagement. However, additional contextual details (Ahab's legs) could g"&amp;"enerate a negative impact on the requirements' validation by leading to proliferating comments that are not pertinent to session objective. The objective of this study is to evaluate the impact of Ahab's leg to scenario-based requirement validation sessio"&amp;"ns. We conducted a controlled experiment with human participants and measured the pertinence of the comments formulated by participants when discussing the requirements. The results of our experiment suggest that the potentially negative impact of Ahab's "&amp;"leg can be effectively controlled by the analyst. © 2015 Elsevier Inc. Allrights reserved.")</f>
        <v>The correct identification of requirements is a crucial step for the implementation of a satisfactory software system. In the validation of requirements with scenarios, a straightforward communication is central to obtain a good participation from stakeholders. Technical specifications are translated into scenarios to make them concrete and easy to understand for non-technical users, and contextual details are added to encourage user engagement. However, additional contextual details (Ahab's legs) could generate a negative impact on the requirements' validation by leading to proliferating comments that are not pertinent to session objective. The objective of this study is to evaluate the impact of Ahab's leg to scenario-based requirement validation sessions. We conducted a controlled experiment with human participants and measured the pertinence of the comments formulated by participants when discussing the requirements. The results of our experiment suggest that the potentially negative impact of Ahab's leg can be effectively controlled by the analyst. © 2015 Elsevier Inc. Allrights reserved.</v>
      </c>
      <c r="H357" s="8" t="str">
        <f>IFERROR(__xludf.DUMMYFUNCTION("""COMPUTED_VALUE"""),"Human factors of requirement Engineering; Requirement validation")</f>
        <v>Human factors of requirement Engineering; Requirement validation</v>
      </c>
      <c r="I357" s="9" t="b">
        <v>1</v>
      </c>
      <c r="J357" s="9" t="b">
        <v>1</v>
      </c>
      <c r="K357" s="10" t="b">
        <v>0</v>
      </c>
      <c r="L357" s="10" t="b">
        <v>0</v>
      </c>
      <c r="M357" s="10" t="b">
        <v>0</v>
      </c>
      <c r="N357" s="10" t="b">
        <v>0</v>
      </c>
      <c r="O357" s="11" t="b">
        <f t="shared" si="1"/>
        <v>0</v>
      </c>
      <c r="P357" s="16" t="b">
        <v>0</v>
      </c>
      <c r="Q357" s="7"/>
    </row>
    <row r="358">
      <c r="A358" s="5" t="b">
        <v>1</v>
      </c>
      <c r="B358" s="5" t="s">
        <v>397</v>
      </c>
      <c r="C358" s="6" t="str">
        <f>IFERROR(__xludf.DUMMYFUNCTION("""COMPUTED_VALUE"""),"10.1016/j.jss.2023.111851")</f>
        <v>10.1016/j.jss.2023.111851</v>
      </c>
      <c r="D358" s="7" t="str">
        <f>IFERROR(__xludf.DUMMYFUNCTION("""COMPUTED_VALUE"""),"Büyük O.O.; Nizam A.")</f>
        <v>Büyük O.O.; Nizam A.</v>
      </c>
      <c r="E358" s="7" t="str">
        <f>IFERROR(__xludf.DUMMYFUNCTION("""COMPUTED_VALUE"""),"Deep learning with class-level abstract syntax tree and code histories for detecting code modification requirements")</f>
        <v>Deep learning with class-level abstract syntax tree and code histories for detecting code modification requirements</v>
      </c>
      <c r="F358" s="7" t="str">
        <f>IFERROR(__xludf.DUMMYFUNCTION("""COMPUTED_VALUE"""),"JSS")</f>
        <v>JSS</v>
      </c>
      <c r="G358" s="7" t="str">
        <f>IFERROR(__xludf.DUMMYFUNCTION("""COMPUTED_VALUE"""),"Improving code quality is one of the most significant issues in the software industry. Deep learning is an emerging area of research for detecting code smells and addressing refactoring requirements. The aim of this study is to develop a deep learning-bas"&amp;"ed system for code modification analysis to predict the locations and types of code modifications, while significantly reducing the need for manual labeling. We created an experimental dataset by collecting historical code data from open-source project re"&amp;"positories on the Internet. We introduce a novel class-level abstract syntax tree-based code embedding method for code analysis. A recurrent neural network was employed to effectively identify code modification requirements. Our system achieves an average"&amp;" accuracy of approximately 83% across different repositories and 86% for the entire dataset. These findings indicate that our system provides higher performance than the method-based and text-based code embedding approaches. In addition, we performed a co"&amp;"mparative analysis with a static code analysis tool to justify the readiness of the proposed model for deployment. The correlation coefficient between the outputs demonstrates a significant correlation of 67%. Consequently, this research highlights that t"&amp;"he deep learning-based analysis of code histories empowers software teams in identifying potential code modification requirements. © 2023 Elsevier Inc.")</f>
        <v>Improving code quality is one of the most significant issues in the software industry. Deep learning is an emerging area of research for detecting code smells and addressing refactoring requirements. The aim of this study is to develop a deep learning-based system for code modification analysis to predict the locations and types of code modifications, while significantly reducing the need for manual labeling. We created an experimental dataset by collecting historical code data from open-source project repositories on the Internet. We introduce a novel class-level abstract syntax tree-based code embedding method for code analysis. A recurrent neural network was employed to effectively identify code modification requirements. Our system achieves an average accuracy of approximately 83% across different repositories and 86% for the entire dataset. These findings indicate that our system provides higher performance than the method-based and text-based code embedding approaches. In addition, we performed a comparative analysis with a static code analysis tool to justify the readiness of the proposed model for deployment. The correlation coefficient between the outputs demonstrates a significant correlation of 67%. Consequently, this research highlights that the deep learning-based analysis of code histories empowers software teams in identifying potential code modification requirements. © 2023 Elsevier Inc.</v>
      </c>
      <c r="H358" s="8" t="str">
        <f>IFERROR(__xludf.DUMMYFUNCTION("""COMPUTED_VALUE"""),"Abstract syntax tree; Code embedding; Code smell; Recurrent neural network; Refactoring")</f>
        <v>Abstract syntax tree; Code embedding; Code smell; Recurrent neural network; Refactoring</v>
      </c>
      <c r="I358" s="10" t="b">
        <v>0</v>
      </c>
      <c r="J358" s="10" t="b">
        <v>0</v>
      </c>
      <c r="K358" s="10" t="b">
        <v>0</v>
      </c>
      <c r="L358" s="10" t="b">
        <v>0</v>
      </c>
      <c r="M358" s="10" t="b">
        <v>0</v>
      </c>
      <c r="N358" s="10" t="b">
        <v>0</v>
      </c>
      <c r="O358" s="11" t="b">
        <f t="shared" si="1"/>
        <v>0</v>
      </c>
      <c r="P358" s="16" t="b">
        <v>0</v>
      </c>
      <c r="Q358" s="7"/>
    </row>
    <row r="359">
      <c r="A359" s="5" t="b">
        <v>1</v>
      </c>
      <c r="B359" s="5" t="s">
        <v>398</v>
      </c>
      <c r="C359" s="6" t="str">
        <f>IFERROR(__xludf.DUMMYFUNCTION("""COMPUTED_VALUE"""),"10.1016/j.jss.2014.06.007")</f>
        <v>10.1016/j.jss.2014.06.007</v>
      </c>
      <c r="D359" s="7" t="str">
        <f>IFERROR(__xludf.DUMMYFUNCTION("""COMPUTED_VALUE"""),"Siqueira F.L.; Silva P.S.M.")</f>
        <v>Siqueira F.L.; Silva P.S.M.</v>
      </c>
      <c r="E359" s="7" t="str">
        <f>IFERROR(__xludf.DUMMYFUNCTION("""COMPUTED_VALUE"""),"Transforming an enterprise model into a use case model in business process systems")</f>
        <v>Transforming an enterprise model into a use case model in business process systems</v>
      </c>
      <c r="F359" s="7" t="str">
        <f>IFERROR(__xludf.DUMMYFUNCTION("""COMPUTED_VALUE"""),"JSS")</f>
        <v>JSS</v>
      </c>
      <c r="G359" s="7" t="str">
        <f>IFERROR(__xludf.DUMMYFUNCTION("""COMPUTED_VALUE"""),"One of the responsibilities of requirements engineering is to transform stakeholder requirements into system and software requirements. For enterprise systems, this transformation must consider the enterprise context where the system will be deployed. Alt"&amp;"hough there are some approaches for detailing stakeholder requirements, some of them even considering the enterprise context, this task is executed manually. Based on model-driven engineering concepts, this study proposes a semi-automatic transformation f"&amp;"rom an enterprise model to a use case model. The enterprise model is used as a source of information about the stakeholder requirements and domain knowledge, while the use case model is used as software requirements model. This study presents the source a"&amp;"nd target metamodels, a set of transformation rules, and a tool to support the transformation. An experiment analyzes the use of the proposed transformation to investigate its benefits and if it can be used in practice, from the point of view of students "&amp;"in the context of a requirements refinement. The results indicate that the approach can be used in practice, as it did not influence the quality of the generated use cases. However, the empirical analysis does not indicate benefits of using the transforma"&amp;"tion, even if the qualitative results were positive. © 2014 Elsevier Inc.")</f>
        <v>One of the responsibilities of requirements engineering is to transform stakeholder requirements into system and software requirements. For enterprise systems, this transformation must consider the enterprise context where the system will be deployed. Although there are some approaches for detailing stakeholder requirements, some of them even considering the enterprise context, this task is executed manually. Based on model-driven engineering concepts, this study proposes a semi-automatic transformation from an enterprise model to a use case model. The enterprise model is used as a source of information about the stakeholder requirements and domain knowledge, while the use case model is used as software requirements model. This study presents the source and target metamodels, a set of transformation rules, and a tool to support the transformation. An experiment analyzes the use of the proposed transformation to investigate its benefits and if it can be used in practice, from the point of view of students in the context of a requirements refinement. The results indicate that the approach can be used in practice, as it did not influence the quality of the generated use cases. However, the empirical analysis does not indicate benefits of using the transformation, even if the qualitative results were positive. © 2014 Elsevier Inc.</v>
      </c>
      <c r="H359" s="8" t="str">
        <f>IFERROR(__xludf.DUMMYFUNCTION("""COMPUTED_VALUE"""),"Stakeholder requirement; Transformation; Use case")</f>
        <v>Stakeholder requirement; Transformation; Use case</v>
      </c>
      <c r="I359" s="9" t="b">
        <v>1</v>
      </c>
      <c r="J359" s="9" t="b">
        <v>1</v>
      </c>
      <c r="K359" s="9" t="b">
        <v>1</v>
      </c>
      <c r="L359" s="10" t="b">
        <v>0</v>
      </c>
      <c r="M359" s="10" t="b">
        <v>0</v>
      </c>
      <c r="N359" s="10" t="b">
        <v>0</v>
      </c>
      <c r="O359" s="11" t="b">
        <f t="shared" si="1"/>
        <v>1</v>
      </c>
      <c r="P359" s="12" t="b">
        <v>0</v>
      </c>
      <c r="Q359" s="13"/>
    </row>
    <row r="360">
      <c r="A360" s="5" t="b">
        <v>1</v>
      </c>
      <c r="B360" s="5" t="s">
        <v>399</v>
      </c>
      <c r="C360" s="6" t="str">
        <f>IFERROR(__xludf.DUMMYFUNCTION("""COMPUTED_VALUE"""),"10.1016/j.jss.2012.05.071")</f>
        <v>10.1016/j.jss.2012.05.071</v>
      </c>
      <c r="D360" s="7" t="str">
        <f>IFERROR(__xludf.DUMMYFUNCTION("""COMPUTED_VALUE"""),"Gong D.; Tian T.; Yao X.")</f>
        <v>Gong D.; Tian T.; Yao X.</v>
      </c>
      <c r="E360" s="7" t="str">
        <f>IFERROR(__xludf.DUMMYFUNCTION("""COMPUTED_VALUE"""),"Grouping target paths for evolutionary generation of test data in parallel")</f>
        <v>Grouping target paths for evolutionary generation of test data in parallel</v>
      </c>
      <c r="F360" s="7" t="str">
        <f>IFERROR(__xludf.DUMMYFUNCTION("""COMPUTED_VALUE"""),"JSS")</f>
        <v>JSS</v>
      </c>
      <c r="G360" s="7" t="str">
        <f>IFERROR(__xludf.DUMMYFUNCTION("""COMPUTED_VALUE"""),"Generating test data covering multiple paths using multi-population parallel genetic algorithms is a considerable important method. The premise on which the method above is efficient is appropriately grouping target paths. Effective methods of grouping ta"&amp;"rget paths, however, have been absent up to date. The problem of grouping target paths for generation of test data covering multiple paths is investigated, and a novel method of grouping target paths is presented. In this method, target paths are divided "&amp;"into several groups according to calculation resources available and similarities among target paths, making a small difference in the number of target paths belonging to different groups, and a great similarity among target paths in the same group. After"&amp;" grouping these target paths, a mathematical model is built for parallel generation of test data covering multiple paths, and a multi-population genetic algorithm is adopted to solve the model above. The proposed method is applied to several benchmark or "&amp;"industrial programs, and compared with a previous method. The experimental results show that the proposed method can make full use of calculation resources on the premise of meeting the requirement of path coverage, improving the efficiency of generating "&amp;"test data. © 2012 Elsevier Inc. All rights reserved.")</f>
        <v>Generating test data covering multiple paths using multi-population parallel genetic algorithms is a considerable important method. The premise on which the method above is efficient is appropriately grouping target paths. Effective methods of grouping target paths, however, have been absent up to date. The problem of grouping target paths for generation of test data covering multiple paths is investigated, and a novel method of grouping target paths is presented. In this method, target paths are divided into several groups according to calculation resources available and similarities among target paths, making a small difference in the number of target paths belonging to different groups, and a great similarity among target paths in the same group. After grouping these target paths, a mathematical model is built for parallel generation of test data covering multiple paths, and a multi-population genetic algorithm is adopted to solve the model above. The proposed method is applied to several benchmark or industrial programs, and compared with a previous method. The experimental results show that the proposed method can make full use of calculation resources on the premise of meeting the requirement of path coverage, improving the efficiency of generating test data. © 2012 Elsevier Inc. All rights reserved.</v>
      </c>
      <c r="H360" s="8" t="str">
        <f>IFERROR(__xludf.DUMMYFUNCTION("""COMPUTED_VALUE"""),"Multiple paths coverage; Software testing; Test data")</f>
        <v>Multiple paths coverage; Software testing; Test data</v>
      </c>
      <c r="I360" s="10" t="b">
        <v>0</v>
      </c>
      <c r="J360" s="10" t="b">
        <v>0</v>
      </c>
      <c r="K360" s="10" t="b">
        <v>0</v>
      </c>
      <c r="L360" s="10" t="b">
        <v>0</v>
      </c>
      <c r="M360" s="10" t="b">
        <v>0</v>
      </c>
      <c r="N360" s="10" t="b">
        <v>0</v>
      </c>
      <c r="O360" s="11" t="b">
        <f t="shared" si="1"/>
        <v>0</v>
      </c>
      <c r="P360" s="16" t="b">
        <v>0</v>
      </c>
      <c r="Q360" s="7"/>
    </row>
    <row r="361">
      <c r="A361" s="5" t="b">
        <v>1</v>
      </c>
      <c r="B361" s="5" t="s">
        <v>400</v>
      </c>
      <c r="C361" s="6" t="str">
        <f>IFERROR(__xludf.DUMMYFUNCTION("""COMPUTED_VALUE"""),"10.1016/j.jss.2016.09.061")</f>
        <v>10.1016/j.jss.2016.09.061</v>
      </c>
      <c r="D361" s="7" t="str">
        <f>IFERROR(__xludf.DUMMYFUNCTION("""COMPUTED_VALUE"""),"Chang C.-W.; Liu C.-Y.; Yang C.-Y.")</f>
        <v>Chang C.-W.; Liu C.-Y.; Yang C.-Y.</v>
      </c>
      <c r="E361" s="7" t="str">
        <f>IFERROR(__xludf.DUMMYFUNCTION("""COMPUTED_VALUE"""),"Energy-efficient heterogeneous resource management for wireless monitoring systems")</f>
        <v>Energy-efficient heterogeneous resource management for wireless monitoring systems</v>
      </c>
      <c r="F361" s="7" t="str">
        <f>IFERROR(__xludf.DUMMYFUNCTION("""COMPUTED_VALUE"""),"JSS")</f>
        <v>JSS</v>
      </c>
      <c r="G361" s="7" t="str">
        <f>IFERROR(__xludf.DUMMYFUNCTION("""COMPUTED_VALUE"""),"Various energy-saving designs have been proposed for reducing the power consumption of processors through dynamic voltage and frequency scaling (DVFS). When dynamic random access memory (DRAM) or peripheral power consumption is high, dynamic power managem"&amp;"ent (DPM) can be adopted to dynamically activate or deactivate devices or to switch them into energy-saving states during idle periods. This paper proposes a heterogeneous resource management mechanism to manage device scheduling for multiple tasks and ta"&amp;"sk scheduling in a processor. A wireless network monitoring system was analyzed as a case study, wherein a resource sharing mechanism was developed for managing the scheduling of multiple wireless adapters, and the concept of instantaneous utilization was"&amp;" leveraged to enable chain-based task scheduling. This paper explores DVFS and DPM energy saving techniques for peripherals and a processor by considering both the required device time and processor time for each task without violating performance require"&amp;"ments under constraints of buffer size. The proposed algorithms were then implemented on a wireless network monitoring system and real traces were collected from a laboratory and downloaded from the UMass Trace Repository for use as inputs. A series of ex"&amp;"periments was conducted to evaluate the quality of our algorithms for energy saving within the constraints of system performance requirements and hardware resources. © 2016")</f>
        <v>Various energy-saving designs have been proposed for reducing the power consumption of processors through dynamic voltage and frequency scaling (DVFS). When dynamic random access memory (DRAM) or peripheral power consumption is high, dynamic power management (DPM) can be adopted to dynamically activate or deactivate devices or to switch them into energy-saving states during idle periods. This paper proposes a heterogeneous resource management mechanism to manage device scheduling for multiple tasks and task scheduling in a processor. A wireless network monitoring system was analyzed as a case study, wherein a resource sharing mechanism was developed for managing the scheduling of multiple wireless adapters, and the concept of instantaneous utilization was leveraged to enable chain-based task scheduling. This paper explores DVFS and DPM energy saving techniques for peripherals and a processor by considering both the required device time and processor time for each task without violating performance requirements under constraints of buffer size. The proposed algorithms were then implemented on a wireless network monitoring system and real traces were collected from a laboratory and downloaded from the UMass Trace Repository for use as inputs. A series of experiments was conducted to evaluate the quality of our algorithms for energy saving within the constraints of system performance requirements and hardware resources. © 2016</v>
      </c>
      <c r="H361" s="8" t="str">
        <f>IFERROR(__xludf.DUMMYFUNCTION("""COMPUTED_VALUE"""),"Dynamic power management; Dynamic voltage and frequency scaling; Energy-saving designs; Heterogeneous resource management; Resource scheduling; Wireless monitoring systems")</f>
        <v>Dynamic power management; Dynamic voltage and frequency scaling; Energy-saving designs; Heterogeneous resource management; Resource scheduling; Wireless monitoring systems</v>
      </c>
      <c r="I361" s="10" t="b">
        <v>0</v>
      </c>
      <c r="J361" s="10" t="b">
        <v>0</v>
      </c>
      <c r="K361" s="10" t="b">
        <v>0</v>
      </c>
      <c r="L361" s="10" t="b">
        <v>0</v>
      </c>
      <c r="M361" s="10" t="b">
        <v>0</v>
      </c>
      <c r="N361" s="10" t="b">
        <v>0</v>
      </c>
      <c r="O361" s="11" t="b">
        <f t="shared" si="1"/>
        <v>0</v>
      </c>
      <c r="P361" s="16" t="b">
        <v>0</v>
      </c>
      <c r="Q361" s="7"/>
    </row>
    <row r="362">
      <c r="A362" s="5" t="b">
        <v>1</v>
      </c>
      <c r="B362" s="5" t="s">
        <v>401</v>
      </c>
      <c r="C362" s="6" t="str">
        <f>IFERROR(__xludf.DUMMYFUNCTION("""COMPUTED_VALUE"""),"10.1016/j.jss.2017.06.037")</f>
        <v>10.1016/j.jss.2017.06.037</v>
      </c>
      <c r="D362" s="7" t="str">
        <f>IFERROR(__xludf.DUMMYFUNCTION("""COMPUTED_VALUE"""),"Gutiérrez-Madroñal L.; Medina-Bulo I.; Domínguez-Jiménez J.J.")</f>
        <v>Gutiérrez-Madroñal L.; Medina-Bulo I.; Domínguez-Jiménez J.J.</v>
      </c>
      <c r="E362" s="7" t="str">
        <f>IFERROR(__xludf.DUMMYFUNCTION("""COMPUTED_VALUE"""),"IoT–TEG: Test event generator system")</f>
        <v>IoT–TEG: Test event generator system</v>
      </c>
      <c r="F362" s="7" t="str">
        <f>IFERROR(__xludf.DUMMYFUNCTION("""COMPUTED_VALUE"""),"JSS")</f>
        <v>JSS</v>
      </c>
      <c r="G362" s="7" t="str">
        <f>IFERROR(__xludf.DUMMYFUNCTION("""COMPUTED_VALUE"""),"Internet of Things (IoT) has been paid increasingly attention by the government, academe and industry all over the world. One of the main drawbacks of the IoT systems is the amount of information they have to handle. This information arrives as events tha"&amp;"t need to be processed in real time in order to make correct decisions. Given that processing the data is crucial, testing the IoT systems that will manage that information is required. In order to test IoT systems, it is necessary to generate a huge numb"&amp;"er of events with specific structures and values to test the functionalities required by these systems. As this task is very hard and very prone to error if done by hand, this paper addresses the automated generation of appropriate events for testing. For"&amp;" this purpose, a general specification to define event types and its representation are proposed and an event generator is developed based on this definition. Thanks to the adaptability of the proposed specification, the event generator can generate event"&amp;"s of an event type, or events which combine the relevant attributes of several event types. Results from experiments and real-world tests show that the developed system meets the demanded requirements. © 2017 Elsevier Inc.")</f>
        <v>Internet of Things (IoT) has been paid increasingly attention by the government, academe and industry all over the world. One of the main drawbacks of the IoT systems is the amount of information they have to handle. This information arrives as events that need to be processed in real time in order to make correct decisions. Given that processing the data is crucial, testing the IoT systems that will manage that information is required. In order to test IoT systems, it is necessary to generate a huge number of events with specific structures and values to test the functionalities required by these systems. As this task is very hard and very prone to error if done by hand, this paper addresses the automated generation of appropriate events for testing. For this purpose, a general specification to define event types and its representation are proposed and an event generator is developed based on this definition. Thanks to the adaptability of the proposed specification, the event generator can generate events of an event type, or events which combine the relevant attributes of several event types. Results from experiments and real-world tests show that the developed system meets the demanded requirements. © 2017 Elsevier Inc.</v>
      </c>
      <c r="H362" s="8" t="str">
        <f>IFERROR(__xludf.DUMMYFUNCTION("""COMPUTED_VALUE"""),"Complex event processing; Event generator; Event type definition; Internet of Things; Testing")</f>
        <v>Complex event processing; Event generator; Event type definition; Internet of Things; Testing</v>
      </c>
      <c r="I362" s="10" t="b">
        <v>0</v>
      </c>
      <c r="J362" s="10" t="b">
        <v>0</v>
      </c>
      <c r="K362" s="10" t="b">
        <v>0</v>
      </c>
      <c r="L362" s="10" t="b">
        <v>0</v>
      </c>
      <c r="M362" s="10" t="b">
        <v>0</v>
      </c>
      <c r="N362" s="10" t="b">
        <v>0</v>
      </c>
      <c r="O362" s="11" t="b">
        <f t="shared" si="1"/>
        <v>0</v>
      </c>
      <c r="P362" s="16" t="b">
        <v>0</v>
      </c>
      <c r="Q362" s="7"/>
    </row>
    <row r="363">
      <c r="A363" s="5" t="b">
        <v>1</v>
      </c>
      <c r="B363" s="5" t="s">
        <v>402</v>
      </c>
      <c r="C363" s="6" t="str">
        <f>IFERROR(__xludf.DUMMYFUNCTION("""COMPUTED_VALUE"""),"10.1016/j.jss.2021.110962")</f>
        <v>10.1016/j.jss.2021.110962</v>
      </c>
      <c r="D363" s="7" t="str">
        <f>IFERROR(__xludf.DUMMYFUNCTION("""COMPUTED_VALUE"""),"Chai M.; Wang H.; Tang T.; Liu H.")</f>
        <v>Chai M.; Wang H.; Tang T.; Liu H.</v>
      </c>
      <c r="E363" s="7" t="str">
        <f>IFERROR(__xludf.DUMMYFUNCTION("""COMPUTED_VALUE"""),"Runtime verification of train control systems with parameterized modal live sequence charts")</f>
        <v>Runtime verification of train control systems with parameterized modal live sequence charts</v>
      </c>
      <c r="F363" s="7" t="str">
        <f>IFERROR(__xludf.DUMMYFUNCTION("""COMPUTED_VALUE"""),"JSS")</f>
        <v>JSS</v>
      </c>
      <c r="G363" s="7" t="str">
        <f>IFERROR(__xludf.DUMMYFUNCTION("""COMPUTED_VALUE"""),"With the growing complexity of railway control systems, it is required to preform runtime safety checks of system executions that go beyond conventional runtime monitoring of pre-programmed safety conditions. Runtime verification is a lightweight and rigo"&amp;"rous formal method that dynamically analyses execution traces against some formal specifications. A challenge in applying this method in railway systems is defining a suitable monitoring specification language, i.e., a language that is expressive, of reas"&amp;"onable complexity, and easy to understand. In this paper, we propose parameterized modal live sequence charts (PMLSCs) by introducing the alphabet of the specification into charts to distinguish between silent events and unexpected events. We further inve"&amp;"stigate the expressiveness and complexity theories of the language. In particular, we prove that PMLSCs are closed under negation and the complexity of a subclass of PMLSCs is linear, which allows the language to be used to monitor a system online. Finall"&amp;"y, we use PMLSCs to monitor an RBC system in the Chinese high-speed railway and evaluate the performance. The experimental results show that the PMLSC has high monitoring efficiency, and can reduce false alarm rate by introducing alphabets of charts. © 20"&amp;"21 Elsevier Inc.")</f>
        <v>With the growing complexity of railway control systems, it is required to preform runtime safety checks of system executions that go beyond conventional runtime monitoring of pre-programmed safety conditions. Runtime verification is a lightweight and rigorous formal method that dynamically analyses execution traces against some formal specifications. A challenge in applying this method in railway systems is defining a suitable monitoring specification language, i.e., a language that is expressive, of reasonable complexity, and easy to understand. In this paper, we propose parameterized modal live sequence charts (PMLSCs) by introducing the alphabet of the specification into charts to distinguish between silent events and unexpected events. We further investigate the expressiveness and complexity theories of the language. In particular, we prove that PMLSCs are closed under negation and the complexity of a subclass of PMLSCs is linear, which allows the language to be used to monitor a system online. Finally, we use PMLSCs to monitor an RBC system in the Chinese high-speed railway and evaluate the performance. The experimental results show that the PMLSC has high monitoring efficiency, and can reduce false alarm rate by introducing alphabets of charts. © 2021 Elsevier Inc.</v>
      </c>
      <c r="H363" s="8" t="str">
        <f>IFERROR(__xludf.DUMMYFUNCTION("""COMPUTED_VALUE"""),"Live sequence chart; Runtime verification; Train control system")</f>
        <v>Live sequence chart; Runtime verification; Train control system</v>
      </c>
      <c r="I363" s="10" t="b">
        <v>0</v>
      </c>
      <c r="J363" s="10" t="b">
        <v>0</v>
      </c>
      <c r="K363" s="10" t="b">
        <v>0</v>
      </c>
      <c r="L363" s="10" t="b">
        <v>0</v>
      </c>
      <c r="M363" s="10" t="b">
        <v>0</v>
      </c>
      <c r="N363" s="10" t="b">
        <v>0</v>
      </c>
      <c r="O363" s="11" t="b">
        <f t="shared" si="1"/>
        <v>0</v>
      </c>
      <c r="P363" s="16" t="b">
        <v>0</v>
      </c>
      <c r="Q363" s="7"/>
    </row>
    <row r="364">
      <c r="A364" s="5" t="b">
        <v>1</v>
      </c>
      <c r="B364" s="5" t="s">
        <v>403</v>
      </c>
      <c r="C364" s="6" t="str">
        <f>IFERROR(__xludf.DUMMYFUNCTION("""COMPUTED_VALUE"""),"10.1016/j.jss.2015.05.006")</f>
        <v>10.1016/j.jss.2015.05.006</v>
      </c>
      <c r="D364" s="7" t="str">
        <f>IFERROR(__xludf.DUMMYFUNCTION("""COMPUTED_VALUE"""),"Bakar N.H.; Kasirun Z.M.; Salleh N.")</f>
        <v>Bakar N.H.; Kasirun Z.M.; Salleh N.</v>
      </c>
      <c r="E364" s="7" t="str">
        <f>IFERROR(__xludf.DUMMYFUNCTION("""COMPUTED_VALUE"""),"Feature extraction approaches from natural language requirements for reuse in software product lines: A systematic literature review")</f>
        <v>Feature extraction approaches from natural language requirements for reuse in software product lines: A systematic literature review</v>
      </c>
      <c r="F364" s="7" t="str">
        <f>IFERROR(__xludf.DUMMYFUNCTION("""COMPUTED_VALUE"""),"JSS")</f>
        <v>JSS</v>
      </c>
      <c r="G364" s="7" t="str">
        <f>IFERROR(__xludf.DUMMYFUNCTION("""COMPUTED_VALUE"""),"Abstract Requirements for implemented system can be extracted and reused for a production of a new similar system. Extraction of common and variable features from requirements leverages the benefits of the software product lines engineering (SPLE). Althou"&amp;"gh various approaches have been proposed in feature extractions from natural language (NL) requirements, no related literature review has been published to date for this topic. This paper provides a systematic literature review (SLR) of the state-of-the-a"&amp;"rt approaches in feature extractions from NL requirements for reuse in SPLE. We have included 13 studies in our synthesis of evidence and the results showed that hybrid natural language processing approaches were found to be in common for overall feature "&amp;"extraction process. A mixture of automated and semi-automated feature clustering approaches from data mining and information retrieval were also used to group common features, with only some approaches coming with support tools. However, most of the suppo"&amp;"rt tools proposed in the selected studies were not made available publicly and thus making it hard for practitioners' adoption. As for the evaluation, this SLR reveals that not all studies employed software metrics as ways to validate experiments and case"&amp;" studies. Finally, the quality assessment conducted confirms that practitioners' guidelines were absent in the selected studies. © 2015 Elsevier Inc. All rights reserved.")</f>
        <v>Abstract Requirements for implemented system can be extracted and reused for a production of a new similar system. Extraction of common and variable features from requirements leverages the benefits of the software product lines engineering (SPLE). Although various approaches have been proposed in feature extractions from natural language (NL) requirements, no related literature review has been published to date for this topic. This paper provides a systematic literature review (SLR) of the state-of-the-art approaches in feature extractions from NL requirements for reuse in SPLE. We have included 13 studies in our synthesis of evidence and the results showed that hybrid natural language processing approaches were found to be in common for overall feature extraction process. A mixture of automated and semi-automated feature clustering approaches from data mining and information retrieval were also used to group common features, with only some approaches coming with support tools. However, most of the support tools proposed in the selected studies were not made available publicly and thus making it hard for practitioners' adoption. As for the evaluation, this SLR reveals that not all studies employed software metrics as ways to validate experiments and case studies. Finally, the quality assessment conducted confirms that practitioners' guidelines were absent in the selected studies. © 2015 Elsevier Inc. All rights reserved.</v>
      </c>
      <c r="H364" s="8" t="str">
        <f>IFERROR(__xludf.DUMMYFUNCTION("""COMPUTED_VALUE"""),"Feature extractions; Natural language requirements; Requirements reuse; Software product lines; Systematic literature review")</f>
        <v>Feature extractions; Natural language requirements; Requirements reuse; Software product lines; Systematic literature review</v>
      </c>
      <c r="I364" s="10" t="b">
        <v>0</v>
      </c>
      <c r="J364" s="10" t="b">
        <v>0</v>
      </c>
      <c r="K364" s="10" t="b">
        <v>0</v>
      </c>
      <c r="L364" s="10" t="b">
        <v>0</v>
      </c>
      <c r="M364" s="10" t="b">
        <v>0</v>
      </c>
      <c r="N364" s="10" t="b">
        <v>0</v>
      </c>
      <c r="O364" s="11" t="b">
        <f t="shared" si="1"/>
        <v>0</v>
      </c>
      <c r="P364" s="16" t="b">
        <v>0</v>
      </c>
      <c r="Q364" s="7"/>
    </row>
    <row r="365">
      <c r="A365" s="5" t="b">
        <v>1</v>
      </c>
      <c r="B365" s="5" t="s">
        <v>404</v>
      </c>
      <c r="C365" s="6" t="str">
        <f>IFERROR(__xludf.DUMMYFUNCTION("""COMPUTED_VALUE"""),"10.1016/j.jss.2012.12.035")</f>
        <v>10.1016/j.jss.2012.12.035</v>
      </c>
      <c r="D365" s="7" t="str">
        <f>IFERROR(__xludf.DUMMYFUNCTION("""COMPUTED_VALUE"""),"Gu Q.; Cuadrado F.; Lago P.; Dueñas J.C.")</f>
        <v>Gu Q.; Cuadrado F.; Lago P.; Dueñas J.C.</v>
      </c>
      <c r="E365" s="7" t="str">
        <f>IFERROR(__xludf.DUMMYFUNCTION("""COMPUTED_VALUE"""),"3D architecture viewpoints on service automation")</f>
        <v>3D architecture viewpoints on service automation</v>
      </c>
      <c r="F365" s="7" t="str">
        <f>IFERROR(__xludf.DUMMYFUNCTION("""COMPUTED_VALUE"""),"JSS")</f>
        <v>JSS</v>
      </c>
      <c r="G365" s="7" t="str">
        <f>IFERROR(__xludf.DUMMYFUNCTION("""COMPUTED_VALUE"""),"Service-oriented architecture is an emerging paradigm for the execution of business-oriented as well as technical infrastructure processes by means of services. Automating the execution of services is of paramount importance in order to fulfill the needs "&amp;"of companies. However we have found that automation-although important-is seldom addressed explicitly as a concern when stating requirements or designing the software architecture of the service-based applications (SBAs). In this paper we define three arc"&amp;"hitectural viewpoints framing the concerns about service automation. These three viewpoints, called 3D (Decisions, Degree, Data), respectively: express architectural decisions about automation; help identifying the level (degree) of automation required, a"&amp;"nd represent the specific data required to support automation in services. They have been applied to three industrial case studies and one academic experiment. Results show that they successfully support both technical and non-technical stakeholders in un"&amp;"derstanding how, and communicating upon, their concerns related to service automation have been addressed. The application of the 3D service automation viewpoints to different domains exhibits promising reusability.© 2012 Elsevier Inc. All rights reserved"&amp;".")</f>
        <v>Service-oriented architecture is an emerging paradigm for the execution of business-oriented as well as technical infrastructure processes by means of services. Automating the execution of services is of paramount importance in order to fulfill the needs of companies. However we have found that automation-although important-is seldom addressed explicitly as a concern when stating requirements or designing the software architecture of the service-based applications (SBAs). In this paper we define three architectural viewpoints framing the concerns about service automation. These three viewpoints, called 3D (Decisions, Degree, Data), respectively: express architectural decisions about automation; help identifying the level (degree) of automation required, and represent the specific data required to support automation in services. They have been applied to three industrial case studies and one academic experiment. Results show that they successfully support both technical and non-technical stakeholders in understanding how, and communicating upon, their concerns related to service automation have been addressed. The application of the 3D service automation viewpoints to different domains exhibits promising reusability.© 2012 Elsevier Inc. All rights reserved.</v>
      </c>
      <c r="H365" s="8" t="str">
        <f>IFERROR(__xludf.DUMMYFUNCTION("""COMPUTED_VALUE"""),"Architecture viewpoint; Automation; Service-oriented architecture")</f>
        <v>Architecture viewpoint; Automation; Service-oriented architecture</v>
      </c>
      <c r="I365" s="10" t="b">
        <v>0</v>
      </c>
      <c r="J365" s="10" t="b">
        <v>0</v>
      </c>
      <c r="K365" s="10" t="b">
        <v>0</v>
      </c>
      <c r="L365" s="10" t="b">
        <v>0</v>
      </c>
      <c r="M365" s="10" t="b">
        <v>0</v>
      </c>
      <c r="N365" s="10" t="b">
        <v>0</v>
      </c>
      <c r="O365" s="11" t="b">
        <f t="shared" si="1"/>
        <v>0</v>
      </c>
      <c r="P365" s="16" t="b">
        <v>0</v>
      </c>
      <c r="Q365" s="7"/>
    </row>
    <row r="366">
      <c r="A366" s="5" t="b">
        <v>1</v>
      </c>
      <c r="B366" s="5" t="s">
        <v>405</v>
      </c>
      <c r="C366" s="6" t="str">
        <f>IFERROR(__xludf.DUMMYFUNCTION("""COMPUTED_VALUE"""),"10.1016/j.jss.2023.111854")</f>
        <v>10.1016/j.jss.2023.111854</v>
      </c>
      <c r="D366" s="7" t="str">
        <f>IFERROR(__xludf.DUMMYFUNCTION("""COMPUTED_VALUE"""),"Zhang X.; Zhang F.; Tang Z.; Chen X.")</f>
        <v>Zhang X.; Zhang F.; Tang Z.; Chen X.</v>
      </c>
      <c r="E366" s="7" t="str">
        <f>IFERROR(__xludf.DUMMYFUNCTION("""COMPUTED_VALUE"""),"A MILP model on coordinated coverage path planning system for UAV-ship hybrid team scheduling software")</f>
        <v>A MILP model on coordinated coverage path planning system for UAV-ship hybrid team scheduling software</v>
      </c>
      <c r="F366" s="7" t="str">
        <f>IFERROR(__xludf.DUMMYFUNCTION("""COMPUTED_VALUE"""),"JSS")</f>
        <v>JSS</v>
      </c>
      <c r="G366" s="7" t="str">
        <f>IFERROR(__xludf.DUMMYFUNCTION("""COMPUTED_VALUE"""),"Shipborne unmanned aerial vehicles (UAVs) are safer and more flexible for maritime missions, but frequent recharging is needed during long-term patrols. A coordinated system for path planning between ships and electric UAVs is necessary for efficient larg"&amp;"e-area coverage. A two-stage approach is proposed to minimize the makespan overall UAVs’ flight and the move distance overall ships combinationally. First, the target space is triangularized corresponding to the UAV camera field of view for generating air"&amp;" waypoints. Second, a MILP model is designed to connect suitable air waypoints for UAVs and marine waypoints for ship(s) to form the optimal path for them coordinating the requirements of the area coverage and the UAV recharging. The simulation experiment"&amp;"s show the proposed model works for the scenario of either the static or the dynamic motherships in a unified way. In the static mode, the vessels are not migrated and the number of vessels and ship calling points required is the same. In the dynamic mode"&amp;"l, the ship can be repositioned to recover and recharge the drone, and the task can be accomplished simply by repositioning the ship between waypoints. Dynamic models have better interaction patterns than static models. © 2023 The Author(s)")</f>
        <v>Shipborne unmanned aerial vehicles (UAVs) are safer and more flexible for maritime missions, but frequent recharging is needed during long-term patrols. A coordinated system for path planning between ships and electric UAVs is necessary for efficient large-area coverage. A two-stage approach is proposed to minimize the makespan overall UAVs’ flight and the move distance overall ships combinationally. First, the target space is triangularized corresponding to the UAV camera field of view for generating air waypoints. Second, a MILP model is designed to connect suitable air waypoints for UAVs and marine waypoints for ship(s) to form the optimal path for them coordinating the requirements of the area coverage and the UAV recharging. The simulation experiments show the proposed model works for the scenario of either the static or the dynamic motherships in a unified way. In the static mode, the vessels are not migrated and the number of vessels and ship calling points required is the same. In the dynamic model, the ship can be repositioned to recover and recharge the drone, and the task can be accomplished simply by repositioning the ship between waypoints. Dynamic models have better interaction patterns than static models. © 2023 The Author(s)</v>
      </c>
      <c r="H366" s="8" t="str">
        <f>IFERROR(__xludf.DUMMYFUNCTION("""COMPUTED_VALUE"""),"Coverage path planning system; Mixed integer linear programming; Scheduling software; Shipborne electric UAV; UAV-ship hybrid team")</f>
        <v>Coverage path planning system; Mixed integer linear programming; Scheduling software; Shipborne electric UAV; UAV-ship hybrid team</v>
      </c>
      <c r="I366" s="10" t="b">
        <v>0</v>
      </c>
      <c r="J366" s="10" t="b">
        <v>0</v>
      </c>
      <c r="K366" s="10" t="b">
        <v>0</v>
      </c>
      <c r="L366" s="10" t="b">
        <v>0</v>
      </c>
      <c r="M366" s="10" t="b">
        <v>0</v>
      </c>
      <c r="N366" s="10" t="b">
        <v>0</v>
      </c>
      <c r="O366" s="11" t="b">
        <f t="shared" si="1"/>
        <v>0</v>
      </c>
      <c r="P366" s="16" t="b">
        <v>0</v>
      </c>
      <c r="Q366" s="7"/>
    </row>
    <row r="367">
      <c r="A367" s="5" t="b">
        <v>1</v>
      </c>
      <c r="B367" s="5" t="s">
        <v>406</v>
      </c>
      <c r="C367" s="6" t="str">
        <f>IFERROR(__xludf.DUMMYFUNCTION("""COMPUTED_VALUE"""),"10.1016/j.jss.2011.11.005")</f>
        <v>10.1016/j.jss.2011.11.005</v>
      </c>
      <c r="D367" s="7" t="str">
        <f>IFERROR(__xludf.DUMMYFUNCTION("""COMPUTED_VALUE"""),"Arsalan M.; Malik S.A.; Khan A.")</f>
        <v>Arsalan M.; Malik S.A.; Khan A.</v>
      </c>
      <c r="E367" s="7" t="str">
        <f>IFERROR(__xludf.DUMMYFUNCTION("""COMPUTED_VALUE"""),"Intelligent reversible watermarking in integer wavelet domain for medical images")</f>
        <v>Intelligent reversible watermarking in integer wavelet domain for medical images</v>
      </c>
      <c r="F367" s="7" t="str">
        <f>IFERROR(__xludf.DUMMYFUNCTION("""COMPUTED_VALUE"""),"JSS")</f>
        <v>JSS</v>
      </c>
      <c r="G367" s="7" t="str">
        <f>IFERROR(__xludf.DUMMYFUNCTION("""COMPUTED_VALUE"""),"The prime requirement of reversible watermarking scheme is that the system should be able to restore the cover work to its original state after extracting the hidden information. Reversible watermarking approaches, therefore, have wide applications in med"&amp;"ical and defense imagery. In this paper, an intelligent reversible watermarking approach GA-RevWM for medical images is proposed. GA-RevWM is based on the concept of block-based embedding using genetic algorithm (GA) and integer wavelet transform (IWT). G"&amp;"A based intelligent threshold selection scheme is applied to improve the imperceptibility for a fixed payload or vice versa. The experimental results show that GA-RevWM provides significant improvement in terms of imperceptibility for a desired level of p"&amp;"ayload against the existing approaches. © 2011 Elsevier Inc. All rights reserved.")</f>
        <v>The prime requirement of reversible watermarking scheme is that the system should be able to restore the cover work to its original state after extracting the hidden information. Reversible watermarking approaches, therefore, have wide applications in medical and defense imagery. In this paper, an intelligent reversible watermarking approach GA-RevWM for medical images is proposed. GA-RevWM is based on the concept of block-based embedding using genetic algorithm (GA) and integer wavelet transform (IWT). GA based intelligent threshold selection scheme is applied to improve the imperceptibility for a fixed payload or vice versa. The experimental results show that GA-RevWM provides significant improvement in terms of imperceptibility for a desired level of payload against the existing approaches. © 2011 Elsevier Inc. All rights reserved.</v>
      </c>
      <c r="H367" s="8" t="str">
        <f>IFERROR(__xludf.DUMMYFUNCTION("""COMPUTED_VALUE"""),"Genetic algorithm (GA); Histogram recovery; Integer wavelet transform (IWT); Medical images; Reversible watermarking")</f>
        <v>Genetic algorithm (GA); Histogram recovery; Integer wavelet transform (IWT); Medical images; Reversible watermarking</v>
      </c>
      <c r="I367" s="10" t="b">
        <v>0</v>
      </c>
      <c r="J367" s="10" t="b">
        <v>0</v>
      </c>
      <c r="K367" s="10" t="b">
        <v>0</v>
      </c>
      <c r="L367" s="10" t="b">
        <v>0</v>
      </c>
      <c r="M367" s="10" t="b">
        <v>0</v>
      </c>
      <c r="N367" s="10" t="b">
        <v>0</v>
      </c>
      <c r="O367" s="11" t="b">
        <f t="shared" si="1"/>
        <v>0</v>
      </c>
      <c r="P367" s="16" t="b">
        <v>0</v>
      </c>
      <c r="Q367" s="7"/>
    </row>
    <row r="368">
      <c r="A368" s="5" t="b">
        <v>1</v>
      </c>
      <c r="B368" s="5" t="s">
        <v>407</v>
      </c>
      <c r="C368" s="6" t="str">
        <f>IFERROR(__xludf.DUMMYFUNCTION("""COMPUTED_VALUE"""),"10.1016/j.jss.2019.04.058")</f>
        <v>10.1016/j.jss.2019.04.058</v>
      </c>
      <c r="D368" s="7" t="str">
        <f>IFERROR(__xludf.DUMMYFUNCTION("""COMPUTED_VALUE"""),"Gill S.S.; Garraghan P.; Buyya R.")</f>
        <v>Gill S.S.; Garraghan P.; Buyya R.</v>
      </c>
      <c r="E368" s="7" t="str">
        <f>IFERROR(__xludf.DUMMYFUNCTION("""COMPUTED_VALUE"""),"ROUTER: Fog enabled cloud based intelligent resource management approach for smart home IoT devices")</f>
        <v>ROUTER: Fog enabled cloud based intelligent resource management approach for smart home IoT devices</v>
      </c>
      <c r="F368" s="7" t="str">
        <f>IFERROR(__xludf.DUMMYFUNCTION("""COMPUTED_VALUE"""),"JSS")</f>
        <v>JSS</v>
      </c>
      <c r="G368" s="7" t="str">
        <f>IFERROR(__xludf.DUMMYFUNCTION("""COMPUTED_VALUE"""),"There is a growing requirement for Internet of Things (IoT) infrastructure to ensure low response time to provision latency-sensitive real-time applications such as health monitoring, disaster management, and smart homes. Fog computing offers a means to p"&amp;"rovide such requirements, via a virtualized intermediate layer to provide data, computation, storage, and networking services between Cloud datacenters and end users. A key element within such Fog computing environments is resource management. While there"&amp;" are existing resource manager in Fog computing, they only focus on a subset of parameters important to Fog resource management encompassing system response time, network bandwidth, energy consumption and latency. To date no existing Fog resource manager "&amp;"considers these parameters simultaneously for decision making, which in the context of smart homes will become increasingly key. In this paper, we propose a novel resource management technique (ROUTER) for fog-enabled Cloud computing environments, which l"&amp;"everages Particle Swarm Optimization to optimize simultaneously. The approach is validated within an IoT-based smart home automation scenario, and evaluated within iFogSim toolkit driven by empirical models within a small-scale smart home experiment. Resu"&amp;"lts demonstrate our approach results a reduction of 12% network bandwidth, 10% response time, 14% latency and 12.35% in energy consumption. © 2019 Elsevier Inc.")</f>
        <v>There is a growing requirement for Internet of Things (IoT) infrastructure to ensure low response time to provision latency-sensitive real-time applications such as health monitoring, disaster management, and smart homes. Fog computing offers a means to provide such requirements, via a virtualized intermediate layer to provide data, computation, storage, and networking services between Cloud datacenters and end users. A key element within such Fog computing environments is resource management. While there are existing resource manager in Fog computing, they only focus on a subset of parameters important to Fog resource management encompassing system response time, network bandwidth, energy consumption and latency. To date no existing Fog resource manager considers these parameters simultaneously for decision making, which in the context of smart homes will become increasingly key. In this paper, we propose a novel resource management technique (ROUTER) for fog-enabled Cloud computing environments, which leverages Particle Swarm Optimization to optimize simultaneously. The approach is validated within an IoT-based smart home automation scenario, and evaluated within iFogSim toolkit driven by empirical models within a small-scale smart home experiment. Results demonstrate our approach results a reduction of 12% network bandwidth, 10% response time, 14% latency and 12.35% in energy consumption. © 2019 Elsevier Inc.</v>
      </c>
      <c r="H368" s="8" t="str">
        <f>IFERROR(__xludf.DUMMYFUNCTION("""COMPUTED_VALUE"""),"Cloud computing; Edge computing; Fog computing; Internet of things; Resource management; Smart home")</f>
        <v>Cloud computing; Edge computing; Fog computing; Internet of things; Resource management; Smart home</v>
      </c>
      <c r="I368" s="10" t="b">
        <v>0</v>
      </c>
      <c r="J368" s="10" t="b">
        <v>0</v>
      </c>
      <c r="K368" s="10" t="b">
        <v>0</v>
      </c>
      <c r="L368" s="10" t="b">
        <v>0</v>
      </c>
      <c r="M368" s="10" t="b">
        <v>0</v>
      </c>
      <c r="N368" s="10" t="b">
        <v>0</v>
      </c>
      <c r="O368" s="11" t="b">
        <f t="shared" si="1"/>
        <v>0</v>
      </c>
      <c r="P368" s="16" t="b">
        <v>0</v>
      </c>
      <c r="Q368" s="7"/>
    </row>
    <row r="369">
      <c r="A369" s="5" t="b">
        <v>1</v>
      </c>
      <c r="B369" s="5" t="s">
        <v>408</v>
      </c>
      <c r="C369" s="6" t="str">
        <f>IFERROR(__xludf.DUMMYFUNCTION("""COMPUTED_VALUE"""),"10.1016/j.jss.2012.07.043")</f>
        <v>10.1016/j.jss.2012.07.043</v>
      </c>
      <c r="D369" s="7" t="str">
        <f>IFERROR(__xludf.DUMMYFUNCTION("""COMPUTED_VALUE"""),"Fernandez A.; Abrahão S.; Insfran E.")</f>
        <v>Fernandez A.; Abrahão S.; Insfran E.</v>
      </c>
      <c r="E369" s="7" t="str">
        <f>IFERROR(__xludf.DUMMYFUNCTION("""COMPUTED_VALUE"""),"Empirical validation of a usability inspection method for model-driven Web development")</f>
        <v>Empirical validation of a usability inspection method for model-driven Web development</v>
      </c>
      <c r="F369" s="7" t="str">
        <f>IFERROR(__xludf.DUMMYFUNCTION("""COMPUTED_VALUE"""),"JSS")</f>
        <v>JSS</v>
      </c>
      <c r="G369" s="7" t="str">
        <f>IFERROR(__xludf.DUMMYFUNCTION("""COMPUTED_VALUE"""),"Web applications should be usable in order to be accepted by users and to improve their success probability. Despite the fact that this requirement has promoted the emergence of several usability evaluation methods, there is a need for empirically validat"&amp;"ed methods that provide evidence about their effectiveness and that can be properly integrated into early stages of Web development processes. Model-driven Web development processes have grown in popularity over the last few years, and offer a suitable co"&amp;"ntext in which to perform early usability evaluations due to their intrinsic traceability mechanisms. These issues have motivated us to propose a Web Usability Evaluation Process (WUEP) which can be integrated into model-driven Web development processes. "&amp;"This paper presents a family of experiments that we have carried out to empirically validate WUEP. The family of experiments was carried out by 64 participants, including PhD and Master's computer science students. The objective of the experiments was to "&amp;"evaluate the participants' effectiveness, efficiency, perceived ease of use and perceived satisfaction when using WUEP in comparison to an industrial widely used inspection method: Heuristic Evaluation (HE). The statistical analysis and meta-analysis of t"&amp;"he data obtained separately from each experiment indicated that WUEP is more effective and efficient than HE in the detection of usability problems. The evaluators were also more satisfied when applying WUEP, and found it easier to use than HE. Although f"&amp;"urther experiments must be carried out to strengthen these results, WUEP has proved to be a promising usability inspection method for Web applications which have been developed by using model-driven development processes. © 2012 Elsevier Inc. All rights r"&amp;"eserved.")</f>
        <v>Web applications should be usable in order to be accepted by users and to improve their success probability. Despite the fact that this requirement has promoted the emergence of several usability evaluation methods, there is a need for empirically validated methods that provide evidence about their effectiveness and that can be properly integrated into early stages of Web development processes. Model-driven Web development processes have grown in popularity over the last few years, and offer a suitable context in which to perform early usability evaluations due to their intrinsic traceability mechanisms. These issues have motivated us to propose a Web Usability Evaluation Process (WUEP) which can be integrated into model-driven Web development processes. This paper presents a family of experiments that we have carried out to empirically validate WUEP. The family of experiments was carried out by 64 participants, including PhD and Master's computer science students. The objective of the experiments was to evaluate the participants' effectiveness, efficiency, perceived ease of use and perceived satisfaction when using WUEP in comparison to an industrial widely used inspection method: Heuristic Evaluation (HE). The statistical analysis and meta-analysis of the data obtained separately from each experiment indicated that WUEP is more effective and efficient than HE in the detection of usability problems. The evaluators were also more satisfied when applying WUEP, and found it easier to use than HE. Although further experiments must be carried out to strengthen these results, WUEP has proved to be a promising usability inspection method for Web applications which have been developed by using model-driven development processes. © 2012 Elsevier Inc. All rights reserved.</v>
      </c>
      <c r="H369" s="8" t="str">
        <f>IFERROR(__xludf.DUMMYFUNCTION("""COMPUTED_VALUE"""),"Family of experiments; Model-driven development; Usability inspection; Web applications")</f>
        <v>Family of experiments; Model-driven development; Usability inspection; Web applications</v>
      </c>
      <c r="I369" s="9" t="b">
        <v>1</v>
      </c>
      <c r="J369" s="10" t="b">
        <v>0</v>
      </c>
      <c r="K369" s="9" t="b">
        <v>1</v>
      </c>
      <c r="L369" s="10" t="b">
        <v>0</v>
      </c>
      <c r="M369" s="10" t="b">
        <v>0</v>
      </c>
      <c r="N369" s="10" t="b">
        <v>0</v>
      </c>
      <c r="O369" s="11" t="b">
        <f t="shared" si="1"/>
        <v>0</v>
      </c>
      <c r="P369" s="16" t="b">
        <v>0</v>
      </c>
      <c r="Q369" s="7"/>
    </row>
    <row r="370">
      <c r="A370" s="5" t="b">
        <v>1</v>
      </c>
      <c r="B370" s="5" t="s">
        <v>409</v>
      </c>
      <c r="C370" s="6" t="str">
        <f>IFERROR(__xludf.DUMMYFUNCTION("""COMPUTED_VALUE"""),"10.1016/j.jss.2021.110924")</f>
        <v>10.1016/j.jss.2021.110924</v>
      </c>
      <c r="D370" s="7" t="str">
        <f>IFERROR(__xludf.DUMMYFUNCTION("""COMPUTED_VALUE"""),"Vayghan L.A.; Saied M.A.; Toeroe M.; Khendek F.")</f>
        <v>Vayghan L.A.; Saied M.A.; Toeroe M.; Khendek F.</v>
      </c>
      <c r="E370" s="7" t="str">
        <f>IFERROR(__xludf.DUMMYFUNCTION("""COMPUTED_VALUE"""),"A Kubernetes controller for managing the availability of elastic microservice based stateful applications")</f>
        <v>A Kubernetes controller for managing the availability of elastic microservice based stateful applications</v>
      </c>
      <c r="F370" s="7" t="str">
        <f>IFERROR(__xludf.DUMMYFUNCTION("""COMPUTED_VALUE"""),"JSS")</f>
        <v>JSS</v>
      </c>
      <c r="G370" s="7" t="str">
        <f>IFERROR(__xludf.DUMMYFUNCTION("""COMPUTED_VALUE"""),"The architectural style of microservices has been gaining popularity in recent years. In this architectural style, small and loosely coupled modules are deployed and scaled independently to compose cloud-native applications. Carrier-grade service provider"&amp;"s are migrating their legacy applications to a microservice based architecture running on Kubernetes which is an open source platform for orchestrating containerized microservice based applications. However, in this migration, service availability remains"&amp;" a concern. Service availability is measured as the percentage of time the service is provisioned. High Availability (HA) is achieved when the service is available at least 99.999% of the time. In this paper, we identify possible architectures for deployi"&amp;"ng stateful microservice based applications with Kubernetes and evaluate Kubernetes from the perspective of availability it provides for its managed applications. The results of our experiments show that the repair actions of Kubernetes cannot satisfy HA "&amp;"requirements, and in some cases cannot guarantee service recovery. Therefore, we propose an HA State Controller which integrates with Kubernetes and allows for application state replication and automatic service redirection to the healthy microservice ins"&amp;"tances by enabling service recovery in addition to the repair actions of Kubernetes. Based on experiments we evaluate our solution and compare the different architectures from the perspective of availability and scaling overhead. The results of our invest"&amp;"igations show that our solution can improve the recovery time of stateful microservice based applications by 50%. © 2021 Elsevier Inc.")</f>
        <v>The architectural style of microservices has been gaining popularity in recent years. In this architectural style, small and loosely coupled modules are deployed and scaled independently to compose cloud-native applications. Carrier-grade service providers are migrating their legacy applications to a microservice based architecture running on Kubernetes which is an open source platform for orchestrating containerized microservice based applications. However, in this migration, service availability remains a concern. Service availability is measured as the percentage of time the service is provisioned. High Availability (HA) is achieved when the service is available at least 99.999% of the time. In this paper, we identify possible architectures for deploying stateful microservice based applications with Kubernetes and evaluate Kubernetes from the perspective of availability it provides for its managed applications. The results of our experiments show that the repair actions of Kubernetes cannot satisfy HA requirements, and in some cases cannot guarantee service recovery. Therefore, we propose an HA State Controller which integrates with Kubernetes and allows for application state replication and automatic service redirection to the healthy microservice instances by enabling service recovery in addition to the repair actions of Kubernetes. Based on experiments we evaluate our solution and compare the different architectures from the perspective of availability and scaling overhead. The results of our investigations show that our solution can improve the recovery time of stateful microservice based applications by 50%. © 2021 Elsevier Inc.</v>
      </c>
      <c r="H370" s="8" t="str">
        <f>IFERROR(__xludf.DUMMYFUNCTION("""COMPUTED_VALUE"""),"Availability; Containers; Elasticity; Failure; Kubernetes; Microservices")</f>
        <v>Availability; Containers; Elasticity; Failure; Kubernetes; Microservices</v>
      </c>
      <c r="I370" s="10" t="b">
        <v>0</v>
      </c>
      <c r="J370" s="10" t="b">
        <v>0</v>
      </c>
      <c r="K370" s="10" t="b">
        <v>0</v>
      </c>
      <c r="L370" s="10" t="b">
        <v>0</v>
      </c>
      <c r="M370" s="10" t="b">
        <v>0</v>
      </c>
      <c r="N370" s="10" t="b">
        <v>0</v>
      </c>
      <c r="O370" s="11" t="b">
        <f t="shared" si="1"/>
        <v>0</v>
      </c>
      <c r="P370" s="16" t="b">
        <v>0</v>
      </c>
      <c r="Q370" s="7"/>
    </row>
    <row r="371">
      <c r="A371" s="5" t="b">
        <v>1</v>
      </c>
      <c r="B371" s="5" t="s">
        <v>410</v>
      </c>
      <c r="C371" s="6" t="str">
        <f>IFERROR(__xludf.DUMMYFUNCTION("""COMPUTED_VALUE"""),"10.1016/j.jss.2022.111559")</f>
        <v>10.1016/j.jss.2022.111559</v>
      </c>
      <c r="D371" s="7" t="str">
        <f>IFERROR(__xludf.DUMMYFUNCTION("""COMPUTED_VALUE"""),"Liu P.; Xia Q.; Liu K.; Guo J.; Wang X.; Liu J.; Grundy J.; Li L.")</f>
        <v>Liu P.; Xia Q.; Liu K.; Guo J.; Wang X.; Liu J.; Grundy J.; Li L.</v>
      </c>
      <c r="E371" s="7" t="str">
        <f>IFERROR(__xludf.DUMMYFUNCTION("""COMPUTED_VALUE"""),"Towards automated Android app internationalisation: An exploratory study")</f>
        <v>Towards automated Android app internationalisation: An exploratory study</v>
      </c>
      <c r="F371" s="7" t="str">
        <f>IFERROR(__xludf.DUMMYFUNCTION("""COMPUTED_VALUE"""),"JSS")</f>
        <v>JSS</v>
      </c>
      <c r="G371" s="7" t="str">
        <f>IFERROR(__xludf.DUMMYFUNCTION("""COMPUTED_VALUE"""),"Android has become the most popular mobile platform with over 2.5 billion active users who use many different languages across many different countries. In order for Android apps to be useable by all of them, app developers usually need to add an internat"&amp;"ionalisation feature that adapts the app to the users’ linguistic and cultural requirements. Such a process, including the translation from the default language to up to thousands of languages, is usually achieved via manual efforts and hence is resource-"&amp;"intensive, time-consuming, and error-prone. Automated approaches are hence in demand to help developers mitigate such manual efforts. Since there are millions of apps proposed already for Android users, we are interested in knowing to what extent internat"&amp;"ionalisation has been supported. Our experimental results show that Android apps, at least the ones released on online markets, have mostly been equipped with internationalisation features, with the number of supported languages varies significantly. By m"&amp;"apping the actual term translations among different languages, we further find that the translations tend to be consistent among different apps, suggesting the possibility to learn from this data to achieve automated app internalisation. To explore this i"&amp;"dea we implemented a Transformer-based prototype approach Androi18n, that learns from developers’ practical translations to achieve automated mobile app text translations. Experimental results show that Androi18n is effective in achieving our objective, a"&amp;"nd its high performance is generic across the translations of different languages. © 2022 Elsevier Inc.")</f>
        <v>Android has become the most popular mobile platform with over 2.5 billion active users who use many different languages across many different countries. In order for Android apps to be useable by all of them, app developers usually need to add an internationalisation feature that adapts the app to the users’ linguistic and cultural requirements. Such a process, including the translation from the default language to up to thousands of languages, is usually achieved via manual efforts and hence is resource-intensive, time-consuming, and error-prone. Automated approaches are hence in demand to help developers mitigate such manual efforts. Since there are millions of apps proposed already for Android users, we are interested in knowing to what extent internationalisation has been supported. Our experimental results show that Android apps, at least the ones released on online markets, have mostly been equipped with internationalisation features, with the number of supported languages varies significantly. By mapping the actual term translations among different languages, we further find that the translations tend to be consistent among different apps, suggesting the possibility to learn from this data to achieve automated app internalisation. To explore this idea we implemented a Transformer-based prototype approach Androi18n, that learns from developers’ practical translations to achieve automated mobile app text translations. Experimental results show that Androi18n is effective in achieving our objective, and its high performance is generic across the translations of different languages. © 2022 Elsevier Inc.</v>
      </c>
      <c r="H371" s="8" t="str">
        <f>IFERROR(__xludf.DUMMYFUNCTION("""COMPUTED_VALUE"""),"Android; Apps; Internationalisation; Languages")</f>
        <v>Android; Apps; Internationalisation; Languages</v>
      </c>
      <c r="I371" s="10" t="b">
        <v>0</v>
      </c>
      <c r="J371" s="10" t="b">
        <v>0</v>
      </c>
      <c r="K371" s="10" t="b">
        <v>0</v>
      </c>
      <c r="L371" s="10" t="b">
        <v>0</v>
      </c>
      <c r="M371" s="10" t="b">
        <v>0</v>
      </c>
      <c r="N371" s="10" t="b">
        <v>0</v>
      </c>
      <c r="O371" s="11" t="b">
        <f t="shared" si="1"/>
        <v>0</v>
      </c>
      <c r="P371" s="16" t="b">
        <v>0</v>
      </c>
      <c r="Q371" s="7"/>
    </row>
    <row r="372">
      <c r="A372" s="5" t="b">
        <v>1</v>
      </c>
      <c r="B372" s="5" t="s">
        <v>411</v>
      </c>
      <c r="C372" s="6" t="str">
        <f>IFERROR(__xludf.DUMMYFUNCTION("""COMPUTED_VALUE"""),"10.1016/j.jss.2017.07.031")</f>
        <v>10.1016/j.jss.2017.07.031</v>
      </c>
      <c r="D372" s="7" t="str">
        <f>IFERROR(__xludf.DUMMYFUNCTION("""COMPUTED_VALUE"""),"Yanes N.; Ben Sassi S.; Hajjami Ben Ghezala H.")</f>
        <v>Yanes N.; Ben Sassi S.; Hajjami Ben Ghezala H.</v>
      </c>
      <c r="E372" s="7" t="str">
        <f>IFERROR(__xludf.DUMMYFUNCTION("""COMPUTED_VALUE"""),"Ontology-based recommender system for COTS components")</f>
        <v>Ontology-based recommender system for COTS components</v>
      </c>
      <c r="F372" s="7" t="str">
        <f>IFERROR(__xludf.DUMMYFUNCTION("""COMPUTED_VALUE"""),"JSS")</f>
        <v>JSS</v>
      </c>
      <c r="G372" s="7" t="str">
        <f>IFERROR(__xludf.DUMMYFUNCTION("""COMPUTED_VALUE"""),"Commercial Off-The-Shelf (COTS) components are coarse-grained software components that satisfy high-level requirements by integrating several services and offering several interfaces. They are usually used to build larger systems. The paper proposes an on"&amp;"tology-based recommender system for COTS components, that contributes to COTS-based development by improving COTS components identification. It combines into a single framework information retrieval technologies and knowledge about COTS components and use"&amp;"rs in order to provide the most relevant COTS components meeting users needs. The recommender system is based on (1) an ontology of COTS components, named ONTOCOTS, that describes COTS components and unifies their heterogeneous descriptions available on t"&amp;"he Web, and (2) a user model that represents user preferences and interest domains. The proposed recommender system is broken down on two main processes. The first one is responsible for extracting information about COTS components from COTS repositories "&amp;"and representing it as ONTOCOTS instances. The second one is the recommendation process during which the user query is expanded using the linguistic ontology WordNet, and is used along with the user profile and the domain ontology ODP (Open Directory Proj"&amp;"ect) to generate a formal query. Results list is ranked according to the satisfaction degree of user requirements and preferences. Experimentations show an amelioration in recommendations relevance by placing the relevant COTS components at the top of the"&amp;" recommendation list. © 2017 Elsevier Inc.")</f>
        <v>Commercial Off-The-Shelf (COTS) components are coarse-grained software components that satisfy high-level requirements by integrating several services and offering several interfaces. They are usually used to build larger systems. The paper proposes an ontology-based recommender system for COTS components, that contributes to COTS-based development by improving COTS components identification. It combines into a single framework information retrieval technologies and knowledge about COTS components and users in order to provide the most relevant COTS components meeting users needs. The recommender system is based on (1) an ontology of COTS components, named ONTOCOTS, that describes COTS components and unifies their heterogeneous descriptions available on the Web, and (2) a user model that represents user preferences and interest domains. The proposed recommender system is broken down on two main processes. The first one is responsible for extracting information about COTS components from COTS repositories and representing it as ONTOCOTS instances. The second one is the recommendation process during which the user query is expanded using the linguistic ontology WordNet, and is used along with the user profile and the domain ontology ODP (Open Directory Project) to generate a formal query. Results list is ranked according to the satisfaction degree of user requirements and preferences. Experimentations show an amelioration in recommendations relevance by placing the relevant COTS components at the top of the recommendation list. © 2017 Elsevier Inc.</v>
      </c>
      <c r="H372" s="8" t="str">
        <f>IFERROR(__xludf.DUMMYFUNCTION("""COMPUTED_VALUE"""),"COTS component; Identification; Information extraction; Ontology; Recommender system; User model")</f>
        <v>COTS component; Identification; Information extraction; Ontology; Recommender system; User model</v>
      </c>
      <c r="I372" s="10" t="b">
        <v>0</v>
      </c>
      <c r="J372" s="10" t="b">
        <v>0</v>
      </c>
      <c r="K372" s="10" t="b">
        <v>0</v>
      </c>
      <c r="L372" s="10" t="b">
        <v>0</v>
      </c>
      <c r="M372" s="10" t="b">
        <v>0</v>
      </c>
      <c r="N372" s="10" t="b">
        <v>0</v>
      </c>
      <c r="O372" s="11" t="b">
        <f t="shared" si="1"/>
        <v>0</v>
      </c>
      <c r="P372" s="16" t="b">
        <v>0</v>
      </c>
      <c r="Q372" s="7"/>
    </row>
    <row r="373">
      <c r="A373" s="5" t="b">
        <v>1</v>
      </c>
      <c r="B373" s="5" t="s">
        <v>412</v>
      </c>
      <c r="C373" s="6" t="str">
        <f>IFERROR(__xludf.DUMMYFUNCTION("""COMPUTED_VALUE"""),"10.1016/j.jss.2021.110987")</f>
        <v>10.1016/j.jss.2021.110987</v>
      </c>
      <c r="D373" s="7" t="str">
        <f>IFERROR(__xludf.DUMMYFUNCTION("""COMPUTED_VALUE"""),"Paulweber P.; Simhandl G.; Zdun U.")</f>
        <v>Paulweber P.; Simhandl G.; Zdun U.</v>
      </c>
      <c r="E373" s="7" t="str">
        <f>IFERROR(__xludf.DUMMYFUNCTION("""COMPUTED_VALUE"""),"On the Understandability of Language Constructs to Structure the State and Behavior in Abstract State Machine Specifications: A Controlled Experiment")</f>
        <v>On the Understandability of Language Constructs to Structure the State and Behavior in Abstract State Machine Specifications: A Controlled Experiment</v>
      </c>
      <c r="F373" s="7" t="str">
        <f>IFERROR(__xludf.DUMMYFUNCTION("""COMPUTED_VALUE"""),"JSS")</f>
        <v>JSS</v>
      </c>
      <c r="G373" s="7" t="str">
        <f>IFERROR(__xludf.DUMMYFUNCTION("""COMPUTED_VALUE"""),"Abstract State Machine (ASM) theory is a well-known state-based formal method to analyze and specify software and hardware systems. As in other state-based formal methods, the proposed modeling languages for ASMs still lack easy-to-comprehend abstractions"&amp;" to structure state and behavior aspects of specifications. Modern object-oriented languages offer a variety of advanced language constructs, and most of them either offer interfaces, mixins, or traits in addition to classes and inheritance. Our goal is t"&amp;"o investigate these language constructs in the context of state-based formal methods using ASMs as a representative of this kind of formal methods. We report on a controlled experiment with 105 participants to study the understandability of the three lang"&amp;"uage constructs in the context of ASMs. Our hypotheses are influenced by the debate of object-oriented communities. We hypothesized that the understandability (measured by correctness and duration variables) shows significantly better understanding for in"&amp;"terfaces and traits compared to mixins, as well as at least a similar or better understanding for traits compared to interfaces. The results indicate that understandability of interfaces and traits show a similar good understanding, whereas mixins shows a"&amp;" poorer understanding. We found a significant difference for the correctness of understanding comparing interfaces with mixins. © 2021 The Author(s)")</f>
        <v>Abstract State Machine (ASM) theory is a well-known state-based formal method to analyze and specify software and hardware systems. As in other state-based formal methods, the proposed modeling languages for ASMs still lack easy-to-comprehend abstractions to structure state and behavior aspects of specifications. Modern object-oriented languages offer a variety of advanced language constructs, and most of them either offer interfaces, mixins, or traits in addition to classes and inheritance. Our goal is to investigate these language constructs in the context of state-based formal methods using ASMs as a representative of this kind of formal methods. We report on a controlled experiment with 105 participants to study the understandability of the three language constructs in the context of ASMs. Our hypotheses are influenced by the debate of object-oriented communities. We hypothesized that the understandability (measured by correctness and duration variables) shows significantly better understanding for interfaces and traits compared to mixins, as well as at least a similar or better understanding for traits compared to interfaces. The results indicate that understandability of interfaces and traits show a similar good understanding, whereas mixins shows a poorer understanding. We found a significant difference for the correctness of understanding comparing interfaces with mixins. © 2021 The Author(s)</v>
      </c>
      <c r="H373" s="8" t="str">
        <f>IFERROR(__xludf.DUMMYFUNCTION("""COMPUTED_VALUE"""),"Abstract State Machines; Controlled experiment; Empirical software engineering; Language constructs; Understandability")</f>
        <v>Abstract State Machines; Controlled experiment; Empirical software engineering; Language constructs; Understandability</v>
      </c>
      <c r="I373" s="9" t="b">
        <v>1</v>
      </c>
      <c r="J373" s="10" t="b">
        <v>0</v>
      </c>
      <c r="K373" s="9" t="b">
        <v>1</v>
      </c>
      <c r="L373" s="10" t="b">
        <v>0</v>
      </c>
      <c r="M373" s="10" t="b">
        <v>0</v>
      </c>
      <c r="N373" s="10" t="b">
        <v>0</v>
      </c>
      <c r="O373" s="11" t="b">
        <f t="shared" si="1"/>
        <v>0</v>
      </c>
      <c r="P373" s="16" t="b">
        <v>0</v>
      </c>
      <c r="Q373" s="7"/>
    </row>
    <row r="374">
      <c r="A374" s="5" t="b">
        <v>1</v>
      </c>
      <c r="B374" s="5" t="s">
        <v>413</v>
      </c>
      <c r="C374" s="6" t="str">
        <f>IFERROR(__xludf.DUMMYFUNCTION("""COMPUTED_VALUE"""),"10.1016/j.jss.2012.07.033")</f>
        <v>10.1016/j.jss.2012.07.033</v>
      </c>
      <c r="D374" s="7" t="str">
        <f>IFERROR(__xludf.DUMMYFUNCTION("""COMPUTED_VALUE"""),"Lopez-Vega J.M.; Povedano-Molina J.; Pardo-Castellote G.; Lopez-Soler J.M.")</f>
        <v>Lopez-Vega J.M.; Povedano-Molina J.; Pardo-Castellote G.; Lopez-Soler J.M.</v>
      </c>
      <c r="E374" s="7" t="str">
        <f>IFERROR(__xludf.DUMMYFUNCTION("""COMPUTED_VALUE"""),"A content-aware bridging service for publish/subscribe environments")</f>
        <v>A content-aware bridging service for publish/subscribe environments</v>
      </c>
      <c r="F374" s="7" t="str">
        <f>IFERROR(__xludf.DUMMYFUNCTION("""COMPUTED_VALUE"""),"JSS")</f>
        <v>JSS</v>
      </c>
      <c r="G374" s="7" t="str">
        <f>IFERROR(__xludf.DUMMYFUNCTION("""COMPUTED_VALUE"""),"The OMG DDS (Data Distribution Service) standard specifies a middleware for distributing real-time data using a publish-subscribe data-centric approach. Until now, DDS systems have been restricted to a single and isolated DDS domain, normally deployed wit"&amp;"hin a single multicast-enabled LAN. As systems grow larger, the need to interconnect different DDS domains arises. In this paper, we consider the problem of communicating disjoint data-spaces that may use different schemas to refer to similar information."&amp;" In this regard, we propose a DDS interconnection service capable of bridging DDS domains as well as adapting between different data schemas. A key benefit of our approach is that is compliant with the latest OMG specifications, thus the proposed service "&amp;"does not require any modifications to DDS applications. The paper identifies the requirements for DDS data-spaces interconnection, presents an architecture that responds to those requirements, and concludes with experimental results gathered on our protot"&amp;"ype implementation. We show that the impact of the service on the communications performance is well within the acceptable limits for most real-world uses of DDS (latency overhead is of the order of hundreds of microseconds). Reported results also indicat"&amp;"e that our service interconnects remote data-spaces efficiently and reduces the network traffic almost N times, with N being the number of final data subscribers. © 2012 Elsevier Inc. All rights reserved.")</f>
        <v>The OMG DDS (Data Distribution Service) standard specifies a middleware for distributing real-time data using a publish-subscribe data-centric approach. Until now, DDS systems have been restricted to a single and isolated DDS domain, normally deployed within a single multicast-enabled LAN. As systems grow larger, the need to interconnect different DDS domains arises. In this paper, we consider the problem of communicating disjoint data-spaces that may use different schemas to refer to similar information. In this regard, we propose a DDS interconnection service capable of bridging DDS domains as well as adapting between different data schemas. A key benefit of our approach is that is compliant with the latest OMG specifications, thus the proposed service does not require any modifications to DDS applications. The paper identifies the requirements for DDS data-spaces interconnection, presents an architecture that responds to those requirements, and concludes with experimental results gathered on our prototype implementation. We show that the impact of the service on the communications performance is well within the acceptable limits for most real-world uses of DDS (latency overhead is of the order of hundreds of microseconds). Reported results also indicate that our service interconnects remote data-spaces efficiently and reduces the network traffic almost N times, with N being the number of final data subscribers. © 2012 Elsevier Inc. All rights reserved.</v>
      </c>
      <c r="H374" s="8" t="str">
        <f>IFERROR(__xludf.DUMMYFUNCTION("""COMPUTED_VALUE"""),"Bridging; Data Distribution Service; Interoperability; Middleware; Network communications")</f>
        <v>Bridging; Data Distribution Service; Interoperability; Middleware; Network communications</v>
      </c>
      <c r="I374" s="10" t="b">
        <v>0</v>
      </c>
      <c r="J374" s="10" t="b">
        <v>0</v>
      </c>
      <c r="K374" s="10" t="b">
        <v>0</v>
      </c>
      <c r="L374" s="10" t="b">
        <v>0</v>
      </c>
      <c r="M374" s="10" t="b">
        <v>0</v>
      </c>
      <c r="N374" s="10" t="b">
        <v>0</v>
      </c>
      <c r="O374" s="11" t="b">
        <f t="shared" si="1"/>
        <v>0</v>
      </c>
      <c r="P374" s="16" t="b">
        <v>0</v>
      </c>
      <c r="Q374" s="7"/>
    </row>
    <row r="375">
      <c r="A375" s="5" t="b">
        <v>1</v>
      </c>
      <c r="B375" s="5" t="s">
        <v>414</v>
      </c>
      <c r="C375" s="6" t="str">
        <f>IFERROR(__xludf.DUMMYFUNCTION("""COMPUTED_VALUE"""),"10.1016/j.jss.2018.07.039")</f>
        <v>10.1016/j.jss.2018.07.039</v>
      </c>
      <c r="D375" s="7" t="str">
        <f>IFERROR(__xludf.DUMMYFUNCTION("""COMPUTED_VALUE"""),"Bashari M.; Bagheri E.; Du W.")</f>
        <v>Bashari M.; Bagheri E.; Du W.</v>
      </c>
      <c r="E375" s="7" t="str">
        <f>IFERROR(__xludf.DUMMYFUNCTION("""COMPUTED_VALUE"""),"Automated composition and optimization of services for variability-intensive domains")</f>
        <v>Automated composition and optimization of services for variability-intensive domains</v>
      </c>
      <c r="F375" s="7" t="str">
        <f>IFERROR(__xludf.DUMMYFUNCTION("""COMPUTED_VALUE"""),"JSS")</f>
        <v>JSS</v>
      </c>
      <c r="G375" s="7" t="str">
        <f>IFERROR(__xludf.DUMMYFUNCTION("""COMPUTED_VALUE"""),"The growth in the number of publicly available services on the Web has encouraged developers to rely more heavily on such services to deliver products in a faster, cheaper and more reliable fashion. Many developers are now using a collection of these serv"&amp;"ices in tandem to build their applications. While there has been much attention to the area of service composition, there are few works that examine the possibility of automatically generating service compositions for variability-intensive application dom"&amp;"ains. High variability in a domain is often captured through an organized feature space, which has the potential for developing many different application instantiations. The focus of our work is to develop an end-to-end technique that would enable the au"&amp;"tomatic generation of composite services based on a specific configuration of the feature space that would be directly executable and presented in WS-BPEL format. To this end, we adopt concepts from software product line engineering and AI planning to del"&amp;"iver the automated composition of online services. We will further benefit from such notions as safeness and threat from AI planning to optimize the generated service compositions by introducing parallelism where possible. Furthermore, we show how the spe"&amp;"cification of the generated service composition can be translated into executable WS-BPEL code. More specifically, the core contributions of our work are: (1) we show how AI planning techniques can be used to generate a workflow based on a feature model c"&amp;"onfiguration; (2) we propose a method for optimizing a workflow generated based on AI planning techniques; and (3) we demonstrate that the optimized workflow can be directly translated into WS-BPEL code. We evaluate our work from two perspectives: (i) we "&amp;"will first formally prove that the methods that we have proposed are sound and complete from a theoretical perspective, and (ii) we will show through experimentation that our proposed work is usable from a practical point of view. © 2018 Elsevier Inc.")</f>
        <v>The growth in the number of publicly available services on the Web has encouraged developers to rely more heavily on such services to deliver products in a faster, cheaper and more reliable fashion. Many developers are now using a collection of these services in tandem to build their applications. While there has been much attention to the area of service composition, there are few works that examine the possibility of automatically generating service compositions for variability-intensive application domains. High variability in a domain is often captured through an organized feature space, which has the potential for developing many different application instantiations. The focus of our work is to develop an end-to-end technique that would enable the automatic generation of composite services based on a specific configuration of the feature space that would be directly executable and presented in WS-BPEL format. To this end, we adopt concepts from software product line engineering and AI planning to deliver the automated composition of online services. We will further benefit from such notions as safeness and threat from AI planning to optimize the generated service compositions by introducing parallelism where possible. Furthermore, we show how the specification of the generated service composition can be translated into executable WS-BPEL code. More specifically, the core contributions of our work are: (1) we show how AI planning techniques can be used to generate a workflow based on a feature model configuration; (2) we propose a method for optimizing a workflow generated based on AI planning techniques; and (3) we demonstrate that the optimized workflow can be directly translated into WS-BPEL code. We evaluate our work from two perspectives: (i) we will first formally prove that the methods that we have proposed are sound and complete from a theoretical perspective, and (ii) we will show through experimentation that our proposed work is usable from a practical point of view. © 2018 Elsevier Inc.</v>
      </c>
      <c r="H375" s="8" t="str">
        <f>IFERROR(__xludf.DUMMYFUNCTION("""COMPUTED_VALUE"""),"Automated composition; BPEL; Feature models; Planning; Software product lines; Workflow optimization")</f>
        <v>Automated composition; BPEL; Feature models; Planning; Software product lines; Workflow optimization</v>
      </c>
      <c r="I375" s="10" t="b">
        <v>0</v>
      </c>
      <c r="J375" s="10" t="b">
        <v>0</v>
      </c>
      <c r="K375" s="10" t="b">
        <v>0</v>
      </c>
      <c r="L375" s="10" t="b">
        <v>0</v>
      </c>
      <c r="M375" s="10" t="b">
        <v>0</v>
      </c>
      <c r="N375" s="10" t="b">
        <v>0</v>
      </c>
      <c r="O375" s="11" t="b">
        <f t="shared" si="1"/>
        <v>0</v>
      </c>
      <c r="P375" s="16" t="b">
        <v>0</v>
      </c>
      <c r="Q375" s="7"/>
    </row>
    <row r="376">
      <c r="A376" s="5" t="b">
        <v>1</v>
      </c>
      <c r="B376" s="5" t="s">
        <v>415</v>
      </c>
      <c r="C376" s="6" t="str">
        <f>IFERROR(__xludf.DUMMYFUNCTION("""COMPUTED_VALUE"""),"10.1016/j.jss.2015.11.009")</f>
        <v>10.1016/j.jss.2015.11.009</v>
      </c>
      <c r="D376" s="7" t="str">
        <f>IFERROR(__xludf.DUMMYFUNCTION("""COMPUTED_VALUE"""),"Zernadji T.; Tibermacine C.; Cherif F.; Zouioueche A.")</f>
        <v>Zernadji T.; Tibermacine C.; Cherif F.; Zouioueche A.</v>
      </c>
      <c r="E376" s="7" t="str">
        <f>IFERROR(__xludf.DUMMYFUNCTION("""COMPUTED_VALUE"""),"Integrating quality requirements in engineering web service orchestrations")</f>
        <v>Integrating quality requirements in engineering web service orchestrations</v>
      </c>
      <c r="F376" s="7" t="str">
        <f>IFERROR(__xludf.DUMMYFUNCTION("""COMPUTED_VALUE"""),"JSS")</f>
        <v>JSS</v>
      </c>
      <c r="G376" s="7" t="str">
        <f>IFERROR(__xludf.DUMMYFUNCTION("""COMPUTED_VALUE"""),"Today's Web services are considered as one of the leading technologies for implementing components of service-oriented software architectures for desktop, Web or mobile applications. When designing workflows of activities that involve the invocation of th"&amp;"ese Web Services, we build either orchestrations or choreographies. The engineering of such applications is an emerging research topic with many challenges. Among them, we can stress out the crucial question of how to answer quality requirements in such e"&amp;"ngineering processes. This paper, presents a method which aims at assisting software architects of Web Service orchestrations in integrating quality requirements in their artifacts. In order to satisfy a quality requirement, this method suggests a list of"&amp;" service-oriented patterns. We base our work on the postulate stating that quality can be implemented through patterns, which can be specified with checkable/processable languages. This method helps architects to reach concrete architecture changes that c"&amp;"an be automatically performed on the orchestration in order to apply a pattern, and thus integrate its associated quality. We experimented our method on a set of real-world orchestrations (BPEL processes) to measure the overhead of using it in engineering"&amp;" such service-oriented applications. The obtained results showed that our method brings a significant gain of time. © 2015 Elsevier Inc.")</f>
        <v>Today's Web services are considered as one of the leading technologies for implementing components of service-oriented software architectures for desktop, Web or mobile applications. When designing workflows of activities that involve the invocation of these Web Services, we build either orchestrations or choreographies. The engineering of such applications is an emerging research topic with many challenges. Among them, we can stress out the crucial question of how to answer quality requirements in such engineering processes. This paper, presents a method which aims at assisting software architects of Web Service orchestrations in integrating quality requirements in their artifacts. In order to satisfy a quality requirement, this method suggests a list of service-oriented patterns. We base our work on the postulate stating that quality can be implemented through patterns, which can be specified with checkable/processable languages. This method helps architects to reach concrete architecture changes that can be automatically performed on the orchestration in order to apply a pattern, and thus integrate its associated quality. We experimented our method on a set of real-world orchestrations (BPEL processes) to measure the overhead of using it in engineering such service-oriented applications. The obtained results showed that our method brings a significant gain of time. © 2015 Elsevier Inc.</v>
      </c>
      <c r="H376" s="8" t="str">
        <f>IFERROR(__xludf.DUMMYFUNCTION("""COMPUTED_VALUE"""),"BPEL; Quality attribute; SOA pattern")</f>
        <v>BPEL; Quality attribute; SOA pattern</v>
      </c>
      <c r="I376" s="10" t="b">
        <v>0</v>
      </c>
      <c r="J376" s="10" t="b">
        <v>0</v>
      </c>
      <c r="K376" s="10" t="b">
        <v>0</v>
      </c>
      <c r="L376" s="10" t="b">
        <v>0</v>
      </c>
      <c r="M376" s="10" t="b">
        <v>0</v>
      </c>
      <c r="N376" s="10" t="b">
        <v>0</v>
      </c>
      <c r="O376" s="11" t="b">
        <f t="shared" si="1"/>
        <v>0</v>
      </c>
      <c r="P376" s="16" t="b">
        <v>0</v>
      </c>
      <c r="Q376" s="7"/>
    </row>
    <row r="377">
      <c r="A377" s="5" t="b">
        <v>1</v>
      </c>
      <c r="B377" s="5" t="s">
        <v>416</v>
      </c>
      <c r="C377" s="6" t="str">
        <f>IFERROR(__xludf.DUMMYFUNCTION("""COMPUTED_VALUE"""),"10.1016/j.jss.2018.02.002")</f>
        <v>10.1016/j.jss.2018.02.002</v>
      </c>
      <c r="D377" s="7" t="str">
        <f>IFERROR(__xludf.DUMMYFUNCTION("""COMPUTED_VALUE"""),"Pill I.; Wotawa F.")</f>
        <v>Pill I.; Wotawa F.</v>
      </c>
      <c r="E377" s="7" t="str">
        <f>IFERROR(__xludf.DUMMYFUNCTION("""COMPUTED_VALUE"""),"Automated generation of (F)LTL oracles for testing and debugging")</f>
        <v>Automated generation of (F)LTL oracles for testing and debugging</v>
      </c>
      <c r="F377" s="7" t="str">
        <f>IFERROR(__xludf.DUMMYFUNCTION("""COMPUTED_VALUE"""),"JSS")</f>
        <v>JSS</v>
      </c>
      <c r="G377" s="7" t="str">
        <f>IFERROR(__xludf.DUMMYFUNCTION("""COMPUTED_VALUE"""),"For being able to draw on automated reasoning that helps us in improving the quality of some software artifact or cyber-physical system, we have to express desired system traits in precise formal requirements. Verifying that a system adheres to these requ"&amp;"irements allows us then to gain the crucial level of confidence in its capabilities and quality. Complementing related methods like model checking or runtime monitors, for testing and most importantly debugging recognized problems, we would certainly be i"&amp;"nterested in automated oracles. These oracles would allow us to judge whether observed (test) data really adhere to desired properties, and also to derive program spectra that have been shown to be an effective reasoning basis for debugging purposes. In t"&amp;"his paper, we show how to automatically derive such an oracle as a dedicated satisfiability encoding that is specifically tuned to the considered test data at hand. In particular, we instantiate a dedicated SAT problem in conjunctive normal form directly "&amp;"from the requirements and a test case's execution data. Our corresponding experiments illustrate that our approach shows attractive performance and can be fully automated. © 2018 Elsevier Inc.")</f>
        <v>For being able to draw on automated reasoning that helps us in improving the quality of some software artifact or cyber-physical system, we have to express desired system traits in precise formal requirements. Verifying that a system adheres to these requirements allows us then to gain the crucial level of confidence in its capabilities and quality. Complementing related methods like model checking or runtime monitors, for testing and most importantly debugging recognized problems, we would certainly be interested in automated oracles. These oracles would allow us to judge whether observed (test) data really adhere to desired properties, and also to derive program spectra that have been shown to be an effective reasoning basis for debugging purposes. In this paper, we show how to automatically derive such an oracle as a dedicated satisfiability encoding that is specifically tuned to the considered test data at hand. In particular, we instantiate a dedicated SAT problem in conjunctive normal form directly from the requirements and a test case's execution data. Our corresponding experiments illustrate that our approach shows attractive performance and can be fully automated. © 2018 Elsevier Inc.</v>
      </c>
      <c r="H377" s="8" t="str">
        <f>IFERROR(__xludf.DUMMYFUNCTION("""COMPUTED_VALUE"""),"Linear temporal logic; SAT; Test oracle")</f>
        <v>Linear temporal logic; SAT; Test oracle</v>
      </c>
      <c r="I377" s="10" t="b">
        <v>0</v>
      </c>
      <c r="J377" s="9" t="b">
        <v>1</v>
      </c>
      <c r="K377" s="9" t="b">
        <v>1</v>
      </c>
      <c r="L377" s="10" t="b">
        <v>0</v>
      </c>
      <c r="M377" s="10" t="b">
        <v>0</v>
      </c>
      <c r="N377" s="10" t="b">
        <v>0</v>
      </c>
      <c r="O377" s="11" t="b">
        <f t="shared" si="1"/>
        <v>0</v>
      </c>
      <c r="P377" s="12" t="b">
        <v>0</v>
      </c>
      <c r="Q377" s="7"/>
    </row>
    <row r="378">
      <c r="A378" s="5" t="b">
        <v>1</v>
      </c>
      <c r="B378" s="5" t="s">
        <v>417</v>
      </c>
      <c r="C378" s="6" t="str">
        <f>IFERROR(__xludf.DUMMYFUNCTION("""COMPUTED_VALUE"""),"10.1016/j.jss.2023.111625")</f>
        <v>10.1016/j.jss.2023.111625</v>
      </c>
      <c r="D378" s="7" t="str">
        <f>IFERROR(__xludf.DUMMYFUNCTION("""COMPUTED_VALUE"""),"Liu Z.; Li B.; Wang J.; Lu X.; Qiao Y.")</f>
        <v>Liu Z.; Li B.; Wang J.; Lu X.; Qiao Y.</v>
      </c>
      <c r="E378" s="7" t="str">
        <f>IFERROR(__xludf.DUMMYFUNCTION("""COMPUTED_VALUE"""),"Goal model convergence and conflict detection for crossover services")</f>
        <v>Goal model convergence and conflict detection for crossover services</v>
      </c>
      <c r="F378" s="7" t="str">
        <f>IFERROR(__xludf.DUMMYFUNCTION("""COMPUTED_VALUE"""),"JSS")</f>
        <v>JSS</v>
      </c>
      <c r="G378" s="7" t="str">
        <f>IFERROR(__xludf.DUMMYFUNCTION("""COMPUTED_VALUE"""),"As a new form of service model, crossover services aim to aggregate service resources across multiple domains to meet the complex needs of users and provide value-added services. It has received extensive attention from industry and academia due to its ad"&amp;"vantages in promoting enterprise services innovation. Crossover services span various business domains intending to meet diverse and continuously changing user requirements across multiple domains. Requirements engineering for crossover services must mode"&amp;"l user goals in various domains and converge them deeply to drive the subsequent service realization. Due to the domain heterogeneity, however, conflicts may frequently arise after the convergence of goals. Towards this issue, we propose a goal decomposit"&amp;"ion path-based method to support goal convergence of multiple domains and a computation tree logic-based method to detect conflicts between goals in the converged goal model. We evaluate the proposed method using several real cases from the literature and"&amp;" industry and design a controlled experiment to further assess the method's performance. Experimental results show the effectiveness of our proposed method. © 2023 Elsevier Inc.")</f>
        <v>As a new form of service model, crossover services aim to aggregate service resources across multiple domains to meet the complex needs of users and provide value-added services. It has received extensive attention from industry and academia due to its advantages in promoting enterprise services innovation. Crossover services span various business domains intending to meet diverse and continuously changing user requirements across multiple domains. Requirements engineering for crossover services must model user goals in various domains and converge them deeply to drive the subsequent service realization. Due to the domain heterogeneity, however, conflicts may frequently arise after the convergence of goals. Towards this issue, we propose a goal decomposition path-based method to support goal convergence of multiple domains and a computation tree logic-based method to detect conflicts between goals in the converged goal model. We evaluate the proposed method using several real cases from the literature and industry and design a controlled experiment to further assess the method's performance. Experimental results show the effectiveness of our proposed method. © 2023 Elsevier Inc.</v>
      </c>
      <c r="H378" s="8" t="str">
        <f>IFERROR(__xludf.DUMMYFUNCTION("""COMPUTED_VALUE"""),"Conflict detection; Crossover services; Goal convergence; Goal modeling; Requirements engineering")</f>
        <v>Conflict detection; Crossover services; Goal convergence; Goal modeling; Requirements engineering</v>
      </c>
      <c r="I378" s="9" t="b">
        <v>0</v>
      </c>
      <c r="J378" s="9" t="b">
        <v>1</v>
      </c>
      <c r="K378" s="9" t="b">
        <v>1</v>
      </c>
      <c r="L378" s="10" t="b">
        <v>0</v>
      </c>
      <c r="M378" s="10" t="b">
        <v>0</v>
      </c>
      <c r="N378" s="10" t="b">
        <v>0</v>
      </c>
      <c r="O378" s="11" t="b">
        <f t="shared" si="1"/>
        <v>0</v>
      </c>
      <c r="P378" s="12" t="b">
        <v>0</v>
      </c>
      <c r="Q378" s="13" t="s">
        <v>418</v>
      </c>
    </row>
    <row r="379">
      <c r="A379" s="5" t="b">
        <v>1</v>
      </c>
      <c r="B379" s="5" t="s">
        <v>419</v>
      </c>
      <c r="C379" s="6" t="str">
        <f>IFERROR(__xludf.DUMMYFUNCTION("""COMPUTED_VALUE"""),"10.1016/j.jss.2017.03.012")</f>
        <v>10.1016/j.jss.2017.03.012</v>
      </c>
      <c r="D379" s="7" t="str">
        <f>IFERROR(__xludf.DUMMYFUNCTION("""COMPUTED_VALUE"""),"Farshchi M.; Schneider J.-G.; Weber I.; Grundy J.")</f>
        <v>Farshchi M.; Schneider J.-G.; Weber I.; Grundy J.</v>
      </c>
      <c r="E379" s="7" t="str">
        <f>IFERROR(__xludf.DUMMYFUNCTION("""COMPUTED_VALUE"""),"Metric selection and anomaly detection for cloud operations using log and metric correlation analysis")</f>
        <v>Metric selection and anomaly detection for cloud operations using log and metric correlation analysis</v>
      </c>
      <c r="F379" s="7" t="str">
        <f>IFERROR(__xludf.DUMMYFUNCTION("""COMPUTED_VALUE"""),"JSS")</f>
        <v>JSS</v>
      </c>
      <c r="G379" s="7" t="str">
        <f>IFERROR(__xludf.DUMMYFUNCTION("""COMPUTED_VALUE"""),"Cloud computing systems provide the facilities to make application services resilient against failures of individual computing resources. However, resiliency is typically limited by a cloud consumer's use and operation of cloud resources. In particular, s"&amp;"ystem operations have been reported as one of the leading causes of system-wide outages. This applies specifically to DevOps operations, such as backup, redeployment, upgrade, customized scaling, and migration – which are executed at much higher frequenci"&amp;"es now than a decade ago. We address this problem by proposing a novel approach to detect errors in the execution of these kinds of operations, in particular for rolling upgrade operations. Our regression-based approach leverages the correlation between o"&amp;"perations’ activity logs and the effect of operation activities on cloud resources. First, we present a metric selection approach based on regression analysis. Second, the output of a regression model of selected metrics is used to derive assertion specif"&amp;"ications, which can be used for runtime verification of running operations. We have conducted a set of experiments with different configurations of an upgrade operation on Amazon Web Services, with and without randomly injected faults to demonstrate the u"&amp;"tility of our new approach. © 2017 Elsevier Inc.")</f>
        <v>Cloud computing systems provide the facilities to make application services resilient against failures of individual computing resources. However, resiliency is typically limited by a cloud consumer's use and operation of cloud resources. In particular, system operations have been reported as one of the leading causes of system-wide outages. This applies specifically to DevOps operations, such as backup, redeployment, upgrade, customized scaling, and migration – which are executed at much higher frequencies now than a decade ago. We address this problem by proposing a novel approach to detect errors in the execution of these kinds of operations, in particular for rolling upgrade operations. Our regression-based approach leverages the correlation between operations’ activity logs and the effect of operation activities on cloud resources. First, we present a metric selection approach based on regression analysis. Second, the output of a regression model of selected metrics is used to derive assertion specifications, which can be used for runtime verification of running operations. We have conducted a set of experiments with different configurations of an upgrade operation on Amazon Web Services, with and without randomly injected faults to demonstrate the utility of our new approach. © 2017 Elsevier Inc.</v>
      </c>
      <c r="H379" s="8" t="str">
        <f>IFERROR(__xludf.DUMMYFUNCTION("""COMPUTED_VALUE"""),"Anomaly detection; Cloud application operations; Cloud monitoring; Error detection; Log analysis; Metric selection")</f>
        <v>Anomaly detection; Cloud application operations; Cloud monitoring; Error detection; Log analysis; Metric selection</v>
      </c>
      <c r="I379" s="10" t="b">
        <v>0</v>
      </c>
      <c r="J379" s="10" t="b">
        <v>0</v>
      </c>
      <c r="K379" s="10" t="b">
        <v>0</v>
      </c>
      <c r="L379" s="10" t="b">
        <v>0</v>
      </c>
      <c r="M379" s="10" t="b">
        <v>0</v>
      </c>
      <c r="N379" s="10" t="b">
        <v>0</v>
      </c>
      <c r="O379" s="11" t="b">
        <f t="shared" si="1"/>
        <v>0</v>
      </c>
      <c r="P379" s="16" t="b">
        <v>0</v>
      </c>
      <c r="Q379" s="7"/>
    </row>
    <row r="380">
      <c r="A380" s="5" t="b">
        <v>1</v>
      </c>
      <c r="B380" s="5" t="s">
        <v>420</v>
      </c>
      <c r="C380" s="6" t="str">
        <f>IFERROR(__xludf.DUMMYFUNCTION("""COMPUTED_VALUE"""),"10.1016/j.jss.2015.12.030")</f>
        <v>10.1016/j.jss.2015.12.030</v>
      </c>
      <c r="D380" s="7" t="str">
        <f>IFERROR(__xludf.DUMMYFUNCTION("""COMPUTED_VALUE"""),"Liu L.; Zhou Q.; Liu J.; Cao Z.")</f>
        <v>Liu L.; Zhou Q.; Liu J.; Cao Z.</v>
      </c>
      <c r="E380" s="7" t="str">
        <f>IFERROR(__xludf.DUMMYFUNCTION("""COMPUTED_VALUE"""),"Requirements cybernetics: Elicitation based on user behavioral data")</f>
        <v>Requirements cybernetics: Elicitation based on user behavioral data</v>
      </c>
      <c r="F380" s="7" t="str">
        <f>IFERROR(__xludf.DUMMYFUNCTION("""COMPUTED_VALUE"""),"JSS")</f>
        <v>JSS</v>
      </c>
      <c r="G380" s="7" t="str">
        <f>IFERROR(__xludf.DUMMYFUNCTION("""COMPUTED_VALUE"""),"Users’ behavioral data provides important cue for product improvement. Today's web based applications collect various kinds of service data, which is an ideal source of information for product designers to better understand users’ needs and behaviors. Thi"&amp;"s paper first discusses the types of data collected so far, and then such data-driven requirements elicitation process is formulated as a feedback control system, where the classical requirements elicitation philosophy turns into a continuous optimization"&amp;" to user behavioral models. To this end, it is important to know how the data collection function reflects user behavior, and how specific data analysis approaches help making design decisions. This is an attempt to seek practical synergies between the tw"&amp;"o disciplines of requirements and cybernetics, to explore the possibilities of formulating problems in requirements with concepts and frameworks from cybernetics, and understand to what extent that known research results from cybernetics can be applied to"&amp;" address requirements problems. In particular, control frameworks for the user data driven requirements elicitation process are experimented, and potential control variables are discussed. We use two example cases to illustrate the proposed approach, an o"&amp;"nline dictionary service and a mobile music player service. © 2015 Elsevier Inc.")</f>
        <v>Users’ behavioral data provides important cue for product improvement. Today's web based applications collect various kinds of service data, which is an ideal source of information for product designers to better understand users’ needs and behaviors. This paper first discusses the types of data collected so far, and then such data-driven requirements elicitation process is formulated as a feedback control system, where the classical requirements elicitation philosophy turns into a continuous optimization to user behavioral models. To this end, it is important to know how the data collection function reflects user behavior, and how specific data analysis approaches help making design decisions. This is an attempt to seek practical synergies between the two disciplines of requirements and cybernetics, to explore the possibilities of formulating problems in requirements with concepts and frameworks from cybernetics, and understand to what extent that known research results from cybernetics can be applied to address requirements problems. In particular, control frameworks for the user data driven requirements elicitation process are experimented, and potential control variables are discussed. We use two example cases to illustrate the proposed approach, an online dictionary service and a mobile music player service. © 2015 Elsevier Inc.</v>
      </c>
      <c r="H380" s="8" t="str">
        <f>IFERROR(__xludf.DUMMYFUNCTION("""COMPUTED_VALUE"""),"Cybernetics; Data analysis; Requirements elicitation")</f>
        <v>Cybernetics; Data analysis; Requirements elicitation</v>
      </c>
      <c r="I380" s="10" t="b">
        <v>0</v>
      </c>
      <c r="J380" s="10" t="b">
        <v>0</v>
      </c>
      <c r="K380" s="10" t="b">
        <v>0</v>
      </c>
      <c r="L380" s="10" t="b">
        <v>0</v>
      </c>
      <c r="M380" s="10" t="b">
        <v>0</v>
      </c>
      <c r="N380" s="10" t="b">
        <v>0</v>
      </c>
      <c r="O380" s="11" t="b">
        <f t="shared" si="1"/>
        <v>0</v>
      </c>
      <c r="P380" s="16" t="b">
        <v>0</v>
      </c>
      <c r="Q380" s="7"/>
    </row>
    <row r="381">
      <c r="A381" s="5" t="b">
        <v>1</v>
      </c>
      <c r="B381" s="5" t="s">
        <v>421</v>
      </c>
      <c r="C381" s="6" t="str">
        <f>IFERROR(__xludf.DUMMYFUNCTION("""COMPUTED_VALUE"""),"10.1016/j.jss.2014.02.022")</f>
        <v>10.1016/j.jss.2014.02.022</v>
      </c>
      <c r="D381" s="7" t="str">
        <f>IFERROR(__xludf.DUMMYFUNCTION("""COMPUTED_VALUE"""),"Eichelberger H.; Schmid K.")</f>
        <v>Eichelberger H.; Schmid K.</v>
      </c>
      <c r="E381" s="7" t="str">
        <f>IFERROR(__xludf.DUMMYFUNCTION("""COMPUTED_VALUE"""),"Flexible resource monitoring of Java programs")</f>
        <v>Flexible resource monitoring of Java programs</v>
      </c>
      <c r="F381" s="7" t="str">
        <f>IFERROR(__xludf.DUMMYFUNCTION("""COMPUTED_VALUE"""),"JSS")</f>
        <v>JSS</v>
      </c>
      <c r="G381" s="7" t="str">
        <f>IFERROR(__xludf.DUMMYFUNCTION("""COMPUTED_VALUE"""),"Monitoring resource consumptions is fundamental in software engineering, e.g., in validation of quality requirements, performance engineering, or adaptive software systems. However, resource monitoring does not come for free as it typically leads to overh"&amp;"ead in the observed program. Minimizing this overhead and increasing the reliability of the monitored data is a major goal in realizing resource monitoring tools. Typically, this is achieved by limiting capabilities, e.g., supported resources, granularity"&amp;" of the monitoring focus, or runtime access to results. Thus, in practice often several approaches must be combined to obtain relevant information. We describe SPASS-meter, a novel resource monitoring approach for Java and Android Apps, which combines the"&amp;"se conflicting capabilities with low overhead. SPASS-meter supports a large set of resources, flexible configuration of the monitoring scope even for user-defined semantic units (components), runtime analysis and online access to monitoring results in a p"&amp;"latform-independent way. We discuss the concepts of SPASS-meter, its architecture, realization and validation, the latter in terms of case studies and an overhead analysis based on performance experiments with SPASS-meter, OpenCore and Kieker. SPASS-meter"&amp;" provides a detailed view of the runtime resource consumption at reasonable overhead of less than 3% processing power and 0.5% memory consumption in our experiments. © 2014 Elsevier Inc.")</f>
        <v>Monitoring resource consumptions is fundamental in software engineering, e.g., in validation of quality requirements, performance engineering, or adaptive software systems. However, resource monitoring does not come for free as it typically leads to overhead in the observed program. Minimizing this overhead and increasing the reliability of the monitored data is a major goal in realizing resource monitoring tools. Typically, this is achieved by limiting capabilities, e.g., supported resources, granularity of the monitoring focus, or runtime access to results. Thus, in practice often several approaches must be combined to obtain relevant information. We describe SPASS-meter, a novel resource monitoring approach for Java and Android Apps, which combines these conflicting capabilities with low overhead. SPASS-meter supports a large set of resources, flexible configuration of the monitoring scope even for user-defined semantic units (components), runtime analysis and online access to monitoring results in a platform-independent way. We discuss the concepts of SPASS-meter, its architecture, realization and validation, the latter in terms of case studies and an overhead analysis based on performance experiments with SPASS-meter, OpenCore and Kieker. SPASS-meter provides a detailed view of the runtime resource consumption at reasonable overhead of less than 3% processing power and 0.5% memory consumption in our experiments. © 2014 Elsevier Inc.</v>
      </c>
      <c r="H381" s="8" t="str">
        <f>IFERROR(__xludf.DUMMYFUNCTION("""COMPUTED_VALUE"""),"Empirical analysis; Java; Monitoring overhead; Performance engineering; Resource monitoring; Software components")</f>
        <v>Empirical analysis; Java; Monitoring overhead; Performance engineering; Resource monitoring; Software components</v>
      </c>
      <c r="I381" s="10" t="b">
        <v>0</v>
      </c>
      <c r="J381" s="10" t="b">
        <v>0</v>
      </c>
      <c r="K381" s="10" t="b">
        <v>0</v>
      </c>
      <c r="L381" s="10" t="b">
        <v>0</v>
      </c>
      <c r="M381" s="10" t="b">
        <v>0</v>
      </c>
      <c r="N381" s="10" t="b">
        <v>0</v>
      </c>
      <c r="O381" s="11" t="b">
        <f t="shared" si="1"/>
        <v>0</v>
      </c>
      <c r="P381" s="16" t="b">
        <v>0</v>
      </c>
      <c r="Q381" s="7"/>
    </row>
    <row r="382">
      <c r="A382" s="5" t="b">
        <v>1</v>
      </c>
      <c r="B382" s="5" t="s">
        <v>422</v>
      </c>
      <c r="C382" s="6" t="str">
        <f>IFERROR(__xludf.DUMMYFUNCTION("""COMPUTED_VALUE"""),"10.1016/j.jss.2020.110566")</f>
        <v>10.1016/j.jss.2020.110566</v>
      </c>
      <c r="D382" s="7" t="str">
        <f>IFERROR(__xludf.DUMMYFUNCTION("""COMPUTED_VALUE"""),"Li T.; Chen Z.")</f>
        <v>Li T.; Chen Z.</v>
      </c>
      <c r="E382" s="7" t="str">
        <f>IFERROR(__xludf.DUMMYFUNCTION("""COMPUTED_VALUE"""),"An ontology-based learning approach for automatically classifying security requirements")</f>
        <v>An ontology-based learning approach for automatically classifying security requirements</v>
      </c>
      <c r="F382" s="7" t="str">
        <f>IFERROR(__xludf.DUMMYFUNCTION("""COMPUTED_VALUE"""),"JSS")</f>
        <v>JSS</v>
      </c>
      <c r="G382" s="7" t="str">
        <f>IFERROR(__xludf.DUMMYFUNCTION("""COMPUTED_VALUE"""),"Although academia has recognized the importance of explicitly specifying security requirements in early stages of system developments for years, in reality, many projects mix security requirements with other types of requirements. Thus, there is a strong "&amp;"need for precisely and efficiently classifying such security requirements from other requirements in requirement specifications. Existing studies leverage lexical evidence to build probabilistic classifiers, which are domain-dependent by design and cannot"&amp;" effectively classify security requirements from different application domains. In this paper, we propose an ontology-driven learning approach to automatically classify security requirements. Our approach consists of a conceptual layer and a linguistic la"&amp;"yer, which understands security requirements based on not only lexical evidence but also conceptual domain knowledge. In particular, we apply a systematic approach to identify linguistic features of security requirements based on an extended security requ"&amp;"irements ontology and linguistic knowledge, connecting the conceptual layer with the linguistic layer. Such linguistic features are then used to train domain-independent security requirements classifiers by using machine learning techniques. We have carri"&amp;"ed out a series of experiments to evaluate the performance and generalization ability of our proposal against existing approaches. The results of the experiments show that the proposed approach outperforms existing approaches with a significant increase o"&amp;"f F1 score (0.63 VS. 0.44) when the training dataset and the testing dataset come from different application domains, i.e., the classifiers trained by our approach can be generalized to classify security requirements from different domains. © 2020 Elsevie"&amp;"r Inc.")</f>
        <v>Although academia has recognized the importance of explicitly specifying security requirements in early stages of system developments for years, in reality, many projects mix security requirements with other types of requirements. Thus, there is a strong need for precisely and efficiently classifying such security requirements from other requirements in requirement specifications. Existing studies leverage lexical evidence to build probabilistic classifiers, which are domain-dependent by design and cannot effectively classify security requirements from different application domains. In this paper, we propose an ontology-driven learning approach to automatically classify security requirements. Our approach consists of a conceptual layer and a linguistic layer, which understands security requirements based on not only lexical evidence but also conceptual domain knowledge. In particular, we apply a systematic approach to identify linguistic features of security requirements based on an extended security requirements ontology and linguistic knowledge, connecting the conceptual layer with the linguistic layer. Such linguistic features are then used to train domain-independent security requirements classifiers by using machine learning techniques. We have carried out a series of experiments to evaluate the performance and generalization ability of our proposal against existing approaches. The results of the experiments show that the proposed approach outperforms existing approaches with a significant increase of F1 score (0.63 VS. 0.44) when the training dataset and the testing dataset come from different application domains, i.e., the classifiers trained by our approach can be generalized to classify security requirements from different domains. © 2020 Elsevier Inc.</v>
      </c>
      <c r="H382" s="8" t="str">
        <f>IFERROR(__xludf.DUMMYFUNCTION("""COMPUTED_VALUE"""),"linguistic pattern; machine learning; natural language processing; security requirements classification; security requirements ontology")</f>
        <v>linguistic pattern; machine learning; natural language processing; security requirements classification; security requirements ontology</v>
      </c>
      <c r="I382" s="10" t="b">
        <v>0</v>
      </c>
      <c r="J382" s="10" t="b">
        <v>0</v>
      </c>
      <c r="K382" s="10" t="b">
        <v>0</v>
      </c>
      <c r="L382" s="10" t="b">
        <v>0</v>
      </c>
      <c r="M382" s="10" t="b">
        <v>0</v>
      </c>
      <c r="N382" s="10" t="b">
        <v>0</v>
      </c>
      <c r="O382" s="11" t="b">
        <f t="shared" si="1"/>
        <v>0</v>
      </c>
      <c r="P382" s="16" t="b">
        <v>0</v>
      </c>
      <c r="Q382" s="7"/>
    </row>
    <row r="383">
      <c r="A383" s="5" t="b">
        <v>1</v>
      </c>
      <c r="B383" s="5" t="s">
        <v>423</v>
      </c>
      <c r="C383" s="6" t="str">
        <f>IFERROR(__xludf.DUMMYFUNCTION("""COMPUTED_VALUE"""),"10.1016/j.jss.2022.111533")</f>
        <v>10.1016/j.jss.2022.111533</v>
      </c>
      <c r="D383" s="7" t="str">
        <f>IFERROR(__xludf.DUMMYFUNCTION("""COMPUTED_VALUE"""),"Cazzola W.; Favalli L.")</f>
        <v>Cazzola W.; Favalli L.</v>
      </c>
      <c r="E383" s="7" t="str">
        <f>IFERROR(__xludf.DUMMYFUNCTION("""COMPUTED_VALUE"""),"The language mutation problem: Leveraging language product lines for mutation testing of interpreters")</f>
        <v>The language mutation problem: Leveraging language product lines for mutation testing of interpreters</v>
      </c>
      <c r="F383" s="7" t="str">
        <f>IFERROR(__xludf.DUMMYFUNCTION("""COMPUTED_VALUE"""),"JSS")</f>
        <v>JSS</v>
      </c>
      <c r="G383" s="7" t="str">
        <f>IFERROR(__xludf.DUMMYFUNCTION("""COMPUTED_VALUE"""),"Compilers translate programs from a high level of abstraction into a low level representation that can be understood and executed by the computer; interpreters directly execute instructions from source code to convey their semantics. Undoubtedly, the corr"&amp;"ectness of both compilers and interpreters is fundamental to reliably execute the semantics of any software developed by means of high-level languages. Testing is one of the most important methods to detect errors in any software, including compilers and "&amp;"interpreters. Among testing methods, mutation testing is an empirically effective technique often used to evaluate and improve the quality of test suites. However, mutation testing imposes severe demands in computing resources due to the large number of m"&amp;"utants that need to be generated, compiled and executed. In this work, we introduce a mutation approach for programming languages that mitigates this problem by leveraging the properties of language product lines, language workbenches and separate compila"&amp;"tions. In this approach, the base language is taken as a black-box and mutated by means of mutation operators performed at language feature level to create a family of mutants of the base language. Each variant of the mutant family is created at runtime, "&amp;"without any access to the source code and without performing any additional compilation. We report results from a preliminary case study in which mutants of an ECMAScript interpreter are tested against the Sputnik conformance test suite for the ECMA-262 s"&amp;"pecification. The experimental data indicates that this approach can be used to create generally non-trivial mutants. © 2022 Elsevier Inc.")</f>
        <v>Compilers translate programs from a high level of abstraction into a low level representation that can be understood and executed by the computer; interpreters directly execute instructions from source code to convey their semantics. Undoubtedly, the correctness of both compilers and interpreters is fundamental to reliably execute the semantics of any software developed by means of high-level languages. Testing is one of the most important methods to detect errors in any software, including compilers and interpreters. Among testing methods, mutation testing is an empirically effective technique often used to evaluate and improve the quality of test suites. However, mutation testing imposes severe demands in computing resources due to the large number of mutants that need to be generated, compiled and executed. In this work, we introduce a mutation approach for programming languages that mitigates this problem by leveraging the properties of language product lines, language workbenches and separate compilations. In this approach, the base language is taken as a black-box and mutated by means of mutation operators performed at language feature level to create a family of mutants of the base language. Each variant of the mutant family is created at runtime, without any access to the source code and without performing any additional compilation. We report results from a preliminary case study in which mutants of an ECMAScript interpreter are tested against the Sputnik conformance test suite for the ECMA-262 specification. The experimental data indicates that this approach can be used to create generally non-trivial mutants. © 2022 Elsevier Inc.</v>
      </c>
      <c r="H383" s="8" t="str">
        <f>IFERROR(__xludf.DUMMYFUNCTION("""COMPUTED_VALUE"""),"Language product lines; Language testing; Mutation testing")</f>
        <v>Language product lines; Language testing; Mutation testing</v>
      </c>
      <c r="I383" s="10" t="b">
        <v>0</v>
      </c>
      <c r="J383" s="10" t="b">
        <v>0</v>
      </c>
      <c r="K383" s="10" t="b">
        <v>0</v>
      </c>
      <c r="L383" s="10" t="b">
        <v>0</v>
      </c>
      <c r="M383" s="10" t="b">
        <v>0</v>
      </c>
      <c r="N383" s="10" t="b">
        <v>0</v>
      </c>
      <c r="O383" s="11" t="b">
        <f t="shared" si="1"/>
        <v>0</v>
      </c>
      <c r="P383" s="16" t="b">
        <v>0</v>
      </c>
      <c r="Q383" s="7"/>
    </row>
    <row r="384">
      <c r="A384" s="5" t="b">
        <v>1</v>
      </c>
      <c r="B384" s="5" t="s">
        <v>424</v>
      </c>
      <c r="C384" s="6" t="str">
        <f>IFERROR(__xludf.DUMMYFUNCTION("""COMPUTED_VALUE"""),"10.1016/j.jss.2014.05.063")</f>
        <v>10.1016/j.jss.2014.05.063</v>
      </c>
      <c r="D384" s="7" t="str">
        <f>IFERROR(__xludf.DUMMYFUNCTION("""COMPUTED_VALUE"""),"Asadi M.; Mohabbati B.; Gröner G.; Gasevic D.")</f>
        <v>Asadi M.; Mohabbati B.; Gröner G.; Gasevic D.</v>
      </c>
      <c r="E384" s="7" t="str">
        <f>IFERROR(__xludf.DUMMYFUNCTION("""COMPUTED_VALUE"""),"Development and validation of customized process models")</f>
        <v>Development and validation of customized process models</v>
      </c>
      <c r="F384" s="7" t="str">
        <f>IFERROR(__xludf.DUMMYFUNCTION("""COMPUTED_VALUE"""),"JSS")</f>
        <v>JSS</v>
      </c>
      <c r="G384" s="7" t="str">
        <f>IFERROR(__xludf.DUMMYFUNCTION("""COMPUTED_VALUE"""),"Configurable reference process models encompass common and variable processes of organizations from different business domains. These reference process models are designed and reused to guide and derive customized business processes according to the requi"&amp;"rements of stakeholders. The customization process is generally initiated by a configuration step, selecting a subset of the reference process model. Configuration is followed by a customization step, which assumes adapting or extending the configured bus"&amp;"iness process based on the specific or unforeseen requirements. Hence, it is crucial to validate the correctness and compliance of the final customized business process with respect to the patterns and business constraints that are specified in the refere"&amp;"nce model. In this paper, we firstly introduce a technique to develop a customized process model and then present a set of identified inconsistency patterns that may happen during the configuration of a reference model and the customization of configured "&amp;"process models. Furthermore, we describe our proposed approach including formal representations and algorithms that provide logical reasoning and enable automatic inconsistency detection by leveraging description logic. In order to explore the scalability"&amp;" of the approach, we designed the experiments with various process models sizes and inconsistency distributions. The results of the experiments revealed the scalability of our approach with large size process models (500 activities). © 2014 Elsevier Inc.")</f>
        <v>Configurable reference process models encompass common and variable processes of organizations from different business domains. These reference process models are designed and reused to guide and derive customized business processes according to the requirements of stakeholders. The customization process is generally initiated by a configuration step, selecting a subset of the reference process model. Configuration is followed by a customization step, which assumes adapting or extending the configured business process based on the specific or unforeseen requirements. Hence, it is crucial to validate the correctness and compliance of the final customized business process with respect to the patterns and business constraints that are specified in the reference model. In this paper, we firstly introduce a technique to develop a customized process model and then present a set of identified inconsistency patterns that may happen during the configuration of a reference model and the customization of configured process models. Furthermore, we describe our proposed approach including formal representations and algorithms that provide logical reasoning and enable automatic inconsistency detection by leveraging description logic. In order to explore the scalability of the approach, we designed the experiments with various process models sizes and inconsistency distributions. The results of the experiments revealed the scalability of our approach with large size process models (500 activities). © 2014 Elsevier Inc.</v>
      </c>
      <c r="H384" s="8" t="str">
        <f>IFERROR(__xludf.DUMMYFUNCTION("""COMPUTED_VALUE"""),"Description logics; Feature models; Reference process models")</f>
        <v>Description logics; Feature models; Reference process models</v>
      </c>
      <c r="I384" s="10" t="b">
        <v>0</v>
      </c>
      <c r="J384" s="10" t="b">
        <v>0</v>
      </c>
      <c r="K384" s="10" t="b">
        <v>0</v>
      </c>
      <c r="L384" s="10" t="b">
        <v>0</v>
      </c>
      <c r="M384" s="10" t="b">
        <v>0</v>
      </c>
      <c r="N384" s="10" t="b">
        <v>0</v>
      </c>
      <c r="O384" s="11" t="b">
        <f t="shared" si="1"/>
        <v>0</v>
      </c>
      <c r="P384" s="16" t="b">
        <v>0</v>
      </c>
      <c r="Q384" s="7"/>
    </row>
    <row r="385">
      <c r="A385" s="5" t="b">
        <v>1</v>
      </c>
      <c r="B385" s="5" t="s">
        <v>425</v>
      </c>
      <c r="C385" s="6" t="str">
        <f>IFERROR(__xludf.DUMMYFUNCTION("""COMPUTED_VALUE"""),"10.1016/j.jss.2013.10.011")</f>
        <v>10.1016/j.jss.2013.10.011</v>
      </c>
      <c r="D385" s="7" t="str">
        <f>IFERROR(__xludf.DUMMYFUNCTION("""COMPUTED_VALUE"""),"Maté A.; Trujillo J.; Franch X.")</f>
        <v>Maté A.; Trujillo J.; Franch X.</v>
      </c>
      <c r="E385" s="7" t="str">
        <f>IFERROR(__xludf.DUMMYFUNCTION("""COMPUTED_VALUE"""),"Adding semantic modules to improve goal-oriented analysis of data warehouses using I-star")</f>
        <v>Adding semantic modules to improve goal-oriented analysis of data warehouses using I-star</v>
      </c>
      <c r="F385" s="7" t="str">
        <f>IFERROR(__xludf.DUMMYFUNCTION("""COMPUTED_VALUE"""),"JSS")</f>
        <v>JSS</v>
      </c>
      <c r="G385" s="7" t="str">
        <f>IFERROR(__xludf.DUMMYFUNCTION("""COMPUTED_VALUE"""),"The success rate of data warehouse (DW) development is improved by performing a requirements elicitation stage in which the users' needs are modeled. Currently, among the different proposals for modeling requirements, there is a special focus on goal-orie"&amp;"nted models, and in particular on the i* framework. In order to adapt this framework for DW development, we previously developed a UML profile for DWs. However, as the general i* framework, the proposal lacks modularity. This has a specially negative impa"&amp;"ct for DW development, since DW requirement models tend to include a huge number of elements with crossed relationships between them. In turn, the readability of the models is decreased, harming their utility and increasing the error rate and development "&amp;"time. In this paper, we propose an extension of our i* profile for DWs considering the modularization of goals. We provide a set of guidelines in order to correctly apply our proposal. Furthermore, we have performed an experiment in order to assess the va"&amp;"lidity our proposal. The benefits of our proposal are an increase in the modularity and scalability of the models which, in turn, increases the error correction capability, and makes complex models easier to understand by DW developers and non expert user"&amp;"s. © 2013 Elsevier Inc. All rights reserved.")</f>
        <v>The success rate of data warehouse (DW) development is improved by performing a requirements elicitation stage in which the users' needs are modeled. Currently, among the different proposals for modeling requirements, there is a special focus on goal-oriented models, and in particular on the i* framework. In order to adapt this framework for DW development, we previously developed a UML profile for DWs. However, as the general i* framework, the proposal lacks modularity. This has a specially negative impact for DW development, since DW requirement models tend to include a huge number of elements with crossed relationships between them. In turn, the readability of the models is decreased, harming their utility and increasing the error rate and development time. In this paper, we propose an extension of our i* profile for DWs considering the modularization of goals. We provide a set of guidelines in order to correctly apply our proposal. Furthermore, we have performed an experiment in order to assess the validity our proposal. The benefits of our proposal are an increase in the modularity and scalability of the models which, in turn, increases the error correction capability, and makes complex models easier to understand by DW developers and non expert users. © 2013 Elsevier Inc. All rights reserved.</v>
      </c>
      <c r="H385" s="8" t="str">
        <f>IFERROR(__xludf.DUMMYFUNCTION("""COMPUTED_VALUE"""),"Data warehouses; I-star; User requirements")</f>
        <v>Data warehouses; I-star; User requirements</v>
      </c>
      <c r="I385" s="9" t="b">
        <v>1</v>
      </c>
      <c r="J385" s="9" t="b">
        <v>1</v>
      </c>
      <c r="K385" s="9" t="b">
        <v>1</v>
      </c>
      <c r="L385" s="10" t="b">
        <v>0</v>
      </c>
      <c r="M385" s="10" t="b">
        <v>0</v>
      </c>
      <c r="N385" s="10" t="b">
        <v>0</v>
      </c>
      <c r="O385" s="11" t="b">
        <f t="shared" si="1"/>
        <v>1</v>
      </c>
      <c r="P385" s="12" t="b">
        <v>0</v>
      </c>
      <c r="Q385" s="13"/>
    </row>
    <row r="386">
      <c r="A386" s="5" t="b">
        <v>1</v>
      </c>
      <c r="B386" s="5" t="s">
        <v>426</v>
      </c>
      <c r="C386" s="6" t="str">
        <f>IFERROR(__xludf.DUMMYFUNCTION("""COMPUTED_VALUE"""),"10.1016/j.jss.2012.09.037")</f>
        <v>10.1016/j.jss.2012.09.037</v>
      </c>
      <c r="D386" s="7" t="str">
        <f>IFERROR(__xludf.DUMMYFUNCTION("""COMPUTED_VALUE"""),"Langer P.; Wimmer M.; Brosch P.; Herrmannsdörfer M.; Seidl M.; Wieland K.; Kappel G.")</f>
        <v>Langer P.; Wimmer M.; Brosch P.; Herrmannsdörfer M.; Seidl M.; Wieland K.; Kappel G.</v>
      </c>
      <c r="E386" s="7" t="str">
        <f>IFERROR(__xludf.DUMMYFUNCTION("""COMPUTED_VALUE"""),"A posteriori operation detection in evolving software models")</f>
        <v>A posteriori operation detection in evolving software models</v>
      </c>
      <c r="F386" s="7" t="str">
        <f>IFERROR(__xludf.DUMMYFUNCTION("""COMPUTED_VALUE"""),"JSS")</f>
        <v>JSS</v>
      </c>
      <c r="G386" s="7" t="str">
        <f>IFERROR(__xludf.DUMMYFUNCTION("""COMPUTED_VALUE"""),"As every software artifact, also software models are subject to continuous evolution. The operations applied between two successive versions of a model are crucial for understanding its evolution. Generic approaches for detecting operations a posteriori i"&amp;"dentify atomic operations, but neglect composite operations, such as refactorings, which leads to cluttered difference reports. To tackle this limitation, we present an orthogonal extension of existing atomic operation detection approaches for detecting a"&amp;"lso composite operations. Our approach searches for occurrences of composite operations within a set of detected atomic operations in a post-processing manner. One major benefit is the reuse of specifications available for executing composite operations a"&amp;"lso for detecting applications of them. We evaluate the accuracy of the approach in a real-world case study and investigate the scalability of our implementation in an experiment. © 2012 Elsevier Inc. All rights reserved.")</f>
        <v>As every software artifact, also software models are subject to continuous evolution. The operations applied between two successive versions of a model are crucial for understanding its evolution. Generic approaches for detecting operations a posteriori identify atomic operations, but neglect composite operations, such as refactorings, which leads to cluttered difference reports. To tackle this limitation, we present an orthogonal extension of existing atomic operation detection approaches for detecting also composite operations. Our approach searches for occurrences of composite operations within a set of detected atomic operations in a post-processing manner. One major benefit is the reuse of specifications available for executing composite operations also for detecting applications of them. We evaluate the accuracy of the approach in a real-world case study and investigate the scalability of our implementation in an experiment. © 2012 Elsevier Inc. All rights reserved.</v>
      </c>
      <c r="H386" s="8" t="str">
        <f>IFERROR(__xludf.DUMMYFUNCTION("""COMPUTED_VALUE"""),"Model comparison; Model evolution; Model refactoring")</f>
        <v>Model comparison; Model evolution; Model refactoring</v>
      </c>
      <c r="I386" s="10" t="b">
        <v>0</v>
      </c>
      <c r="J386" s="10" t="b">
        <v>0</v>
      </c>
      <c r="K386" s="10" t="b">
        <v>0</v>
      </c>
      <c r="L386" s="10" t="b">
        <v>0</v>
      </c>
      <c r="M386" s="10" t="b">
        <v>0</v>
      </c>
      <c r="N386" s="10" t="b">
        <v>0</v>
      </c>
      <c r="O386" s="11" t="b">
        <f t="shared" si="1"/>
        <v>0</v>
      </c>
      <c r="P386" s="16" t="b">
        <v>0</v>
      </c>
      <c r="Q386" s="7"/>
    </row>
    <row r="387">
      <c r="A387" s="5" t="b">
        <v>1</v>
      </c>
      <c r="B387" s="5" t="s">
        <v>427</v>
      </c>
      <c r="C387" s="6" t="str">
        <f>IFERROR(__xludf.DUMMYFUNCTION("""COMPUTED_VALUE"""),"10.1016/j.jss.2014.08.065")</f>
        <v>10.1016/j.jss.2014.08.065</v>
      </c>
      <c r="D387" s="7" t="str">
        <f>IFERROR(__xludf.DUMMYFUNCTION("""COMPUTED_VALUE"""),"Chen H.; Zhu X.; Guo H.; Zhu J.; Qin X.; Wu J.")</f>
        <v>Chen H.; Zhu X.; Guo H.; Zhu J.; Qin X.; Wu J.</v>
      </c>
      <c r="E387" s="7" t="str">
        <f>IFERROR(__xludf.DUMMYFUNCTION("""COMPUTED_VALUE"""),"Towards energy-efficient scheduling for real-time tasks under uncertain cloud computing environment")</f>
        <v>Towards energy-efficient scheduling for real-time tasks under uncertain cloud computing environment</v>
      </c>
      <c r="F387" s="7" t="str">
        <f>IFERROR(__xludf.DUMMYFUNCTION("""COMPUTED_VALUE"""),"JSS")</f>
        <v>JSS</v>
      </c>
      <c r="G387" s="7" t="str">
        <f>IFERROR(__xludf.DUMMYFUNCTION("""COMPUTED_VALUE"""),"Green cloud computing has become a major concern in both industry and academia, and efficient scheduling approaches show promising ways to reduce the energy consumption of cloud computing platforms while guaranteeing QoS requirements of tasks. Existing sc"&amp;"heduling approaches are inadequate for real-time tasks running in uncertain cloud environments, because those approaches assume that cloud computing environments are deterministic and pre-computed schedule decisions will be statically followed during sche"&amp;"dule execution. In this paper, we address this issue. We introduce an interval number theory to describe the uncertainty of the computing environment and a scheduling architecture to mitigate the impact of uncertainty on the task scheduling quality for a "&amp;"cloud data center. Based on this architecture, we present a novel scheduling algorithm (PRS1) that dynamically exploits proactive and reactive scheduling methods, for scheduling real-time, aperiodic, independent tasks. To improve energy efficiency, we pro"&amp;"pose three strategies to scale up and down the system's computing resources according to workload to improve resource utilization and to reduce energy consumption for the cloud data center. We conduct extensive experiments to compare PRS with four typical"&amp;" baseline scheduling algorithms. The experimental results show that PRS performs better than those algorithms, and can effectively improve the performance of a cloud data center. © 2014 Elsevier Inc. All rights reserved.")</f>
        <v>Green cloud computing has become a major concern in both industry and academia, and efficient scheduling approaches show promising ways to reduce the energy consumption of cloud computing platforms while guaranteeing QoS requirements of tasks. Existing scheduling approaches are inadequate for real-time tasks running in uncertain cloud environments, because those approaches assume that cloud computing environments are deterministic and pre-computed schedule decisions will be statically followed during schedule execution. In this paper, we address this issue. We introduce an interval number theory to describe the uncertainty of the computing environment and a scheduling architecture to mitigate the impact of uncertainty on the task scheduling quality for a cloud data center. Based on this architecture, we present a novel scheduling algorithm (PRS1) that dynamically exploits proactive and reactive scheduling methods, for scheduling real-time, aperiodic, independent tasks. To improve energy efficiency, we propose three strategies to scale up and down the system's computing resources according to workload to improve resource utilization and to reduce energy consumption for the cloud data center. We conduct extensive experiments to compare PRS with four typical baseline scheduling algorithms. The experimental results show that PRS performs better than those algorithms, and can effectively improve the performance of a cloud data center. © 2014 Elsevier Inc. All rights reserved.</v>
      </c>
      <c r="H387" s="8" t="str">
        <f>IFERROR(__xludf.DUMMYFUNCTION("""COMPUTED_VALUE"""),"Green cloud computing; Proactive and reactive; Uncertain scheduling")</f>
        <v>Green cloud computing; Proactive and reactive; Uncertain scheduling</v>
      </c>
      <c r="I387" s="10" t="b">
        <v>0</v>
      </c>
      <c r="J387" s="10" t="b">
        <v>0</v>
      </c>
      <c r="K387" s="10" t="b">
        <v>0</v>
      </c>
      <c r="L387" s="10" t="b">
        <v>0</v>
      </c>
      <c r="M387" s="10" t="b">
        <v>0</v>
      </c>
      <c r="N387" s="10" t="b">
        <v>0</v>
      </c>
      <c r="O387" s="11" t="b">
        <f t="shared" si="1"/>
        <v>0</v>
      </c>
      <c r="P387" s="16" t="b">
        <v>0</v>
      </c>
      <c r="Q387" s="7"/>
    </row>
    <row r="388">
      <c r="A388" s="5" t="b">
        <v>1</v>
      </c>
      <c r="B388" s="5" t="s">
        <v>428</v>
      </c>
      <c r="C388" s="6" t="str">
        <f>IFERROR(__xludf.DUMMYFUNCTION("""COMPUTED_VALUE"""),"10.1016/j.jss.2015.11.019")</f>
        <v>10.1016/j.jss.2015.11.019</v>
      </c>
      <c r="D388" s="7" t="str">
        <f>IFERROR(__xludf.DUMMYFUNCTION("""COMPUTED_VALUE"""),"Minaeva A.; Šůcha P.; Akesson B.; Hanzálek Z.")</f>
        <v>Minaeva A.; Šůcha P.; Akesson B.; Hanzálek Z.</v>
      </c>
      <c r="E388" s="7" t="str">
        <f>IFERROR(__xludf.DUMMYFUNCTION("""COMPUTED_VALUE"""),"Scalable and efficient configuration of time-division multiplexed resources")</f>
        <v>Scalable and efficient configuration of time-division multiplexed resources</v>
      </c>
      <c r="F388" s="7" t="str">
        <f>IFERROR(__xludf.DUMMYFUNCTION("""COMPUTED_VALUE"""),"JSS")</f>
        <v>JSS</v>
      </c>
      <c r="G388" s="7" t="str">
        <f>IFERROR(__xludf.DUMMYFUNCTION("""COMPUTED_VALUE"""),"Consumer-electronics systems are becoming increasingly complex as the number of integrated applications is growing. Some of these applications have real-time requirements, while other non-real-time applications only require good average performance. For c"&amp;"ost-efficient design, contemporary platforms feature an increasing number of cores that share resources, such as memories and interconnects. However, resource sharing causes contention that must be resolved by a resource arbiter, such as Time-Division Mul"&amp;"tiplexing. A key challenge is to configure this arbiter to satisfy the bandwidth and latency requirements of the real-time applications, while maximizing the slack capacity to improve performance of their non-real-time counterparts. As this configuration "&amp;"problem is NP-hard, a sophisticated automated configuration method is required to avoid negatively impacting design time. The main contributions of this article are: (1) an optimal approach that takes an existing integer linear programming (ILP) model add"&amp;"ressing the problem and wraps it in a branch-and-price framework to improve scalability. (2) A faster heuristic algorithm that typically provides near-optimal solutions. (3) An experimental evaluation that quantitatively compares the branch-and-price appr"&amp;"oach to the previously formulated ILP model and the proposed heuristic. (4) A case study of an HD video and graphics processing system that demonstrates the practical applicability of the approach. © 2015 Elsevier Inc. All rights reserved.")</f>
        <v>Consumer-electronics systems are becoming increasingly complex as the number of integrated applications is growing. Some of these applications have real-time requirements, while other non-real-time applications only require good average performance. For cost-efficient design, contemporary platforms feature an increasing number of cores that share resources, such as memories and interconnects. However, resource sharing causes contention that must be resolved by a resource arbiter, such as Time-Division Multiplexing. A key challenge is to configure this arbiter to satisfy the bandwidth and latency requirements of the real-time applications, while maximizing the slack capacity to improve performance of their non-real-time counterparts. As this configuration problem is NP-hard, a sophisticated automated configuration method is required to avoid negatively impacting design time. The main contributions of this article are: (1) an optimal approach that takes an existing integer linear programming (ILP) model addressing the problem and wraps it in a branch-and-price framework to improve scalability. (2) A faster heuristic algorithm that typically provides near-optimal solutions. (3) An experimental evaluation that quantitatively compares the branch-and-price approach to the previously formulated ILP model and the proposed heuristic. (4) A case study of an HD video and graphics processing system that demonstrates the practical applicability of the approach. © 2015 Elsevier Inc. All rights reserved.</v>
      </c>
      <c r="H388" s="8" t="str">
        <f>IFERROR(__xludf.DUMMYFUNCTION("""COMPUTED_VALUE"""),"Branch-and-price; Real-time systems; Resource scheduling")</f>
        <v>Branch-and-price; Real-time systems; Resource scheduling</v>
      </c>
      <c r="I388" s="10" t="b">
        <v>0</v>
      </c>
      <c r="J388" s="10" t="b">
        <v>0</v>
      </c>
      <c r="K388" s="10" t="b">
        <v>0</v>
      </c>
      <c r="L388" s="10" t="b">
        <v>0</v>
      </c>
      <c r="M388" s="10" t="b">
        <v>0</v>
      </c>
      <c r="N388" s="10" t="b">
        <v>0</v>
      </c>
      <c r="O388" s="11" t="b">
        <f t="shared" si="1"/>
        <v>0</v>
      </c>
      <c r="P388" s="16" t="b">
        <v>0</v>
      </c>
      <c r="Q388" s="7"/>
    </row>
    <row r="389">
      <c r="A389" s="5" t="b">
        <v>1</v>
      </c>
      <c r="B389" s="5" t="s">
        <v>429</v>
      </c>
      <c r="C389" s="6" t="str">
        <f>IFERROR(__xludf.DUMMYFUNCTION("""COMPUTED_VALUE"""),"10.1016/j.jss.2023.111879")</f>
        <v>10.1016/j.jss.2023.111879</v>
      </c>
      <c r="D389" s="7" t="str">
        <f>IFERROR(__xludf.DUMMYFUNCTION("""COMPUTED_VALUE"""),"Henning S.; Hasselbring W.")</f>
        <v>Henning S.; Hasselbring W.</v>
      </c>
      <c r="E389" s="7" t="str">
        <f>IFERROR(__xludf.DUMMYFUNCTION("""COMPUTED_VALUE"""),"Benchmarking scalability of stream processing frameworks deployed as microservices in the cloud")</f>
        <v>Benchmarking scalability of stream processing frameworks deployed as microservices in the cloud</v>
      </c>
      <c r="F389" s="7" t="str">
        <f>IFERROR(__xludf.DUMMYFUNCTION("""COMPUTED_VALUE"""),"JSS")</f>
        <v>JSS</v>
      </c>
      <c r="G389" s="7" t="str">
        <f>IFERROR(__xludf.DUMMYFUNCTION("""COMPUTED_VALUE"""),"Context: The combination of distributed stream processing with microservice architectures is an emerging pattern for building data-intensive software systems. In such systems, stream processing frameworks such as Apache Flink, Apache Kafka Streams, Apache"&amp;" Samza, Hazelcast Jet, or the Apache Beam SDK are used inside microservices to continuously process massive amounts of data in a distributed fashion. While all of these frameworks promote scalability as a core feature, there is only little empirical resea"&amp;"rch evaluating and comparing their scalability. Objective: The goal of this study to obtain evidence about the scalability of state-of-the-art stream processing framework in different execution environments and regarding different scalability dimensions. "&amp;"Method: We benchmark five modern stream processing frameworks regarding their scalability using a systematic method. We conduct over 740 h of experiments on Kubernetes clusters in the Google cloud and in a private cloud, where we deploy up to 110 simultan"&amp;"eously running microservice instances, which process up to one million messages per second. Results: All benchmarked frameworks exhibit approximately linear scalability as long as sufficient cloud resources are provisioned. However, the frameworks show co"&amp;"nsiderable differences in the rate at which resources have to be added to cope with increasing load. There is no clear superior framework, but the ranking of the frameworks depends on the use case. Using Apache Beam as an abstraction layer still comes at "&amp;"the cost of significantly higher resource requirements regardless of the use case. We observe our results regardless of scaling load on a microservice, scaling the computational work performed inside the microservice, and the selected cloud environment. M"&amp;"oreover, vertical scaling can be a complementary measure to achieve scalability of stream processing frameworks. Conclusion: While scalable microservices can be designed with all evaluated frameworks, the choice of a framework and its deployment has a con"&amp;"siderable impact on the cost of operating it. © 2023 The Author(s)")</f>
        <v>Context: The combination of distributed stream processing with microservice architectures is an emerging pattern for building data-intensive software systems. In such systems, stream processing frameworks such as Apache Flink, Apache Kafka Streams, Apache Samza, Hazelcast Jet, or the Apache Beam SDK are used inside microservices to continuously process massive amounts of data in a distributed fashion. While all of these frameworks promote scalability as a core feature, there is only little empirical research evaluating and comparing their scalability. Objective: The goal of this study to obtain evidence about the scalability of state-of-the-art stream processing framework in different execution environments and regarding different scalability dimensions. Method: We benchmark five modern stream processing frameworks regarding their scalability using a systematic method. We conduct over 740 h of experiments on Kubernetes clusters in the Google cloud and in a private cloud, where we deploy up to 110 simultaneously running microservice instances, which process up to one million messages per second. Results: All benchmarked frameworks exhibit approximately linear scalability as long as sufficient cloud resources are provisioned. However, the frameworks show considerable differences in the rate at which resources have to be added to cope with increasing load. There is no clear superior framework, but the ranking of the frameworks depends on the use case. Using Apache Beam as an abstraction layer still comes at the cost of significantly higher resource requirements regardless of the use case. We observe our results regardless of scaling load on a microservice, scaling the computational work performed inside the microservice, and the selected cloud environment. Moreover, vertical scaling can be a complementary measure to achieve scalability of stream processing frameworks. Conclusion: While scalable microservices can be designed with all evaluated frameworks, the choice of a framework and its deployment has a considerable impact on the cost of operating it. © 2023 The Author(s)</v>
      </c>
      <c r="H389" s="8" t="str">
        <f>IFERROR(__xludf.DUMMYFUNCTION("""COMPUTED_VALUE"""),"Benchmarking; Microservices; Scalability; Stream processing")</f>
        <v>Benchmarking; Microservices; Scalability; Stream processing</v>
      </c>
      <c r="I389" s="10" t="b">
        <v>0</v>
      </c>
      <c r="J389" s="10" t="b">
        <v>0</v>
      </c>
      <c r="K389" s="10" t="b">
        <v>0</v>
      </c>
      <c r="L389" s="10" t="b">
        <v>0</v>
      </c>
      <c r="M389" s="10" t="b">
        <v>0</v>
      </c>
      <c r="N389" s="10" t="b">
        <v>0</v>
      </c>
      <c r="O389" s="11" t="b">
        <f t="shared" si="1"/>
        <v>0</v>
      </c>
      <c r="P389" s="16" t="b">
        <v>0</v>
      </c>
      <c r="Q389" s="7"/>
    </row>
    <row r="390">
      <c r="A390" s="5" t="b">
        <v>1</v>
      </c>
      <c r="B390" s="5" t="s">
        <v>430</v>
      </c>
      <c r="C390" s="6" t="str">
        <f>IFERROR(__xludf.DUMMYFUNCTION("""COMPUTED_VALUE"""),"10.1016/j.jss.2023.111724")</f>
        <v>10.1016/j.jss.2023.111724</v>
      </c>
      <c r="D390" s="7" t="str">
        <f>IFERROR(__xludf.DUMMYFUNCTION("""COMPUTED_VALUE"""),"Xin R.; Chen P.; Zhao Z.")</f>
        <v>Xin R.; Chen P.; Zhao Z.</v>
      </c>
      <c r="E390" s="7" t="str">
        <f>IFERROR(__xludf.DUMMYFUNCTION("""COMPUTED_VALUE"""),"CausalRCA: Causal inference based precise fine-grained root cause localization for microservice applications")</f>
        <v>CausalRCA: Causal inference based precise fine-grained root cause localization for microservice applications</v>
      </c>
      <c r="F390" s="7" t="str">
        <f>IFERROR(__xludf.DUMMYFUNCTION("""COMPUTED_VALUE"""),"JSS")</f>
        <v>JSS</v>
      </c>
      <c r="G390" s="7" t="str">
        <f>IFERROR(__xludf.DUMMYFUNCTION("""COMPUTED_VALUE"""),"Effectively localizing root causes of performance anomalies is crucial to enabling the rapid recovery and loss mitigation of microservice applications in the cloud. Depending on the granularity of the causes that can be localized, a service operator may t"&amp;"ake different actions, e.g., restarting or migrating services if only faulty services can be localized (namely, coarse-grained) or scaling resources if specific indicative metrics on the faulty service can be localized (namely, fine-grained). Prior resear"&amp;"ch mainly focuses on coarse-grained faulty service localization, and there is now a growing interest in fine-grained root cause localization to identify faulty services and metrics. Causal inference (CI) based methods have gained popularity recently for r"&amp;"oot cause localization, but currently used CI methods have limitations, such as the linear causal relations assumption and strict data distribution requirements. To tackle these challenges, we propose a framework named CausalRCA to implement fine-grained,"&amp;" automated, and real-time root cause localization. The CausalRCA uses a gradient-based causal structure learning method to generate weighted causal graphs and a root cause inference method to localize root cause metrics. We conduct coarse- and fine-graine"&amp;"d root cause localization to evaluate the localization performance of CausalRCA. Experimental results show that CausalRCA has significantly outperformed baseline methods in localization accuracy, e.g., the average AC@3 of the fine-grained root cause metri"&amp;"c localization in the faulty service is 0.719, and the average increase is 10% compared with baseline methods. In addition, the average Avg@5 has improved by 9.43%. Codes and data are open-sourced and can be found in our Github repository CausalRCA. © 202"&amp;"3 The Author(s)")</f>
        <v>Effectively localizing root causes of performance anomalies is crucial to enabling the rapid recovery and loss mitigation of microservice applications in the cloud. Depending on the granularity of the causes that can be localized, a service operator may take different actions, e.g., restarting or migrating services if only faulty services can be localized (namely, coarse-grained) or scaling resources if specific indicative metrics on the faulty service can be localized (namely, fine-grained). Prior research mainly focuses on coarse-grained faulty service localization, and there is now a growing interest in fine-grained root cause localization to identify faulty services and metrics. Causal inference (CI) based methods have gained popularity recently for root cause localization, but currently used CI methods have limitations, such as the linear causal relations assumption and strict data distribution requirements. To tackle these challenges, we propose a framework named CausalRCA to implement fine-grained, automated, and real-time root cause localization. The CausalRCA uses a gradient-based causal structure learning method to generate weighted causal graphs and a root cause inference method to localize root cause metrics. We conduct coarse- and fine-grained root cause localization to evaluate the localization performance of CausalRCA. Experimental results show that CausalRCA has significantly outperformed baseline methods in localization accuracy, e.g., the average AC@3 of the fine-grained root cause metric localization in the faulty service is 0.719, and the average increase is 10% compared with baseline methods. In addition, the average Avg@5 has improved by 9.43%. Codes and data are open-sourced and can be found in our Github repository CausalRCA. © 2023 The Author(s)</v>
      </c>
      <c r="H390" s="8" t="str">
        <f>IFERROR(__xludf.DUMMYFUNCTION("""COMPUTED_VALUE"""),"Causal inference; Fine-grained; Microservice applications; Monitoring data; Root cause localization")</f>
        <v>Causal inference; Fine-grained; Microservice applications; Monitoring data; Root cause localization</v>
      </c>
      <c r="I390" s="10" t="b">
        <v>0</v>
      </c>
      <c r="J390" s="10" t="b">
        <v>0</v>
      </c>
      <c r="K390" s="10" t="b">
        <v>0</v>
      </c>
      <c r="L390" s="10" t="b">
        <v>0</v>
      </c>
      <c r="M390" s="10" t="b">
        <v>0</v>
      </c>
      <c r="N390" s="10" t="b">
        <v>0</v>
      </c>
      <c r="O390" s="11" t="b">
        <f t="shared" si="1"/>
        <v>0</v>
      </c>
      <c r="P390" s="16" t="b">
        <v>0</v>
      </c>
      <c r="Q390" s="7"/>
    </row>
    <row r="391">
      <c r="A391" s="5" t="b">
        <v>1</v>
      </c>
      <c r="B391" s="5" t="s">
        <v>431</v>
      </c>
      <c r="C391" s="6" t="str">
        <f>IFERROR(__xludf.DUMMYFUNCTION("""COMPUTED_VALUE"""),"10.1016/j.jss.2013.12.034")</f>
        <v>10.1016/j.jss.2013.12.034</v>
      </c>
      <c r="D391" s="7" t="str">
        <f>IFERROR(__xludf.DUMMYFUNCTION("""COMPUTED_VALUE"""),"Tsai C.-F.; Chen Z.-Y.; Ke S.-W.")</f>
        <v>Tsai C.-F.; Chen Z.-Y.; Ke S.-W.</v>
      </c>
      <c r="E391" s="7" t="str">
        <f>IFERROR(__xludf.DUMMYFUNCTION("""COMPUTED_VALUE"""),"Evolutionary instance selection for text classification")</f>
        <v>Evolutionary instance selection for text classification</v>
      </c>
      <c r="F391" s="7" t="str">
        <f>IFERROR(__xludf.DUMMYFUNCTION("""COMPUTED_VALUE"""),"JSS")</f>
        <v>JSS</v>
      </c>
      <c r="G391" s="7" t="str">
        <f>IFERROR(__xludf.DUMMYFUNCTION("""COMPUTED_VALUE"""),"Text classification is usually based on constructing a model through learning from training examples to automatically classify text documents. However, as the size of text document repositories grows rapidly, the storage requirement and computational cost"&amp;" of model learning become higher. Instance selection is one solution to solve these limitations whose aim is to reduce the data size by filtering out noisy data from a given training dataset. In this paper, we introduce a novel algorithm for these tasks, "&amp;"namely a biological-based genetic algorithm (BGA). BGA fits a ""biological evolution"" into the evolutionary process, where the most streamlined process also complies with the reasonable rules. In other words, after long-term evolution, organisms find the"&amp;" most efficient way to allocate resources and evolve. Consequently, we can closely simulate the natural evolution of an algorithm, such that the algorithm will be both efficient and effective. The experimental results based on the TechTC-100 and Reuters-2"&amp;"1578 datasets show the outperformance of BGA over five state-of-the-art algorithms. In particular, using BGA to select text documents not only results in the largest dataset reduction rate, but also requires the least computational time. Moreover, BGA can"&amp;" make the k-NN and SVM classifiers provide similar or slightly better classification accuracy than GA. © 2014 Elsevier Inc.")</f>
        <v>Text classification is usually based on constructing a model through learning from training examples to automatically classify text documents. However, as the size of text document repositories grows rapidly, the storage requirement and computational cost of model learning become higher. Instance selection is one solution to solve these limitations whose aim is to reduce the data size by filtering out noisy data from a given training dataset. In this paper, we introduce a novel algorithm for these tasks, namely a biological-based genetic algorithm (BGA). BGA fits a "biological evolution" into the evolutionary process, where the most streamlined process also complies with the reasonable rules. In other words, after long-term evolution, organisms find the most efficient way to allocate resources and evolve. Consequently, we can closely simulate the natural evolution of an algorithm, such that the algorithm will be both efficient and effective. The experimental results based on the TechTC-100 and Reuters-21578 datasets show the outperformance of BGA over five state-of-the-art algorithms. In particular, using BGA to select text documents not only results in the largest dataset reduction rate, but also requires the least computational time. Moreover, BGA can make the k-NN and SVM classifiers provide similar or slightly better classification accuracy than GA. © 2014 Elsevier Inc.</v>
      </c>
      <c r="H391" s="8" t="str">
        <f>IFERROR(__xludf.DUMMYFUNCTION("""COMPUTED_VALUE"""),"Genetic algorithms; Instance selection; Text classification")</f>
        <v>Genetic algorithms; Instance selection; Text classification</v>
      </c>
      <c r="I391" s="10" t="b">
        <v>0</v>
      </c>
      <c r="J391" s="10" t="b">
        <v>0</v>
      </c>
      <c r="K391" s="10" t="b">
        <v>0</v>
      </c>
      <c r="L391" s="10" t="b">
        <v>0</v>
      </c>
      <c r="M391" s="10" t="b">
        <v>0</v>
      </c>
      <c r="N391" s="10" t="b">
        <v>0</v>
      </c>
      <c r="O391" s="11" t="b">
        <f t="shared" si="1"/>
        <v>0</v>
      </c>
      <c r="P391" s="16" t="b">
        <v>0</v>
      </c>
      <c r="Q391" s="7"/>
    </row>
    <row r="392">
      <c r="A392" s="5" t="b">
        <v>1</v>
      </c>
      <c r="B392" s="5" t="s">
        <v>432</v>
      </c>
      <c r="C392" s="6" t="str">
        <f>IFERROR(__xludf.DUMMYFUNCTION("""COMPUTED_VALUE"""),"10.1016/j.jss.2022.111249")</f>
        <v>10.1016/j.jss.2022.111249</v>
      </c>
      <c r="D392" s="7" t="str">
        <f>IFERROR(__xludf.DUMMYFUNCTION("""COMPUTED_VALUE"""),"Lin J.-S.; Huang C.-Y.; Fang C.-C.")</f>
        <v>Lin J.-S.; Huang C.-Y.; Fang C.-C.</v>
      </c>
      <c r="E392" s="7" t="str">
        <f>IFERROR(__xludf.DUMMYFUNCTION("""COMPUTED_VALUE"""),"Analysis and assessment of software reliability modeling with preemptive priority queueing policy")</f>
        <v>Analysis and assessment of software reliability modeling with preemptive priority queueing policy</v>
      </c>
      <c r="F392" s="7" t="str">
        <f>IFERROR(__xludf.DUMMYFUNCTION("""COMPUTED_VALUE"""),"JSS")</f>
        <v>JSS</v>
      </c>
      <c r="G392" s="7" t="str">
        <f>IFERROR(__xludf.DUMMYFUNCTION("""COMPUTED_VALUE"""),"Due to the growing complexity and size of software systems in modern society, the quality requirements for computer software have become ever more stringent. In the past, many software reliability growth models (SRGMs) have been proposed to evaluate and a"&amp;"ssess the reliability and quality of software systems. Some studies have demonstrated that both infinite server queueing (ISQ) and finite server queueing (FSQ) models can be applied to describe the fault detection process (FDP) and fault correction proces"&amp;"s (FCP) of software systems. However, it has also been noted that most ISQ and FSQ models assumed and obeyed the first come first served (FCFS) rule when removing the detected faults in FDP. In practice, the detected faults generally are classified into d"&amp;"ifferent levels of priority and those with higher priority should be fixed earlier. That is, high-priority faults have to be removed quickly to minimize their impact on software systems. Consequently, this assumption should be properly modified or adjuste"&amp;"d. In this paper, we proposed a preemptive priority queueing (PPQ) model that considers both a finite number of debuggers and different priority levels. In our proposed PPQ model, faults assigned higher priority would be able to preemptively acquire resou"&amp;"rces already occupied by lower priority faults. Some numerical examples based on real failure data from different open-source and closed-source software are analyzed and discussed in detail. Experimental results show that the proposed PPQ model can provid"&amp;"e more accurate estimation capability for software reliability, compared to traditional SRGMs. © 2022 Elsevier Inc.")</f>
        <v>Due to the growing complexity and size of software systems in modern society, the quality requirements for computer software have become ever more stringent. In the past, many software reliability growth models (SRGMs) have been proposed to evaluate and assess the reliability and quality of software systems. Some studies have demonstrated that both infinite server queueing (ISQ) and finite server queueing (FSQ) models can be applied to describe the fault detection process (FDP) and fault correction process (FCP) of software systems. However, it has also been noted that most ISQ and FSQ models assumed and obeyed the first come first served (FCFS) rule when removing the detected faults in FDP. In practice, the detected faults generally are classified into different levels of priority and those with higher priority should be fixed earlier. That is, high-priority faults have to be removed quickly to minimize their impact on software systems. Consequently, this assumption should be properly modified or adjusted. In this paper, we proposed a preemptive priority queueing (PPQ) model that considers both a finite number of debuggers and different priority levels. In our proposed PPQ model, faults assigned higher priority would be able to preemptively acquire resources already occupied by lower priority faults. Some numerical examples based on real failure data from different open-source and closed-source software are analyzed and discussed in detail. Experimental results show that the proposed PPQ model can provide more accurate estimation capability for software reliability, compared to traditional SRGMs. © 2022 Elsevier Inc.</v>
      </c>
      <c r="H392" s="8" t="str">
        <f>IFERROR(__xludf.DUMMYFUNCTION("""COMPUTED_VALUE"""),"Debugging; Non-preemptive priority queue; Open-source software; Preemptive priority queue; Software reliability; Software testing")</f>
        <v>Debugging; Non-preemptive priority queue; Open-source software; Preemptive priority queue; Software reliability; Software testing</v>
      </c>
      <c r="I392" s="10" t="b">
        <v>0</v>
      </c>
      <c r="J392" s="10" t="b">
        <v>0</v>
      </c>
      <c r="K392" s="10" t="b">
        <v>0</v>
      </c>
      <c r="L392" s="10" t="b">
        <v>0</v>
      </c>
      <c r="M392" s="10" t="b">
        <v>0</v>
      </c>
      <c r="N392" s="10" t="b">
        <v>0</v>
      </c>
      <c r="O392" s="11" t="b">
        <f t="shared" si="1"/>
        <v>0</v>
      </c>
      <c r="P392" s="16" t="b">
        <v>0</v>
      </c>
      <c r="Q392" s="7"/>
    </row>
    <row r="393">
      <c r="A393" s="5" t="b">
        <v>1</v>
      </c>
      <c r="B393" s="5" t="s">
        <v>433</v>
      </c>
      <c r="C393" s="6" t="str">
        <f>IFERROR(__xludf.DUMMYFUNCTION("""COMPUTED_VALUE"""),"10.1016/j.jss.2013.11.002")</f>
        <v>10.1016/j.jss.2013.11.002</v>
      </c>
      <c r="D393" s="7" t="str">
        <f>IFERROR(__xludf.DUMMYFUNCTION("""COMPUTED_VALUE"""),"Mirandola R.; Potena P.; Riccobene E.; Scandurra P.")</f>
        <v>Mirandola R.; Potena P.; Riccobene E.; Scandurra P.</v>
      </c>
      <c r="E393" s="7" t="str">
        <f>IFERROR(__xludf.DUMMYFUNCTION("""COMPUTED_VALUE"""),"A reliability model for Service Component Architectures")</f>
        <v>A reliability model for Service Component Architectures</v>
      </c>
      <c r="F393" s="7" t="str">
        <f>IFERROR(__xludf.DUMMYFUNCTION("""COMPUTED_VALUE"""),"JSS")</f>
        <v>JSS</v>
      </c>
      <c r="G393" s="7" t="str">
        <f>IFERROR(__xludf.DUMMYFUNCTION("""COMPUTED_VALUE"""),"Service-oriented applications are dynamically built by assembling existing, loosely coupled, distributed, and heterogeneous services. Predicting their reliability is very important to appropriately drive the selection and assembly of services, to evaluate"&amp;" design feasibility, to compare design alternatives, to identify potential failure areas and to maintain an acceptable reliability level under environmental extremes. This article presents a model for predicting reliability of a service-oriented applicati"&amp;"on based on its architecture specification in the lightweight formal language SCA-ASM. The SCA-ASM component model is based on the OASIS standard Service Component Architecture for heterogeneous service assembly and on the formal method Abstract State Mac"&amp;"hines for modeling service behavior, interactions, and orchestration in an abstract but executable way. The proposed method provides an automatic and compositional means for predicting reliability both at system-level and component-level by combining a re"&amp;"liability model for an SCA assembly involving SCA-ASM components, and a reliability model of an SCA-ASM component. It exploits ideas from architecture-based and path-based reliability models. A set of experimental results shows the effectiveness of the pr"&amp;"oposed approach and its comparison with a state-of-the art BPEL-based approach. © 2013 Elsevier Inc.")</f>
        <v>Service-oriented applications are dynamically built by assembling existing, loosely coupled, distributed, and heterogeneous services. Predicting their reliability is very important to appropriately drive the selection and assembly of services, to evaluate design feasibility, to compare design alternatives, to identify potential failure areas and to maintain an acceptable reliability level under environmental extremes. This article presents a model for predicting reliability of a service-oriented application based on its architecture specification in the lightweight formal language SCA-ASM. The SCA-ASM component model is based on the OASIS standard Service Component Architecture for heterogeneous service assembly and on the formal method Abstract State Machines for modeling service behavior, interactions, and orchestration in an abstract but executable way. The proposed method provides an automatic and compositional means for predicting reliability both at system-level and component-level by combining a reliability model for an SCA assembly involving SCA-ASM components, and a reliability model of an SCA-ASM component. It exploits ideas from architecture-based and path-based reliability models. A set of experimental results shows the effectiveness of the proposed approach and its comparison with a state-of-the art BPEL-based approach. © 2013 Elsevier Inc.</v>
      </c>
      <c r="H393" s="8" t="str">
        <f>IFERROR(__xludf.DUMMYFUNCTION("""COMPUTED_VALUE"""),"Abstract State Machines; Service Component Architecture; Software reliability models")</f>
        <v>Abstract State Machines; Service Component Architecture; Software reliability models</v>
      </c>
      <c r="I393" s="10" t="b">
        <v>0</v>
      </c>
      <c r="J393" s="10" t="b">
        <v>0</v>
      </c>
      <c r="K393" s="10" t="b">
        <v>0</v>
      </c>
      <c r="L393" s="10" t="b">
        <v>0</v>
      </c>
      <c r="M393" s="10" t="b">
        <v>0</v>
      </c>
      <c r="N393" s="10" t="b">
        <v>0</v>
      </c>
      <c r="O393" s="11" t="b">
        <f t="shared" si="1"/>
        <v>0</v>
      </c>
      <c r="P393" s="16" t="b">
        <v>0</v>
      </c>
      <c r="Q393" s="7"/>
    </row>
    <row r="394">
      <c r="A394" s="5" t="b">
        <v>1</v>
      </c>
      <c r="B394" s="5" t="s">
        <v>434</v>
      </c>
      <c r="C394" s="6" t="str">
        <f>IFERROR(__xludf.DUMMYFUNCTION("""COMPUTED_VALUE"""),"10.1016/j.jss.2018.05.069")</f>
        <v>10.1016/j.jss.2018.05.069</v>
      </c>
      <c r="D394" s="7" t="str">
        <f>IFERROR(__xludf.DUMMYFUNCTION("""COMPUTED_VALUE"""),"Bashari M.; Bagheri E.; Du W.")</f>
        <v>Bashari M.; Bagheri E.; Du W.</v>
      </c>
      <c r="E394" s="7" t="str">
        <f>IFERROR(__xludf.DUMMYFUNCTION("""COMPUTED_VALUE"""),"Self-adaptation of service compositions through product line reconfiguration")</f>
        <v>Self-adaptation of service compositions through product line reconfiguration</v>
      </c>
      <c r="F394" s="7" t="str">
        <f>IFERROR(__xludf.DUMMYFUNCTION("""COMPUTED_VALUE"""),"JSS")</f>
        <v>JSS</v>
      </c>
      <c r="G394" s="7" t="str">
        <f>IFERROR(__xludf.DUMMYFUNCTION("""COMPUTED_VALUE"""),"The large number of published services has motivated the development of tools for creating customized composite services known as service compositions. While service compositions provide high agility and development flexibility, they can also pose challen"&amp;"ges when it comes to delivering guaranteed functional and non-functional requirements. This is primarily due to the highly dynamic environment in which services operate. In this paper, we propose adaptation mechanisms that are able to effectively maintain"&amp;" functional and non-functional quality requirements in service compositions derived from software product lines. Unlike many existing work, the proposed adaptation mechanism does not require explicit user-defined adaptation strategies. We adopt concepts f"&amp;"rom the software product line engineering paradigm where service compositions are viewed as a collection of features and adaptation happens through product line reconfiguration. We have practically implemented the proposed mechanism in ourMagus tool suite"&amp;" and performed extensive experiments, which show that our work is both practical and efficient for automatically adapting service compositions once violations of functional or non-functional requirements are observed. © 2018 Elsevier Inc.")</f>
        <v>The large number of published services has motivated the development of tools for creating customized composite services known as service compositions. While service compositions provide high agility and development flexibility, they can also pose challenges when it comes to delivering guaranteed functional and non-functional requirements. This is primarily due to the highly dynamic environment in which services operate. In this paper, we propose adaptation mechanisms that are able to effectively maintain functional and non-functional quality requirements in service compositions derived from software product lines. Unlike many existing work, the proposed adaptation mechanism does not require explicit user-defined adaptation strategies. We adopt concepts from the software product line engineering paradigm where service compositions are viewed as a collection of features and adaptation happens through product line reconfiguration. We have practically implemented the proposed mechanism in ourMagus tool suite and performed extensive experiments, which show that our work is both practical and efficient for automatically adapting service compositions once violations of functional or non-functional requirements are observed. © 2018 Elsevier Inc.</v>
      </c>
      <c r="H394" s="8" t="str">
        <f>IFERROR(__xludf.DUMMYFUNCTION("""COMPUTED_VALUE"""),"Feature model; Self adaptation; Service composition; Software product lines")</f>
        <v>Feature model; Self adaptation; Service composition; Software product lines</v>
      </c>
      <c r="I394" s="10" t="b">
        <v>0</v>
      </c>
      <c r="J394" s="10" t="b">
        <v>0</v>
      </c>
      <c r="K394" s="10" t="b">
        <v>0</v>
      </c>
      <c r="L394" s="10" t="b">
        <v>0</v>
      </c>
      <c r="M394" s="10" t="b">
        <v>0</v>
      </c>
      <c r="N394" s="10" t="b">
        <v>0</v>
      </c>
      <c r="O394" s="11" t="b">
        <f t="shared" si="1"/>
        <v>0</v>
      </c>
      <c r="P394" s="16" t="b">
        <v>0</v>
      </c>
      <c r="Q394" s="7"/>
    </row>
    <row r="395">
      <c r="A395" s="5" t="b">
        <v>1</v>
      </c>
      <c r="B395" s="5" t="s">
        <v>435</v>
      </c>
      <c r="C395" s="6" t="str">
        <f>IFERROR(__xludf.DUMMYFUNCTION("""COMPUTED_VALUE"""),"10.1016/j.jss.2015.07.040")</f>
        <v>10.1016/j.jss.2015.07.040</v>
      </c>
      <c r="D395" s="7" t="str">
        <f>IFERROR(__xludf.DUMMYFUNCTION("""COMPUTED_VALUE"""),"Sabatucci L.; Cossentino M.; Susi A.")</f>
        <v>Sabatucci L.; Cossentino M.; Susi A.</v>
      </c>
      <c r="E395" s="7" t="str">
        <f>IFERROR(__xludf.DUMMYFUNCTION("""COMPUTED_VALUE"""),"A goal-oriented approach for representing and using design patterns")</f>
        <v>A goal-oriented approach for representing and using design patterns</v>
      </c>
      <c r="F395" s="7" t="str">
        <f>IFERROR(__xludf.DUMMYFUNCTION("""COMPUTED_VALUE"""),"JSS")</f>
        <v>JSS</v>
      </c>
      <c r="G395" s="7" t="str">
        <f>IFERROR(__xludf.DUMMYFUNCTION("""COMPUTED_VALUE"""),"Design patterns are known as proven solutions to recurring design problems. The role of pattern documentation format is to transfer experience thus making pattern employment a viable technique. This research line proposes a goal-oriented pattern documenta"&amp;"tion that highlights decision-relevant information. The contribution of this paper is twofold. First, it presents a semi-structural visual notation that visualizes context, forces, alternative solutions and consequences in a compact format. Second, it int"&amp;"roduces a systematic reuse process, in which the use of goal-oriented patterns aids the practitioner in selecting and customizing design patterns. An empirical study has been conducted the results of which supports the hypothesis that the goal-oriented fo"&amp;"rmat provides benefits for the practitioner. The experiment revealed a trend in which solutions better address requirements when the subjects are equipped with the new pattern documentation. © 2015 Elsevier Inc. All rights reserved.")</f>
        <v>Design patterns are known as proven solutions to recurring design problems. The role of pattern documentation format is to transfer experience thus making pattern employment a viable technique. This research line proposes a goal-oriented pattern documentation that highlights decision-relevant information. The contribution of this paper is twofold. First, it presents a semi-structural visual notation that visualizes context, forces, alternative solutions and consequences in a compact format. Second, it introduces a systematic reuse process, in which the use of goal-oriented patterns aids the practitioner in selecting and customizing design patterns. An empirical study has been conducted the results of which supports the hypothesis that the goal-oriented format provides benefits for the practitioner. The experiment revealed a trend in which solutions better address requirements when the subjects are equipped with the new pattern documentation. © 2015 Elsevier Inc. All rights reserved.</v>
      </c>
      <c r="H395" s="8" t="str">
        <f>IFERROR(__xludf.DUMMYFUNCTION("""COMPUTED_VALUE"""),"Design patterns; Goal modeling; Goal reasoning")</f>
        <v>Design patterns; Goal modeling; Goal reasoning</v>
      </c>
      <c r="I395" s="9" t="b">
        <v>1</v>
      </c>
      <c r="J395" s="9" t="b">
        <v>1</v>
      </c>
      <c r="K395" s="9" t="b">
        <v>1</v>
      </c>
      <c r="L395" s="10" t="b">
        <v>0</v>
      </c>
      <c r="M395" s="10" t="b">
        <v>0</v>
      </c>
      <c r="N395" s="10" t="b">
        <v>0</v>
      </c>
      <c r="O395" s="11" t="b">
        <f t="shared" si="1"/>
        <v>1</v>
      </c>
      <c r="P395" s="12" t="b">
        <v>0</v>
      </c>
      <c r="Q395" s="13"/>
    </row>
    <row r="396">
      <c r="A396" s="5" t="b">
        <v>1</v>
      </c>
      <c r="B396" s="5" t="s">
        <v>436</v>
      </c>
      <c r="C396" s="6" t="str">
        <f>IFERROR(__xludf.DUMMYFUNCTION("""COMPUTED_VALUE"""),"10.1016/j.jss.2013.12.033")</f>
        <v>10.1016/j.jss.2013.12.033</v>
      </c>
      <c r="D396" s="7" t="str">
        <f>IFERROR(__xludf.DUMMYFUNCTION("""COMPUTED_VALUE"""),"Chen B.; Peng X.; Yu Y.; Zhao W.")</f>
        <v>Chen B.; Peng X.; Yu Y.; Zhao W.</v>
      </c>
      <c r="E396" s="7" t="str">
        <f>IFERROR(__xludf.DUMMYFUNCTION("""COMPUTED_VALUE"""),"Uncertainty handling in goal-driven self-optimization - Limiting the negative effect on adaptation")</f>
        <v>Uncertainty handling in goal-driven self-optimization - Limiting the negative effect on adaptation</v>
      </c>
      <c r="F396" s="7" t="str">
        <f>IFERROR(__xludf.DUMMYFUNCTION("""COMPUTED_VALUE"""),"JSS")</f>
        <v>JSS</v>
      </c>
      <c r="G396" s="7" t="str">
        <f>IFERROR(__xludf.DUMMYFUNCTION("""COMPUTED_VALUE"""),"Goal-driven self-optimization through feedback loops has shown effectiveness in reducing oscillating utilities due to a large number of uncertain factors in the runtime environments. However, such self-optimization is less satisfactory when there contains"&amp;" uncertainty in the predefined requirements goal models, such as imprecise contributions and unknown quality preferences, or during the switches of goal solutions, such as lack of understanding about the time for the adaptation actions to take effect. In "&amp;"this paper, we propose to handle such uncertainty in goal-driven self-optimization without interrupting the services. Taking the monitored quality values as the feedback, and the estimated earned value as the global indicator of self-optimization, our app"&amp;"roach dynamically updates the quantitative contributions from alternative functionalities to quality requirements, tunes the preferences of relevant quality requirements, and determines a proper timing delay for the last adaptation action to take effect. "&amp;"After applying these runtime measures to limit the negative effect of the uncertainty in goal models and their suggested switches, an experimental study on a real-life online shopping system shows the improvements over goal-driven self-optimization approa"&amp;"ches without uncertainty handling. © 2014 Elsevier Inc.")</f>
        <v>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 2014 Elsevier Inc.</v>
      </c>
      <c r="H396" s="8" t="str">
        <f>IFERROR(__xludf.DUMMYFUNCTION("""COMPUTED_VALUE"""),"Goal-driven self-optimization; Requirements goal models; Uncertainty")</f>
        <v>Goal-driven self-optimization; Requirements goal models; Uncertainty</v>
      </c>
      <c r="I396" s="10" t="b">
        <v>0</v>
      </c>
      <c r="J396" s="10" t="b">
        <v>0</v>
      </c>
      <c r="K396" s="10" t="b">
        <v>0</v>
      </c>
      <c r="L396" s="10" t="b">
        <v>0</v>
      </c>
      <c r="M396" s="10" t="b">
        <v>0</v>
      </c>
      <c r="N396" s="10" t="b">
        <v>0</v>
      </c>
      <c r="O396" s="11" t="b">
        <f t="shared" si="1"/>
        <v>0</v>
      </c>
      <c r="P396" s="16" t="b">
        <v>0</v>
      </c>
      <c r="Q396" s="7"/>
    </row>
    <row r="397">
      <c r="A397" s="5" t="b">
        <v>1</v>
      </c>
      <c r="B397" s="5" t="s">
        <v>437</v>
      </c>
      <c r="C397" s="6" t="str">
        <f>IFERROR(__xludf.DUMMYFUNCTION("""COMPUTED_VALUE"""),"10.1016/j.jss.2018.12.012")</f>
        <v>10.1016/j.jss.2018.12.012</v>
      </c>
      <c r="D397" s="7" t="str">
        <f>IFERROR(__xludf.DUMMYFUNCTION("""COMPUTED_VALUE"""),"Fardbastani M.A.; Sharifi M.")</f>
        <v>Fardbastani M.A.; Sharifi M.</v>
      </c>
      <c r="E397" s="7" t="str">
        <f>IFERROR(__xludf.DUMMYFUNCTION("""COMPUTED_VALUE"""),"Scalable complex event processing using adaptive load balancing")</f>
        <v>Scalable complex event processing using adaptive load balancing</v>
      </c>
      <c r="F397" s="7" t="str">
        <f>IFERROR(__xludf.DUMMYFUNCTION("""COMPUTED_VALUE"""),"JSS")</f>
        <v>JSS</v>
      </c>
      <c r="G397" s="7" t="str">
        <f>IFERROR(__xludf.DUMMYFUNCTION("""COMPUTED_VALUE"""),"An essential requirement of large-scale event-driven systems is the real-time detection of complex patterns of events from a large number of basic events and derivation of higher-level events using complex event processing (CEP) mechanisms. Centralized CE"&amp;"P mechanisms are however not scalable and thus inappropriate for large-scale domains with many input events and complex patterns, rendering the horizontal scaling of CEP mechanisms a necessity. In this paper, we propose CCEP as a mechanism for clustering "&amp;"of heterogeneous CEP engines to provide horizontal scalability using adaptive load balancing. We experimentally compare the performance of CCEP with the performances of three CEP clustering mechanisms, namely VISIRI, SCTXPF, and RR. The results of experim"&amp;"ents show that CCEP increases throughput by 40 percent and thus it is more scalable than the other three chosen mechanisms when the input event rate changes at runtime. Although CCEP increases the network utilization by about 40 percent, it keeps the load"&amp;" of the system two times more balanced and reduces the input event loss three times. © 2018")</f>
        <v>An essential requirement of large-scale event-driven systems is the real-time detection of complex patterns of events from a large number of basic events and derivation of higher-level events using complex event processing (CEP) mechanisms. Centralized CEP mechanisms are however not scalable and thus inappropriate for large-scale domains with many input events and complex patterns, rendering the horizontal scaling of CEP mechanisms a necessity. In this paper, we propose CCEP as a mechanism for clustering of heterogeneous CEP engines to provide horizontal scalability using adaptive load balancing. We experimentally compare the performance of CCEP with the performances of three CEP clustering mechanisms, namely VISIRI, SCTXPF, and RR. The results of experiments show that CCEP increases throughput by 40 percent and thus it is more scalable than the other three chosen mechanisms when the input event rate changes at runtime. Although CCEP increases the network utilization by about 40 percent, it keeps the load of the system two times more balanced and reduces the input event loss three times. © 2018</v>
      </c>
      <c r="H397" s="8" t="str">
        <f>IFERROR(__xludf.DUMMYFUNCTION("""COMPUTED_VALUE"""),"Adaptive load balancing; CEP; Complex event processing; Horizontal scaling; Scalability")</f>
        <v>Adaptive load balancing; CEP; Complex event processing; Horizontal scaling; Scalability</v>
      </c>
      <c r="I397" s="10" t="b">
        <v>0</v>
      </c>
      <c r="J397" s="10" t="b">
        <v>0</v>
      </c>
      <c r="K397" s="10" t="b">
        <v>0</v>
      </c>
      <c r="L397" s="10" t="b">
        <v>0</v>
      </c>
      <c r="M397" s="10" t="b">
        <v>0</v>
      </c>
      <c r="N397" s="10" t="b">
        <v>0</v>
      </c>
      <c r="O397" s="11" t="b">
        <f t="shared" si="1"/>
        <v>0</v>
      </c>
      <c r="P397" s="16" t="b">
        <v>0</v>
      </c>
      <c r="Q397" s="7"/>
    </row>
    <row r="398">
      <c r="A398" s="5" t="b">
        <v>1</v>
      </c>
      <c r="B398" s="5" t="s">
        <v>438</v>
      </c>
      <c r="C398" s="6" t="str">
        <f>IFERROR(__xludf.DUMMYFUNCTION("""COMPUTED_VALUE"""),"10.1016/j.jss.2019.110417")</f>
        <v>10.1016/j.jss.2019.110417</v>
      </c>
      <c r="D398" s="7" t="str">
        <f>IFERROR(__xludf.DUMMYFUNCTION("""COMPUTED_VALUE"""),"Rojas L.A.; Macías J.A.")</f>
        <v>Rojas L.A.; Macías J.A.</v>
      </c>
      <c r="E398" s="7" t="str">
        <f>IFERROR(__xludf.DUMMYFUNCTION("""COMPUTED_VALUE"""),"Toward collisions produced in requirements rankings: A qualitative approach and experimental study")</f>
        <v>Toward collisions produced in requirements rankings: A qualitative approach and experimental study</v>
      </c>
      <c r="F398" s="7" t="str">
        <f>IFERROR(__xludf.DUMMYFUNCTION("""COMPUTED_VALUE"""),"JSS")</f>
        <v>JSS</v>
      </c>
      <c r="G398" s="7" t="str">
        <f>IFERROR(__xludf.DUMMYFUNCTION("""COMPUTED_VALUE"""),"Requirements prioritization is an important issue that determines the way requirements are selected and processed in software projects. There already exist specific methods to classify and prioritize requirements, most of them based on quantitative measur"&amp;"es. However, most of existing approaches do not consider collisions, which are an important concern in large-scale requirements sets and, more specifically, in agile development processes where requirements have to be uniquely selected for each software i"&amp;"ncrement. In this paper, we propose QMPSR (Qualitative Method for Prioritizing Software Requirements), an approach that features the prioritization of requirements by considering qualitative elements that are related to the project's priorities. Our appro"&amp;"ach highlights a prioritization method that has proven to reduce collisions in software requirements rankings. Furthermore, QMPSR improves accuracy in classification when facing large-scale requirements sets, featuring no scalability problems as the numbe"&amp;"r of requirements increases. We formally introduce QMPSR and then define prioritization effort and collision metrics to carry out comprehensive experiments involving different sets of requirements, comparing our approach with well-known existing prioritiz"&amp;"ation methods. The experiments have provided satisfactory results, overcoming existing approaches and ensuring scalability. © 2019")</f>
        <v>Requirements prioritization is an important issue that determines the way requirements are selected and processed in software projects. There already exist specific methods to classify and prioritize requirements, most of them based on quantitative measures. However, most of existing approaches do not consider collisions, which are an important concern in large-scale requirements sets and, more specifically, in agile development processes where requirements have to be uniquely selected for each software increment. In this paper, we propose QMPSR (Qualitative Method for Prioritizing Software Requirements), an approach that features the prioritization of requirements by considering qualitative elements that are related to the project's priorities. Our approach highlights a prioritization method that has proven to reduce collisions in software requirements rankings. Furthermore, QMPSR improves accuracy in classification when facing large-scale requirements sets, featuring no scalability problems as the number of requirements increases. We formally introduce QMPSR and then define prioritization effort and collision metrics to carry out comprehensive experiments involving different sets of requirements, comparing our approach with well-known existing prioritization methods. The experiments have provided satisfactory results, overcoming existing approaches and ensuring scalability. © 2019</v>
      </c>
      <c r="H398" s="8" t="str">
        <f>IFERROR(__xludf.DUMMYFUNCTION("""COMPUTED_VALUE"""),"Qualitative prioritization method; Requirement collision; Requirement prioritization")</f>
        <v>Qualitative prioritization method; Requirement collision; Requirement prioritization</v>
      </c>
      <c r="I398" s="9" t="b">
        <v>0</v>
      </c>
      <c r="J398" s="9" t="b">
        <v>1</v>
      </c>
      <c r="K398" s="9" t="b">
        <v>1</v>
      </c>
      <c r="L398" s="10" t="b">
        <v>0</v>
      </c>
      <c r="M398" s="10" t="b">
        <v>0</v>
      </c>
      <c r="N398" s="10" t="b">
        <v>0</v>
      </c>
      <c r="O398" s="11" t="b">
        <f t="shared" si="1"/>
        <v>0</v>
      </c>
      <c r="P398" s="12" t="b">
        <v>0</v>
      </c>
      <c r="Q398" s="7"/>
    </row>
    <row r="399">
      <c r="A399" s="5" t="b">
        <v>1</v>
      </c>
      <c r="B399" s="5" t="s">
        <v>439</v>
      </c>
      <c r="C399" s="6" t="str">
        <f>IFERROR(__xludf.DUMMYFUNCTION("""COMPUTED_VALUE"""),"10.1016/j.jss.2020.110569")</f>
        <v>10.1016/j.jss.2020.110569</v>
      </c>
      <c r="D399" s="7" t="str">
        <f>IFERROR(__xludf.DUMMYFUNCTION("""COMPUTED_VALUE"""),"Wu J.; Guo X.; Yang G.; Wu S.; Wu J.")</f>
        <v>Wu J.; Guo X.; Yang G.; Wu S.; Wu J.</v>
      </c>
      <c r="E399" s="7" t="str">
        <f>IFERROR(__xludf.DUMMYFUNCTION("""COMPUTED_VALUE"""),"Substructure similarity search for engineering service-based systems")</f>
        <v>Substructure similarity search for engineering service-based systems</v>
      </c>
      <c r="F399" s="7" t="str">
        <f>IFERROR(__xludf.DUMMYFUNCTION("""COMPUTED_VALUE"""),"JSS")</f>
        <v>JSS</v>
      </c>
      <c r="G399" s="7" t="str">
        <f>IFERROR(__xludf.DUMMYFUNCTION("""COMPUTED_VALUE"""),"With the broad application of service-oriented architecture in service-oriented software engineering, service-based systems (SBSs) are becoming ever more widely used. As a result, the selection of appropriate component services destined to fulfill the fun"&amp;"ctional requirements becomes a critical challenge for successfully building SBSs, especially when the pre-specified SBS plan involves a complicated structure. Because building an exact SBS is often too restrictive, a similarity search for complex function"&amp;"al requirements becomes an essential operation that must be efficiently supported. We thus investigate in this work the substructure similarity search problem of building a SBS. To solve this new research problem, we propose a feature-based method, called"&amp;" the substructure similarity search for service-based systems (5S), to help users find similar SBS solutions by progressively relaxing a SBS plan. The 5S approach models each SBS as a set of features and transforms the task of relaxation of a SBS into the"&amp;" maximum allowed missing features, which can filter many SBSs directly without costly structure comparisons. 5S thus opens a new paradigm for efficient SBS engineering that shortens the build cycle. Finally, we discuss a series of experiments using real-w"&amp;"orld Web service datasets that demonstrate the effectiveness and efficiency of the proposed approach. © 2020")</f>
        <v>With the broad application of service-oriented architecture in service-oriented software engineering, service-based systems (SBSs) are becoming ever more widely used. As a result, the selection of appropriate component services destined to fulfill the functional requirements becomes a critical challenge for successfully building SBSs, especially when the pre-specified SBS plan involves a complicated structure. Because building an exact SBS is often too restrictive, a similarity search for complex functional requirements becomes an essential operation that must be efficiently supported. We thus investigate in this work the substructure similarity search problem of building a SBS. To solve this new research problem, we propose a feature-based method, called the substructure similarity search for service-based systems (5S), to help users find similar SBS solutions by progressively relaxing a SBS plan. The 5S approach models each SBS as a set of features and transforms the task of relaxation of a SBS into the maximum allowed missing features, which can filter many SBSs directly without costly structure comparisons. 5S thus opens a new paradigm for efficient SBS engineering that shortens the build cycle. Finally, we discuss a series of experiments using real-world Web service datasets that demonstrate the effectiveness and efficiency of the proposed approach. © 2020</v>
      </c>
      <c r="H399" s="8" t="str">
        <f>IFERROR(__xludf.DUMMYFUNCTION("""COMPUTED_VALUE"""),"Graph matching; Service composition; Service-based system; Substructure similarity search; Web service")</f>
        <v>Graph matching; Service composition; Service-based system; Substructure similarity search; Web service</v>
      </c>
      <c r="I399" s="10" t="b">
        <v>0</v>
      </c>
      <c r="J399" s="10" t="b">
        <v>0</v>
      </c>
      <c r="K399" s="10" t="b">
        <v>0</v>
      </c>
      <c r="L399" s="10" t="b">
        <v>0</v>
      </c>
      <c r="M399" s="10" t="b">
        <v>0</v>
      </c>
      <c r="N399" s="10" t="b">
        <v>0</v>
      </c>
      <c r="O399" s="11" t="b">
        <f t="shared" si="1"/>
        <v>0</v>
      </c>
      <c r="P399" s="16" t="b">
        <v>0</v>
      </c>
      <c r="Q399" s="7"/>
    </row>
    <row r="400">
      <c r="A400" s="5" t="b">
        <v>1</v>
      </c>
      <c r="B400" s="5" t="s">
        <v>440</v>
      </c>
      <c r="C400" s="6" t="str">
        <f>IFERROR(__xludf.DUMMYFUNCTION("""COMPUTED_VALUE"""),"10.1016/j.jss.2018.06.035")</f>
        <v>10.1016/j.jss.2018.06.035</v>
      </c>
      <c r="D400" s="7" t="str">
        <f>IFERROR(__xludf.DUMMYFUNCTION("""COMPUTED_VALUE"""),"Caivano D.; Fogli D.; Lanzilotti R.; Piccinno A.; Cassano F.")</f>
        <v>Caivano D.; Fogli D.; Lanzilotti R.; Piccinno A.; Cassano F.</v>
      </c>
      <c r="E400" s="7" t="str">
        <f>IFERROR(__xludf.DUMMYFUNCTION("""COMPUTED_VALUE"""),"Supporting end users to control their smart home: design implications from a literature review and an empirical investigation")</f>
        <v>Supporting end users to control their smart home: design implications from a literature review and an empirical investigation</v>
      </c>
      <c r="F400" s="7" t="str">
        <f>IFERROR(__xludf.DUMMYFUNCTION("""COMPUTED_VALUE"""),"JSS")</f>
        <v>JSS</v>
      </c>
      <c r="G400" s="7" t="str">
        <f>IFERROR(__xludf.DUMMYFUNCTION("""COMPUTED_VALUE"""),"Designing tools that allow end users to easily control and manage a smart home is a critical issue that researchers in Ambient Intelligence and Internet of Things have to address. Because of the variety of available solutions, with their advantages and li"&amp;"mitations, it is not straightforward to understand which are the requirements that must be satisfied to effectively support end users. This paper aims to contribute to this topic through a systematic and rigorous activity based on two main pillars of the "&amp;"empirical research in software engineering: i) a literature review addressing design and evaluation of tools for smart home control oriented to end users, and ii) an experimental study in which three tools, that emerged from the literature review as the m"&amp;"ost suitable and widespread, were compared in order to identify the interaction mechanisms that end users appreciate most. On the basis of the obtained results, a set of design implications that may drive the development of future tools for smart home con"&amp;"trol and management are presented. © 2018")</f>
        <v>Designing tools that allow end users to easily control and manage a smart home is a critical issue that researchers in Ambient Intelligence and Internet of Things have to address. Because of the variety of available solutions, with their advantages and limitations, it is not straightforward to understand which are the requirements that must be satisfied to effectively support end users. This paper aims to contribute to this topic through a systematic and rigorous activity based on two main pillars of the empirical research in software engineering: i) a literature review addressing design and evaluation of tools for smart home control oriented to end users, and ii) an experimental study in which three tools, that emerged from the literature review as the most suitable and widespread, were compared in order to identify the interaction mechanisms that end users appreciate most. On the basis of the obtained results, a set of design implications that may drive the development of future tools for smart home control and management are presented. © 2018</v>
      </c>
      <c r="H400" s="8" t="str">
        <f>IFERROR(__xludf.DUMMYFUNCTION("""COMPUTED_VALUE"""),"Ambient intelligence; End-user development; Internet of things; Rule-based paradigm; Smart home")</f>
        <v>Ambient intelligence; End-user development; Internet of things; Rule-based paradigm; Smart home</v>
      </c>
      <c r="I400" s="10" t="b">
        <v>0</v>
      </c>
      <c r="J400" s="10" t="b">
        <v>0</v>
      </c>
      <c r="K400" s="9" t="b">
        <v>1</v>
      </c>
      <c r="L400" s="10" t="b">
        <v>0</v>
      </c>
      <c r="M400" s="10" t="b">
        <v>0</v>
      </c>
      <c r="N400" s="10" t="b">
        <v>0</v>
      </c>
      <c r="O400" s="11" t="b">
        <f t="shared" si="1"/>
        <v>0</v>
      </c>
      <c r="P400" s="16" t="b">
        <v>0</v>
      </c>
      <c r="Q400" s="7"/>
    </row>
    <row r="401">
      <c r="A401" s="5" t="b">
        <v>1</v>
      </c>
      <c r="B401" s="5" t="s">
        <v>441</v>
      </c>
      <c r="C401" s="6" t="str">
        <f>IFERROR(__xludf.DUMMYFUNCTION("""COMPUTED_VALUE"""),"10.1016/j.jss.2012.01.050")</f>
        <v>10.1016/j.jss.2012.01.050</v>
      </c>
      <c r="D401" s="7" t="str">
        <f>IFERROR(__xludf.DUMMYFUNCTION("""COMPUTED_VALUE"""),"Galizia A.; Quarati A.")</f>
        <v>Galizia A.; Quarati A.</v>
      </c>
      <c r="E401" s="7" t="str">
        <f>IFERROR(__xludf.DUMMYFUNCTION("""COMPUTED_VALUE"""),"Job allocation strategies for energy-aware and efficient Grid infrastructures")</f>
        <v>Job allocation strategies for energy-aware and efficient Grid infrastructures</v>
      </c>
      <c r="F401" s="7" t="str">
        <f>IFERROR(__xludf.DUMMYFUNCTION("""COMPUTED_VALUE"""),"JSS")</f>
        <v>JSS</v>
      </c>
      <c r="G401" s="7" t="str">
        <f>IFERROR(__xludf.DUMMYFUNCTION("""COMPUTED_VALUE"""),"Complex distributed architectures, like Grid, supply effective platforms to solve computations on huge datasets, often at the cost of increased power consumption. This energy issue affects the sustainability of the infrastructures and increases their envi"&amp;"ronmental impact. On the other hand, due to Grid heterogeneity and scalability, possible power savings could be achieved if effective energy-aware allocation policies were adopted. These policies are meant to implement a better coupling between applicatio"&amp;"n requirements and the Grid resources, also taking energy parameters into account. In this paper, we discuss different allocation strategies which address jobs submitted to Grid resources, subject to efficiency and energy constraints. Our aim is to analyz"&amp;"e the potential benefits that can be obtained from the adoption of a metric able to capture both performance and energy-savings. Based on an experimental study, we simulated two alternative scenarios aimed at comparing the behavior of different strategies"&amp;" for allocating jobs to resources. Moreover we introduced the Performance/Energy Trade-off function as a useful means to evaluate the tendency of an allocation strategy toward efficiency or power consumption. Our conclusion seems to suggest that performan"&amp;"ce and energy-savings are not always enemies, and these objectives may be combined if suitable energy metrics are adopted. © 2012 Elsevier Inc. All rights reserved.")</f>
        <v>Complex distributed architectures, like Grid, supply effective platforms to solve computations on huge datasets, often at the cost of increased power consumption. This energy issue affects the sustainability of the infrastructures and increases their environmental impact. On the other hand, due to Grid heterogeneity and scalability, possible power savings could be achieved if effective energy-aware allocation policies were adopted. These policies are meant to implement a better coupling between application requirements and the Grid resources, also taking energy parameters into account. In this paper, we discuss different allocation strategies which address jobs submitted to Grid resources, subject to efficiency and energy constraints. Our aim is to analyze the potential benefits that can be obtained from the adoption of a metric able to capture both performance and energy-savings. Based on an experimental study, we simulated two alternative scenarios aimed at comparing the behavior of different strategies for allocating jobs to resources. Moreover we introduced the Performance/Energy Trade-off function as a useful means to evaluate the tendency of an allocation strategy toward efficiency or power consumption. Our conclusion seems to suggest that performance and energy-savings are not always enemies, and these objectives may be combined if suitable energy metrics are adopted. © 2012 Elsevier Inc. All rights reserved.</v>
      </c>
      <c r="H401" s="8" t="str">
        <f>IFERROR(__xludf.DUMMYFUNCTION("""COMPUTED_VALUE"""),"Allocation policies; Energy metrics; Energy/efficiency trade-off; Grid; Performance evaluation")</f>
        <v>Allocation policies; Energy metrics; Energy/efficiency trade-off; Grid; Performance evaluation</v>
      </c>
      <c r="I401" s="10" t="b">
        <v>0</v>
      </c>
      <c r="J401" s="10" t="b">
        <v>0</v>
      </c>
      <c r="K401" s="10" t="b">
        <v>0</v>
      </c>
      <c r="L401" s="10" t="b">
        <v>0</v>
      </c>
      <c r="M401" s="10" t="b">
        <v>0</v>
      </c>
      <c r="N401" s="10" t="b">
        <v>0</v>
      </c>
      <c r="O401" s="11" t="b">
        <f t="shared" si="1"/>
        <v>0</v>
      </c>
      <c r="P401" s="16" t="b">
        <v>0</v>
      </c>
      <c r="Q401" s="7"/>
    </row>
    <row r="402">
      <c r="A402" s="5" t="b">
        <v>1</v>
      </c>
      <c r="B402" s="5" t="s">
        <v>442</v>
      </c>
      <c r="C402" s="6" t="str">
        <f>IFERROR(__xludf.DUMMYFUNCTION("""COMPUTED_VALUE"""),"10.1016/j.jss.2012.10.028")</f>
        <v>10.1016/j.jss.2012.10.028</v>
      </c>
      <c r="D402" s="7" t="str">
        <f>IFERROR(__xludf.DUMMYFUNCTION("""COMPUTED_VALUE"""),"Chung L.; Hill T.; Legunsen O.; Sun Z.; Dsouza A.; Supakkul S.")</f>
        <v>Chung L.; Hill T.; Legunsen O.; Sun Z.; Dsouza A.; Supakkul S.</v>
      </c>
      <c r="E402" s="7" t="str">
        <f>IFERROR(__xludf.DUMMYFUNCTION("""COMPUTED_VALUE"""),"A goal-oriented simulation approach for obtaining good private cloud-based system architectures")</f>
        <v>A goal-oriented simulation approach for obtaining good private cloud-based system architectures</v>
      </c>
      <c r="F402" s="7" t="str">
        <f>IFERROR(__xludf.DUMMYFUNCTION("""COMPUTED_VALUE"""),"JSS")</f>
        <v>JSS</v>
      </c>
      <c r="G402" s="7" t="str">
        <f>IFERROR(__xludf.DUMMYFUNCTION("""COMPUTED_VALUE"""),"The fast-growing Cloud Computing paradigm makes it possible to use unprecedented amounts of computing resources at lower costs, among other benefits such as fast provisioning and reliability. In designing a good architecture - the numbers, types and layou"&amp;"ts of devices - for a cloud-based system, which meets the goals of all stakeholders, such goals need to be factored in from the earliest stages. However, there seems to be a lack of methodologies for incorporating stakeholder goals into the design process"&amp;" for such systems, and for assuring with higher confidence that the designs are likely to be good enough for the stated goals. In this paper, we propose a goal-oriented simulation approach for cloud-based system design whereby stakeholder goals are captur"&amp;"ed, together with such domain characteristics as workflows, and used in creating a simulation model as a proxy for the cloud-based system architecture. Simulations are then run, in an interleaving manner, against various configurations of the model as a w"&amp;"ay of rationally exploring, evaluating and selecting among incrementally better architectural alternatives. We illustrate important aspects of this approach for the private cloud deployment model and report on our experiments, using a smartcard-based publ"&amp;"ic transportation system. © 2012 Elsevier Inc. All rights reserved.")</f>
        <v>The fast-growing Cloud Computing paradigm makes it possible to use unprecedented amounts of computing resources at lower costs, among other benefits such as fast provisioning and reliability. In designing a good architecture - the numbers, types and layouts of devices - for a cloud-based system, which meets the goals of all stakeholders, such goals need to be factored in from the earliest stages. However, there seems to be a lack of methodologies for incorporating stakeholder goals into the design process for such systems, and for assuring with higher confidence that the designs are likely to be good enough for the stated goals. In this paper, we propose a goal-oriented simulation approach for cloud-based system design whereby stakeholder goals are captured, together with such domain characteristics as workflows, and used in creating a simulation model as a proxy for the cloud-based system architecture. Simulations are then run, in an interleaving manner, against various configurations of the model as a way of rationally exploring, evaluating and selecting among incrementally better architectural alternatives. We illustrate important aspects of this approach for the private cloud deployment model and report on our experiments, using a smartcard-based public transportation system. © 2012 Elsevier Inc. All rights reserved.</v>
      </c>
      <c r="H402" s="8" t="str">
        <f>IFERROR(__xludf.DUMMYFUNCTION("""COMPUTED_VALUE"""),"Cloud computing; CloudSim; Goal-oriented; Little's Law; NFR framework; Requirements engineering; Simulation model; System architecture")</f>
        <v>Cloud computing; CloudSim; Goal-oriented; Little's Law; NFR framework; Requirements engineering; Simulation model; System architecture</v>
      </c>
      <c r="I402" s="10" t="b">
        <v>0</v>
      </c>
      <c r="J402" s="10" t="b">
        <v>0</v>
      </c>
      <c r="K402" s="10" t="b">
        <v>0</v>
      </c>
      <c r="L402" s="10" t="b">
        <v>0</v>
      </c>
      <c r="M402" s="10" t="b">
        <v>0</v>
      </c>
      <c r="N402" s="10" t="b">
        <v>0</v>
      </c>
      <c r="O402" s="11" t="b">
        <f t="shared" si="1"/>
        <v>0</v>
      </c>
      <c r="P402" s="16" t="b">
        <v>0</v>
      </c>
      <c r="Q402" s="7"/>
    </row>
    <row r="403">
      <c r="A403" s="5" t="b">
        <v>1</v>
      </c>
      <c r="B403" s="5" t="s">
        <v>443</v>
      </c>
      <c r="C403" s="6" t="str">
        <f>IFERROR(__xludf.DUMMYFUNCTION("""COMPUTED_VALUE"""),"10.1016/j.jss.2013.01.069")</f>
        <v>10.1016/j.jss.2013.01.069</v>
      </c>
      <c r="D403" s="7" t="str">
        <f>IFERROR(__xludf.DUMMYFUNCTION("""COMPUTED_VALUE"""),"Islam M.S.; Liu C.; Zhou R.")</f>
        <v>Islam M.S.; Liu C.; Zhou R.</v>
      </c>
      <c r="E403" s="7" t="str">
        <f>IFERROR(__xludf.DUMMYFUNCTION("""COMPUTED_VALUE"""),"A framework for query refinement with user feedback")</f>
        <v>A framework for query refinement with user feedback</v>
      </c>
      <c r="F403" s="7" t="str">
        <f>IFERROR(__xludf.DUMMYFUNCTION("""COMPUTED_VALUE"""),"JSS")</f>
        <v>JSS</v>
      </c>
      <c r="G403" s="7" t="str">
        <f>IFERROR(__xludf.DUMMYFUNCTION("""COMPUTED_VALUE"""),"SQL queries in the existing relational data model implement the binary satisfaction of tuples. That is, a data tuple is filtered out from the result set if it does not satisfy the constraints expressed in the predicates of the user submitted query. Posing"&amp;" appropriate queries for ordinary users is very difficult in the first place if they lack knowledge of the underlying dataset. Therefore, imprecise queries are commonplace for many users. In connection with this, this paper presents a framework for captur"&amp;"ing user intent through feedback for refining the initial imprecise queries that can fulfill the users' information needs. The feedback in our framework consists of both unexpected tuples currently present in the query output and expected tuples that are "&amp;"missing from the query output. We show that our framework does not require users to provide the complete set of feedback tuples because only a subset of this feedback can suffice. We provide the point domination theory to complement the other members of f"&amp;"eedback. We also provide algorithms to handle both soft and hard requirements for the refinement of initial imprecise queries. Experimental results suggest that our approach is promising compared to the decision tree based query refinement approach. © 201"&amp;"3 Elsevier Inc. All rights reserved.")</f>
        <v>SQL queries in the existing relational data model implement the binary satisfaction of tuples. That is, a data tuple is filtered out from the result set if it does not satisfy the constraints expressed in the predicates of the user submitted query. Posing appropriate queries for ordinary users is very difficult in the first place if they lack knowledge of the underlying dataset. Therefore, imprecise queries are commonplace for many users. In connection with this, this paper presents a framework for capturing user intent through feedback for refining the initial imprecise queries that can fulfill the users' information needs. The feedback in our framework consists of both unexpected tuples currently present in the query output and expected tuples that are missing from the query output. We show that our framework does not require users to provide the complete set of feedback tuples because only a subset of this feedback can suffice. We provide the point domination theory to complement the other members of feedback. We also provide algorithms to handle both soft and hard requirements for the refinement of initial imprecise queries. Experimental results suggest that our approach is promising compared to the decision tree based query refinement approach. © 2013 Elsevier Inc. All rights reserved.</v>
      </c>
      <c r="H403" s="8" t="str">
        <f>IFERROR(__xludf.DUMMYFUNCTION("""COMPUTED_VALUE"""),"Imprecise query; Query refinement; User feedback")</f>
        <v>Imprecise query; Query refinement; User feedback</v>
      </c>
      <c r="I403" s="10" t="b">
        <v>0</v>
      </c>
      <c r="J403" s="10" t="b">
        <v>0</v>
      </c>
      <c r="K403" s="10" t="b">
        <v>0</v>
      </c>
      <c r="L403" s="10" t="b">
        <v>0</v>
      </c>
      <c r="M403" s="10" t="b">
        <v>0</v>
      </c>
      <c r="N403" s="10" t="b">
        <v>0</v>
      </c>
      <c r="O403" s="11" t="b">
        <f t="shared" si="1"/>
        <v>0</v>
      </c>
      <c r="P403" s="16" t="b">
        <v>0</v>
      </c>
      <c r="Q403" s="7"/>
    </row>
    <row r="404">
      <c r="A404" s="5" t="b">
        <v>1</v>
      </c>
      <c r="B404" s="5" t="s">
        <v>444</v>
      </c>
      <c r="C404" s="6" t="str">
        <f>IFERROR(__xludf.DUMMYFUNCTION("""COMPUTED_VALUE"""),"10.1016/j.jss.2021.111124")</f>
        <v>10.1016/j.jss.2021.111124</v>
      </c>
      <c r="D404" s="7" t="str">
        <f>IFERROR(__xludf.DUMMYFUNCTION("""COMPUTED_VALUE"""),"Tuli S.; Gill S.S.; Xu M.; Garraghan P.; Bahsoon R.; Dustdar S.; Sakellariou R.; Rana O.; Buyya R.; Casale G.; Jennings N.R.")</f>
        <v>Tuli S.; Gill S.S.; Xu M.; Garraghan P.; Bahsoon R.; Dustdar S.; Sakellariou R.; Rana O.; Buyya R.; Casale G.; Jennings N.R.</v>
      </c>
      <c r="E404" s="7" t="str">
        <f>IFERROR(__xludf.DUMMYFUNCTION("""COMPUTED_VALUE"""),"HUNTER: AI based holistic resource management for sustainable cloud computing")</f>
        <v>HUNTER: AI based holistic resource management for sustainable cloud computing</v>
      </c>
      <c r="F404" s="7" t="str">
        <f>IFERROR(__xludf.DUMMYFUNCTION("""COMPUTED_VALUE"""),"JSS")</f>
        <v>JSS</v>
      </c>
      <c r="G404" s="7" t="str">
        <f>IFERROR(__xludf.DUMMYFUNCTION("""COMPUTED_VALUE"""),"The worldwide adoption of cloud data centers (CDCs) has given rise to the ubiquitous demand for hosting application services on the cloud. Further, contemporary data-intensive industries have seen a sharp upsurge in the resource requirements of modern app"&amp;"lications. This has led to the provisioning of an increased number of cloud servers, giving rise to higher energy consumption and, consequently, sustainability concerns. Traditional heuristics and reinforcement learning based algorithms for energy-efficie"&amp;"nt cloud resource management address the scalability and adaptability related challenges to a limited extent. Existing work often fails to capture dependencies across thermal characteristics of hosts, resource consumption of tasks and the corresponding sc"&amp;"heduling decisions. This leads to poor scalability and an increase in the compute resource requirements, particularly in environments with non-stationary resource demands. To address these limitations, we propose an artificial intelligence (AI) based holi"&amp;"stic resource management technique for sustainable cloud computing called HUNTER. The proposed model formulates the goal of optimizing energy efficiency in data centers as a multi-objective scheduling problem, considering three important models: energy, t"&amp;"hermal and cooling. HUNTER utilizes a Gated Graph Convolution Network as a surrogate model for approximating the Quality of Service (QoS) for a system state and generating optimal scheduling decisions. Experiments on simulated and physical cloud environme"&amp;"nts using the CloudSim toolkit and the COSCO framework show that HUNTER outperforms state-of-the-art baselines in terms of energy consumption, SLA violation, scheduling time, cost and temperature by up to 12, 35, 43, 54 and 3 percent respectively. © 2021 "&amp;"Elsevier Inc.")</f>
        <v>The worldwide adoption of cloud data centers (CDCs) has given rise to the ubiquitous demand for hosting application services on the cloud. Further, contemporary data-intensive industries have seen a sharp upsurge in the resource requirements of modern applications. This has led to the provisioning of an increased number of cloud servers, giving rise to higher energy consumption and, consequently, sustainability concerns. Traditional heuristics and reinforcement learning based algorithms for energy-efficient cloud resource management address the scalability and adaptability related challenges to a limited extent. Existing work often fails to capture dependencies across thermal characteristics of hosts, resource consumption of tasks and the corresponding scheduling decisions. This leads to poor scalability and an increase in the compute resource requirements, particularly in environments with non-stationary resource demands. To address these limitations, we propose an artificial intelligence (AI) based holistic resource management technique for sustainable cloud computing called HUNTER. The proposed model formulates the goal of optimizing energy efficiency in data centers as a multi-objective scheduling problem, considering three important models: energy, thermal and cooling. HUNTER utilizes a Gated Graph Convolution Network as a surrogate model for approximating the Quality of Service (QoS) for a system state and generating optimal scheduling decisions. Experiments on simulated and physical cloud environments using the CloudSim toolkit and the COSCO framework show that HUNTER outperforms state-of-the-art baselines in terms of energy consumption, SLA violation, scheduling time, cost and temperature by up to 12, 35, 43, 54 and 3 percent respectively. © 2021 Elsevier Inc.</v>
      </c>
      <c r="H404" s="8" t="str">
        <f>IFERROR(__xludf.DUMMYFUNCTION("""COMPUTED_VALUE"""),"Artificial intelligence; Cloud computing; Energy-efficiency; Holistic resource management; Thermal management")</f>
        <v>Artificial intelligence; Cloud computing; Energy-efficiency; Holistic resource management; Thermal management</v>
      </c>
      <c r="I404" s="10" t="b">
        <v>0</v>
      </c>
      <c r="J404" s="10" t="b">
        <v>0</v>
      </c>
      <c r="K404" s="10" t="b">
        <v>0</v>
      </c>
      <c r="L404" s="10" t="b">
        <v>0</v>
      </c>
      <c r="M404" s="10" t="b">
        <v>0</v>
      </c>
      <c r="N404" s="10" t="b">
        <v>0</v>
      </c>
      <c r="O404" s="11" t="b">
        <f t="shared" si="1"/>
        <v>0</v>
      </c>
      <c r="P404" s="16" t="b">
        <v>0</v>
      </c>
      <c r="Q404" s="7"/>
    </row>
    <row r="405">
      <c r="A405" s="5" t="b">
        <v>1</v>
      </c>
      <c r="B405" s="5" t="s">
        <v>445</v>
      </c>
      <c r="C405" s="6" t="str">
        <f>IFERROR(__xludf.DUMMYFUNCTION("""COMPUTED_VALUE"""),"10.1016/j.jss.2022.111514")</f>
        <v>10.1016/j.jss.2022.111514</v>
      </c>
      <c r="D405" s="7" t="str">
        <f>IFERROR(__xludf.DUMMYFUNCTION("""COMPUTED_VALUE"""),"Zhu K.; Yin M.; Zhu D.; Zhang X.; Gao C.; Jiang J.")</f>
        <v>Zhu K.; Yin M.; Zhu D.; Zhang X.; Gao C.; Jiang J.</v>
      </c>
      <c r="E405" s="7" t="str">
        <f>IFERROR(__xludf.DUMMYFUNCTION("""COMPUTED_VALUE"""),"SCGRU: A general approach for identifying multiple classes of self-admitted technical debt with text generation oversampling")</f>
        <v>SCGRU: A general approach for identifying multiple classes of self-admitted technical debt with text generation oversampling</v>
      </c>
      <c r="F405" s="7" t="str">
        <f>IFERROR(__xludf.DUMMYFUNCTION("""COMPUTED_VALUE"""),"JSS")</f>
        <v>JSS</v>
      </c>
      <c r="G405" s="7" t="str">
        <f>IFERROR(__xludf.DUMMYFUNCTION("""COMPUTED_VALUE"""),"Identifying self-admitted technical debt (SATD) plays an important role in maintaining software stability and improving software quality. Although existing methods can detect SATD and researchers have identified design debt and requirement debt, an approa"&amp;"ch to realize multiple classification of SATD, including defect, test, and documentation, is still lacking. In this paper, we combine text generation oversampling and the Convolutional Neural Networks-Gated Recurrent Unit (CNNGRU) model, and propose an ap"&amp;"proach called SCGRU to classify multiple debt, including defect, test, documentation, design, and requirement. First, SeqGAN-based text generation is employed to generate new samples by learning the original SATD data, thereby increasing the number of SAT"&amp;"D samples such as defect debt and reducing data imbalance. Then, we apply the CNNGRU model to refine SATD into multiple classes. An experiment with cross-project identification of 10 projects shows that our approach is more effective than existing methods"&amp;" such as CNN and text mining. The proposed SCGRU approach has strong advantages especially in cases of flawed debt with very unbalanced data such as test debt and documention debt. © 2022 Elsevier Inc.")</f>
        <v>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documention debt. © 2022 Elsevier Inc.</v>
      </c>
      <c r="H405" s="8" t="str">
        <f>IFERROR(__xludf.DUMMYFUNCTION("""COMPUTED_VALUE"""),"Multi-classification; Self-admitted technical debt; Software quality; Text generation oversampling")</f>
        <v>Multi-classification; Self-admitted technical debt; Software quality; Text generation oversampling</v>
      </c>
      <c r="I405" s="10" t="b">
        <v>0</v>
      </c>
      <c r="J405" s="10" t="b">
        <v>0</v>
      </c>
      <c r="K405" s="10" t="b">
        <v>0</v>
      </c>
      <c r="L405" s="10" t="b">
        <v>0</v>
      </c>
      <c r="M405" s="10" t="b">
        <v>0</v>
      </c>
      <c r="N405" s="10" t="b">
        <v>0</v>
      </c>
      <c r="O405" s="11" t="b">
        <f t="shared" si="1"/>
        <v>0</v>
      </c>
      <c r="P405" s="16" t="b">
        <v>0</v>
      </c>
      <c r="Q405" s="7"/>
    </row>
    <row r="406">
      <c r="A406" s="5" t="b">
        <v>1</v>
      </c>
      <c r="B406" s="5" t="s">
        <v>446</v>
      </c>
      <c r="C406" s="6" t="str">
        <f>IFERROR(__xludf.DUMMYFUNCTION("""COMPUTED_VALUE"""),"10.1016/j.jss.2018.06.077")</f>
        <v>10.1016/j.jss.2018.06.077</v>
      </c>
      <c r="D406" s="7" t="str">
        <f>IFERROR(__xludf.DUMMYFUNCTION("""COMPUTED_VALUE"""),"Curumsing M.K.; Fernando N.; Abdelrazek M.; Vasa R.; Mouzakis K.; Grundy J.")</f>
        <v>Curumsing M.K.; Fernando N.; Abdelrazek M.; Vasa R.; Mouzakis K.; Grundy J.</v>
      </c>
      <c r="E406" s="7" t="str">
        <f>IFERROR(__xludf.DUMMYFUNCTION("""COMPUTED_VALUE"""),"Understanding the impact of emotions on software: A case study in requirements gathering and evaluation")</f>
        <v>Understanding the impact of emotions on software: A case study in requirements gathering and evaluation</v>
      </c>
      <c r="F406" s="7" t="str">
        <f>IFERROR(__xludf.DUMMYFUNCTION("""COMPUTED_VALUE"""),"JSS")</f>
        <v>JSS</v>
      </c>
      <c r="G406" s="7" t="str">
        <f>IFERROR(__xludf.DUMMYFUNCTION("""COMPUTED_VALUE"""),"Smart home technology has received growing interest in recent years with a focus on automation and assistance, for example, Alexa, Google Home, Apple HomePod, and many cheap IoT devices. Better supporting elderly people to continue live in their home usin"&amp;"g smart home technology is a key target application. However, most of the existing smart home solutions for the elderly are not designed with people's emotional goals in mind, leading to lack of adoption, lack of engagement, and failure of the technology."&amp;" In this paper, we introduce an emotion-oriented requirements engineering approach to help identifying, modeling and evaluating emotional goals. We also explain how we used this technique to help us develop SofiHub - a new smart home platform for elderly "&amp;"people. SofiHub comprises a range of devices and software for sensing, interaction, passive monitoring, and emergency assistance. We have conducted multiple trials including initial field trials for elderly people in real houses. We have used our emotion-"&amp;"oriented requirements techniques to evaluate the participants’ emotional reactions before, during, and after trials to understand the impact of such technology on elderly people's emotions to the SofiHub solution. Our analysis shows that SofiHub successfu"&amp;"lly alleviates their loneliness, makes them feel safer and cared about. We also found that the trial participants developed a strong relation with the system and hence, felt frustrated when SofiHub did not respond in ways expected or desired. We reflect o"&amp;"n the lessons learned from the trials related to our emotion-oriented design and evaluation experimental approach, including refining our set of evaluation tools. © 2018")</f>
        <v>Smart home technology has received growing interest in recent years with a focus on automation and assistance, for example, Alexa, Google Home, Apple HomePod, and many cheap IoT devices. Better supporting elderly people to continue live in their home using smart home technology is a key target application. However, most of the existing smart home solutions for the elderly are not designed with people's emotional goals in mind, leading to lack of adoption, lack of engagement, and failure of the technology. In this paper, we introduce an emotion-oriented requirements engineering approach to help identifying, modeling and evaluating emotional goals. We also explain how we used this technique to help us develop SofiHub - a new smart home platform for elderly people. SofiHub comprises a range of devices and software for sensing, interaction, passive monitoring, and emergency assistance. We have conducted multiple trials including initial field trials for elderly people in real houses. We have used our emotion-oriented requirements techniques to evaluate the participants’ emotional reactions before, during, and after trials to understand the impact of such technology on elderly people's emotions to the SofiHub solution. Our analysis shows that SofiHub successfully alleviates their loneliness, makes them feel safer and cared about. We also found that the trial participants developed a strong relation with the system and hence, felt frustrated when SofiHub did not respond in ways expected or desired. We reflect on the lessons learned from the trials related to our emotion-oriented design and evaluation experimental approach, including refining our set of evaluation tools. © 2018</v>
      </c>
      <c r="H406" s="8" t="str">
        <f>IFERROR(__xludf.DUMMYFUNCTION("""COMPUTED_VALUE"""),"Elderly; Emotion-oriented development approach; Emotions; Independent living; Loneliness; Smart home")</f>
        <v>Elderly; Emotion-oriented development approach; Emotions; Independent living; Loneliness; Smart home</v>
      </c>
      <c r="I406" s="10" t="b">
        <v>0</v>
      </c>
      <c r="J406" s="9" t="b">
        <v>1</v>
      </c>
      <c r="K406" s="10" t="b">
        <v>0</v>
      </c>
      <c r="L406" s="10" t="b">
        <v>0</v>
      </c>
      <c r="M406" s="10" t="b">
        <v>0</v>
      </c>
      <c r="N406" s="10" t="b">
        <v>0</v>
      </c>
      <c r="O406" s="11" t="b">
        <f t="shared" si="1"/>
        <v>0</v>
      </c>
      <c r="P406" s="16" t="b">
        <v>0</v>
      </c>
      <c r="Q406" s="7"/>
    </row>
    <row r="407">
      <c r="A407" s="5" t="b">
        <v>1</v>
      </c>
      <c r="B407" s="5" t="s">
        <v>447</v>
      </c>
      <c r="C407" s="6" t="str">
        <f>IFERROR(__xludf.DUMMYFUNCTION("""COMPUTED_VALUE"""),"10.1016/j.jss.2015.02.017")</f>
        <v>10.1016/j.jss.2015.02.017</v>
      </c>
      <c r="D407" s="7" t="str">
        <f>IFERROR(__xludf.DUMMYFUNCTION("""COMPUTED_VALUE"""),"Santos H.; Pimentel J.F.; Torres Da Silva V.; Murta L.")</f>
        <v>Santos H.; Pimentel J.F.; Torres Da Silva V.; Murta L.</v>
      </c>
      <c r="E407" s="7" t="str">
        <f>IFERROR(__xludf.DUMMYFUNCTION("""COMPUTED_VALUE"""),"Software rejuvenation via a multi-agent approach")</f>
        <v>Software rejuvenation via a multi-agent approach</v>
      </c>
      <c r="F407" s="7" t="str">
        <f>IFERROR(__xludf.DUMMYFUNCTION("""COMPUTED_VALUE"""),"JSS")</f>
        <v>JSS</v>
      </c>
      <c r="G407" s="7" t="str">
        <f>IFERROR(__xludf.DUMMYFUNCTION("""COMPUTED_VALUE"""),"Usually, development teams devote a huge amount of time and effort on maintaining existing software. Since many of these maintenance tasks are not planned, the software tends to degrade over time, causing side effects mainly on its non-functional requirem"&amp;"ents. This paper proposes the use of a multi-agent system in order to perform perfective maintenance tasks in a software product through refactorings. The software developer chooses the quality attribute that the agents should improve and the agents are a"&amp;"ble to autonomously search the code for opportunities to apply perfective maintenance, apply the perfective maintenance, and evaluate if the source code quality has been improved. Its main contributions are: (i) the refactorings are autonomously done by s"&amp;"oftware agents during the idle development time; (ii) all changes are stored in isolated branches in order to facilitate the communication with the developers; (iii) the refactorings are applied only when the program semantics is preserved; (iv) the agent"&amp;"s are able to learn the more suitable sequence of refactorings to improve a specific quality attribute; and (v) the approach can be extended with other metrics and refactorings. This paper also presents a set of experimental studies that provide evidences"&amp;" of the benefits of our approach for software rejuvenation. © 2015 Elsevier Inc. All rights reserved.")</f>
        <v>Usually, development teams devote a huge amount of time and effort on maintaining existing software. Since many of these maintenance tasks are not planned, the software tends to degrade over time, causing side effects mainly on its non-functional requirements. This paper proposes the use of a multi-agent system in order to perform perfective maintenance tasks in a software product through refactorings. The software developer chooses the quality attribute that the agents should improve and the agents are able to autonomously search the code for opportunities to apply perfective maintenance, apply the perfective maintenance, and evaluate if the source code quality has been improved. Its main contributions are: (i) the refactorings are autonomously done by software agents during the idle development time; (ii) all changes are stored in isolated branches in order to facilitate the communication with the developers; (iii) the refactorings are applied only when the program semantics is preserved; (iv) the agents are able to learn the more suitable sequence of refactorings to improve a specific quality attribute; and (v) the approach can be extended with other metrics and refactorings. This paper also presents a set of experimental studies that provide evidences of the benefits of our approach for software rejuvenation. © 2015 Elsevier Inc. All rights reserved.</v>
      </c>
      <c r="H407" s="8" t="str">
        <f>IFERROR(__xludf.DUMMYFUNCTION("""COMPUTED_VALUE"""),"Multi-agent systems; Refactoring; Software rejuvenation")</f>
        <v>Multi-agent systems; Refactoring; Software rejuvenation</v>
      </c>
      <c r="I407" s="10" t="b">
        <v>0</v>
      </c>
      <c r="J407" s="10" t="b">
        <v>0</v>
      </c>
      <c r="K407" s="10" t="b">
        <v>0</v>
      </c>
      <c r="L407" s="10" t="b">
        <v>0</v>
      </c>
      <c r="M407" s="10" t="b">
        <v>0</v>
      </c>
      <c r="N407" s="10" t="b">
        <v>0</v>
      </c>
      <c r="O407" s="11" t="b">
        <f t="shared" si="1"/>
        <v>0</v>
      </c>
      <c r="P407" s="16" t="b">
        <v>0</v>
      </c>
      <c r="Q407" s="7"/>
    </row>
    <row r="408">
      <c r="A408" s="5" t="b">
        <v>1</v>
      </c>
      <c r="B408" s="5" t="s">
        <v>448</v>
      </c>
      <c r="C408" s="6" t="str">
        <f>IFERROR(__xludf.DUMMYFUNCTION("""COMPUTED_VALUE"""),"10.1016/j.jss.2022.111263")</f>
        <v>10.1016/j.jss.2022.111263</v>
      </c>
      <c r="D408" s="7" t="str">
        <f>IFERROR(__xludf.DUMMYFUNCTION("""COMPUTED_VALUE"""),"Etemadi K.; Tarighat N.; Yadav S.; Martinez M.; Monperrus M.")</f>
        <v>Etemadi K.; Tarighat N.; Yadav S.; Martinez M.; Monperrus M.</v>
      </c>
      <c r="E408" s="7" t="str">
        <f>IFERROR(__xludf.DUMMYFUNCTION("""COMPUTED_VALUE"""),"Estimating the potential of program repair search spaces with commit analysis")</f>
        <v>Estimating the potential of program repair search spaces with commit analysis</v>
      </c>
      <c r="F408" s="7" t="str">
        <f>IFERROR(__xludf.DUMMYFUNCTION("""COMPUTED_VALUE"""),"JSS")</f>
        <v>JSS</v>
      </c>
      <c r="G408" s="7" t="str">
        <f>IFERROR(__xludf.DUMMYFUNCTION("""COMPUTED_VALUE"""),"The most natural method for evaluating program repair systems is to run them on bug datasets, such as Defects4J. Yet, using this evaluation technique on arbitrary real-world programs requires heavy configuration. In this paper, we propose a purely static "&amp;"method to evaluate the potential of the search space of repair approaches. This new method enables researchers and practitioners to encode the search spaces of repair approaches and select potentially useful ones without struggling with tool configuration"&amp;" and execution. We encode the search spaces by specifying the repair strategies they employ. Next, we use the specifications to check whether past commits lie in repair search spaces. For a repair approach, including many human-written past commits in its"&amp;" search space indicates its potential to generate useful patches. We implement our evaluation method in LIGHTER. LIGHTER gets a Git repository and outputs a list of commits whose source code changes lie in repair search spaces. We run LIGHTER on 55,309 co"&amp;"mmits from the history of 72 Github repositories with and show that LIGHTER's precision and recall are 77% and 92%, respectively. Overall, our experiments show that our novel method is both lightweight and effective to study the search space of program re"&amp;"pair approaches. © 2022 The Author(s)")</f>
        <v>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v>
      </c>
      <c r="H408" s="8" t="str">
        <f>IFERROR(__xludf.DUMMYFUNCTION("""COMPUTED_VALUE"""),"Commit analysis; Program repair; Search-space; Static code analysis")</f>
        <v>Commit analysis; Program repair; Search-space; Static code analysis</v>
      </c>
      <c r="I408" s="10" t="b">
        <v>0</v>
      </c>
      <c r="J408" s="10" t="b">
        <v>0</v>
      </c>
      <c r="K408" s="10" t="b">
        <v>0</v>
      </c>
      <c r="L408" s="10" t="b">
        <v>0</v>
      </c>
      <c r="M408" s="10" t="b">
        <v>0</v>
      </c>
      <c r="N408" s="10" t="b">
        <v>0</v>
      </c>
      <c r="O408" s="11" t="b">
        <f t="shared" si="1"/>
        <v>0</v>
      </c>
      <c r="P408" s="16" t="b">
        <v>0</v>
      </c>
      <c r="Q408" s="7"/>
    </row>
    <row r="409">
      <c r="A409" s="5" t="b">
        <v>1</v>
      </c>
      <c r="B409" s="5" t="s">
        <v>449</v>
      </c>
      <c r="C409" s="6" t="str">
        <f>IFERROR(__xludf.DUMMYFUNCTION("""COMPUTED_VALUE"""),"10.1016/j.jss.2017.05.098")</f>
        <v>10.1016/j.jss.2017.05.098</v>
      </c>
      <c r="D409" s="7" t="str">
        <f>IFERROR(__xludf.DUMMYFUNCTION("""COMPUTED_VALUE"""),"Abushark Y.; Thangarajah J.; Harland J.; Miller T.")</f>
        <v>Abushark Y.; Thangarajah J.; Harland J.; Miller T.</v>
      </c>
      <c r="E409" s="7" t="str">
        <f>IFERROR(__xludf.DUMMYFUNCTION("""COMPUTED_VALUE"""),"A framework for automatically ensuring the conformance of agent designs")</f>
        <v>A framework for automatically ensuring the conformance of agent designs</v>
      </c>
      <c r="F409" s="7" t="str">
        <f>IFERROR(__xludf.DUMMYFUNCTION("""COMPUTED_VALUE"""),"JSS")</f>
        <v>JSS</v>
      </c>
      <c r="G409" s="7" t="str">
        <f>IFERROR(__xludf.DUMMYFUNCTION("""COMPUTED_VALUE"""),"Multi-agent systems are increasingly being used in complex applications due to features such as autonomy, pro-activity, flexibility, robustness and social ability. These very features also make verifying multi-agent systems a challenging task. In this art"&amp;"icle, we propose a mechanism, including automated tool support, for early phase defect detection by comparing the plan structures of a Belief-Desire-Intention agent design against the requirements models and interaction protocols. The basic intuition of o"&amp;"ur approach is to extract sets of possible behaviour runs from the agents’ behaviour models and to verify whether these runs conform to the specifications of the system-to-be or not. This approach is applicable at design time, not requiring source code, t"&amp;"hus enabling detection and removal of some defects at an early phase of the software development lifecycle. We followed an experimental approach for evaluating the proposed verification framework. Our evaluation shows that even simple system's specificati"&amp;"ons developed by relatively experienced developers are prone to defects, and our approach is successful in uncovering most of these defects. In addition, we conducted a scalability analysis on the approach, and the outcomes show that our approach can scal"&amp;"e when designs grow in size. © 2017 Elsevier Inc.")</f>
        <v>Multi-agent systems are increasingly being used in complex applications due to features such as autonomy, pro-activity, flexibility, robustness and social ability. These very features also make verifying multi-agent systems a challenging task. In this article, we propose a mechanism, including automated tool support, for early phase defect detection by comparing the plan structures of a Belief-Desire-Intention agent design against the requirements models and interaction protocols. The basic intuition of our approach is to extract sets of possible behaviour runs from the agents’ behaviour models and to verify whether these runs conform to the specifications of the system-to-be or not. This approach is applicable at design time, not requiring source code, thus enabling detection and removal of some defects at an early phase of the software development lifecycle. We followed an experimental approach for evaluating the proposed verification framework. Our evaluation shows that even simple system's specifications developed by relatively experienced developers are prone to defects, and our approach is successful in uncovering most of these defects. In addition, we conducted a scalability analysis on the approach, and the outcomes show that our approach can scale when designs grow in size. © 2017 Elsevier Inc.</v>
      </c>
      <c r="H409" s="8" t="str">
        <f>IFERROR(__xludf.DUMMYFUNCTION("""COMPUTED_VALUE"""),"Agent-oriented software engineering; Multi-agent systems; Verification")</f>
        <v>Agent-oriented software engineering; Multi-agent systems; Verification</v>
      </c>
      <c r="I409" s="10" t="b">
        <v>0</v>
      </c>
      <c r="J409" s="10" t="b">
        <v>0</v>
      </c>
      <c r="K409" s="10" t="b">
        <v>0</v>
      </c>
      <c r="L409" s="10" t="b">
        <v>0</v>
      </c>
      <c r="M409" s="10" t="b">
        <v>0</v>
      </c>
      <c r="N409" s="10" t="b">
        <v>0</v>
      </c>
      <c r="O409" s="11" t="b">
        <f t="shared" si="1"/>
        <v>0</v>
      </c>
      <c r="P409" s="16" t="b">
        <v>0</v>
      </c>
      <c r="Q409" s="7"/>
    </row>
    <row r="410">
      <c r="A410" s="5" t="b">
        <v>1</v>
      </c>
      <c r="B410" s="5" t="s">
        <v>450</v>
      </c>
      <c r="C410" s="6" t="str">
        <f>IFERROR(__xludf.DUMMYFUNCTION("""COMPUTED_VALUE"""),"10.1016/j.jss.2016.02.028")</f>
        <v>10.1016/j.jss.2016.02.028</v>
      </c>
      <c r="D410" s="7" t="str">
        <f>IFERROR(__xludf.DUMMYFUNCTION("""COMPUTED_VALUE"""),"Gerostathopoulos I.; Bures T.; Hnetynka P.; Keznikl J.; Kit M.; Plasil F.; Plouzeau N.")</f>
        <v>Gerostathopoulos I.; Bures T.; Hnetynka P.; Keznikl J.; Kit M.; Plasil F.; Plouzeau N.</v>
      </c>
      <c r="E410" s="7" t="str">
        <f>IFERROR(__xludf.DUMMYFUNCTION("""COMPUTED_VALUE"""),"Self-adaptation in software-intensive cyber–physical systems: From system goals to architecture configurations")</f>
        <v>Self-adaptation in software-intensive cyber–physical systems: From system goals to architecture configurations</v>
      </c>
      <c r="F410" s="7" t="str">
        <f>IFERROR(__xludf.DUMMYFUNCTION("""COMPUTED_VALUE"""),"JSS")</f>
        <v>JSS</v>
      </c>
      <c r="G410" s="7" t="str">
        <f>IFERROR(__xludf.DUMMYFUNCTION("""COMPUTED_VALUE"""),"Design of self-adaptive software-intensive cyber–physical systems (siCPS) operating in dynamic environments is a significant challenge when a sufficient level of dependability is required. This stems partly from the fact that the concerns of self-adaptivi"&amp;"ty and dependability are to an extent contradictory. In this paper, we introduce IRM-SA (Invariant Refinement Method for Self-Adaptation)—a design method and associated formally grounded model targeting siCPS—that addresses self-adaptivity and supports de"&amp;"pendability by providing traceability between system requirements, distinct situations in the environment, and predefined configurations of system architecture. Additionally, IRM-SA allows for architecture self-adaptation at runtime and integrates the mec"&amp;"hanism of predictive monitoring that deals with operational uncertainty. As a proof of concept, it was implemented in DEECo, a component framework that is based on dynamic ensembles of components. Furthermore, its feasibility was evaluated in experimental"&amp;" settings assuming decentralized system operation. © 2016")</f>
        <v>Design of self-adaptive software-intensive cyber–physical systems (siCPS) operating in dynamic environments is a significant challenge when a sufficient level of dependability is required. This stems partly from the fact that the concerns of self-adaptivity and dependability are to an extent contradictory. In this paper, we introduce IRM-SA (Invariant Refinement Method for Self-Adaptation)—a design method and associated formally grounded model targeting siCPS—that addresses self-adaptivity and supports dependability by providing traceability between system requirements, distinct situations in the environment, and predefined configurations of system architecture. Additionally, IRM-SA allows for architecture self-adaptation at runtime and integrates the mechanism of predictive monitoring that deals with operational uncertainty. As a proof of concept, it was implemented in DEECo, a component framework that is based on dynamic ensembles of components. Furthermore, its feasibility was evaluated in experimental settings assuming decentralized system operation. © 2016</v>
      </c>
      <c r="H410" s="8" t="str">
        <f>IFERROR(__xludf.DUMMYFUNCTION("""COMPUTED_VALUE"""),"Cyber–physical systems; Dependability; Self-adaptivity")</f>
        <v>Cyber–physical systems; Dependability; Self-adaptivity</v>
      </c>
      <c r="I410" s="10" t="b">
        <v>0</v>
      </c>
      <c r="J410" s="10" t="b">
        <v>0</v>
      </c>
      <c r="K410" s="10" t="b">
        <v>0</v>
      </c>
      <c r="L410" s="10" t="b">
        <v>0</v>
      </c>
      <c r="M410" s="10" t="b">
        <v>0</v>
      </c>
      <c r="N410" s="10" t="b">
        <v>0</v>
      </c>
      <c r="O410" s="11" t="b">
        <f t="shared" si="1"/>
        <v>0</v>
      </c>
      <c r="P410" s="16" t="b">
        <v>0</v>
      </c>
      <c r="Q410" s="7"/>
    </row>
    <row r="411">
      <c r="A411" s="5" t="b">
        <v>1</v>
      </c>
      <c r="B411" s="5" t="s">
        <v>451</v>
      </c>
      <c r="C411" s="6" t="str">
        <f>IFERROR(__xludf.DUMMYFUNCTION("""COMPUTED_VALUE"""),"10.1016/j.jss.2015.10.024")</f>
        <v>10.1016/j.jss.2015.10.024</v>
      </c>
      <c r="D411" s="7" t="str">
        <f>IFERROR(__xludf.DUMMYFUNCTION("""COMPUTED_VALUE"""),"Würfel D.; Lutz R.; Diehl S.")</f>
        <v>Würfel D.; Lutz R.; Diehl S.</v>
      </c>
      <c r="E411" s="7" t="str">
        <f>IFERROR(__xludf.DUMMYFUNCTION("""COMPUTED_VALUE"""),"Grounded requirements engineering: An approach to use case driven requirements engineering")</f>
        <v>Grounded requirements engineering: An approach to use case driven requirements engineering</v>
      </c>
      <c r="F411" s="7" t="str">
        <f>IFERROR(__xludf.DUMMYFUNCTION("""COMPUTED_VALUE"""),"JSS")</f>
        <v>JSS</v>
      </c>
      <c r="G411" s="7" t="str">
        <f>IFERROR(__xludf.DUMMYFUNCTION("""COMPUTED_VALUE"""),"Requirements engineering produces specifications of the needs or conditions to meet for a software product. These specifications may be vague and ungrounded, i.e. the relation of the requirements to the observations they are derived from may be unclear or"&amp;" not documented. Furthermore, stakeholders may be influenced by solutions of existing software without knowing if these actually suit the software to be developed. To cope with the above issues, it is important to understand the complete task, before desi"&amp;"gning a software system to support the task. Thus, we developed a method called Grounded Requirements Engineering (GRE) that leverages the Grounded Theory method to observe and analyze processes and user activities in the real world. GRE is an iterative p"&amp;"rocess consisting of two steps. First, Grounded Theory methods are used to analyze user experiments or interviews. Second, the resulting abstract descriptions of the user behavior are transferred into use cases. GRE produces comprehensible and grounded re"&amp;"quirements for the software system to be built, i.e. the requirements are traceable back to their origins. In this paper, we provide an elaborate description of the GRE method and illustrate it by applying it to derive requirements for an interactive soft"&amp;"ware tool for model merging. The development of this tool both served as a basis for the design of GRE as well as to test it. © 2015 Elsevier Inc.")</f>
        <v>Requirements engineering produces specifications of the needs or conditions to meet for a software product. These specifications may be vague and ungrounded, i.e. the relation of the requirements to the observations they are derived from may be unclear or not documented. Furthermore, stakeholders may be influenced by solutions of existing software without knowing if these actually suit the software to be developed. To cope with the above issues, it is important to understand the complete task, before designing a software system to support the task. Thus, we developed a method called Grounded Requirements Engineering (GRE) that leverages the Grounded Theory method to observe and analyze processes and user activities in the real world. GRE is an iterative process consisting of two steps. First, Grounded Theory methods are used to analyze user experiments or interviews. Second, the resulting abstract descriptions of the user behavior are transferred into use cases. GRE produces comprehensible and grounded requirements for the software system to be built, i.e. the requirements are traceable back to their origins. In this paper, we provide an elaborate description of the GRE method and illustrate it by applying it to derive requirements for an interactive software tool for model merging. The development of this tool both served as a basis for the design of GRE as well as to test it. © 2015 Elsevier Inc.</v>
      </c>
      <c r="H411" s="8" t="str">
        <f>IFERROR(__xludf.DUMMYFUNCTION("""COMPUTED_VALUE"""),"Grounded Theory; Requirements; Software engineering")</f>
        <v>Grounded Theory; Requirements; Software engineering</v>
      </c>
      <c r="I411" s="10" t="b">
        <v>0</v>
      </c>
      <c r="J411" s="10" t="b">
        <v>0</v>
      </c>
      <c r="K411" s="10" t="b">
        <v>0</v>
      </c>
      <c r="L411" s="10" t="b">
        <v>0</v>
      </c>
      <c r="M411" s="10" t="b">
        <v>0</v>
      </c>
      <c r="N411" s="10" t="b">
        <v>0</v>
      </c>
      <c r="O411" s="11" t="b">
        <f t="shared" si="1"/>
        <v>0</v>
      </c>
      <c r="P411" s="16" t="b">
        <v>0</v>
      </c>
      <c r="Q411" s="7"/>
    </row>
    <row r="412">
      <c r="A412" s="5" t="b">
        <v>1</v>
      </c>
      <c r="B412" s="5" t="s">
        <v>452</v>
      </c>
      <c r="C412" s="6" t="str">
        <f>IFERROR(__xludf.DUMMYFUNCTION("""COMPUTED_VALUE"""),"10.1016/j.jss.2015.12.056")</f>
        <v>10.1016/j.jss.2015.12.056</v>
      </c>
      <c r="D412" s="7" t="str">
        <f>IFERROR(__xludf.DUMMYFUNCTION("""COMPUTED_VALUE"""),"Morales J.M.; Navarro E.; Sánchez P.; Alonso D.")</f>
        <v>Morales J.M.; Navarro E.; Sánchez P.; Alonso D.</v>
      </c>
      <c r="E412" s="7" t="str">
        <f>IFERROR(__xludf.DUMMYFUNCTION("""COMPUTED_VALUE"""),"A family of experiments to evaluate the understandability of TRiStar and i∗ for modeling teleo-reactive systems")</f>
        <v>A family of experiments to evaluate the understandability of TRiStar and i∗ for modeling teleo-reactive systems</v>
      </c>
      <c r="F412" s="7" t="str">
        <f>IFERROR(__xludf.DUMMYFUNCTION("""COMPUTED_VALUE"""),"JSS")</f>
        <v>JSS</v>
      </c>
      <c r="G412" s="7" t="str">
        <f>IFERROR(__xludf.DUMMYFUNCTION("""COMPUTED_VALUE"""),"The teleo-reactive approach facilitates reactive system development without losing sight of the system goals. Objective To introduce TRiStar as an extension of i∗ notation to specify teleo-reactive systems. To evaluate whether the notational extension is "&amp;"an improvement in terms of effectiveness and efficiency over the original language when it is used to specify teleo-reactive systems. Method A family of experiments was carried out with final-year engineering students and experienced software development "&amp;"professionals in which the participants were asked to fill in a form designed to evaluate the efficiency and effectiveness of each of the languages. Results Both the statistical results of the experiments, analyzed separately, and the meta-analysis of the"&amp;" experiments as a whole, allow us to conclude that TRiStar notation is more effective and efficient than i∗ as a requirements specification language for modeling teleo-reactive systems. Conclusion The extensions made on i∗ have led to TRiStar definition, "&amp;"a more effective and efficient goal-oriented notation than the original i∗ language. © 2016 Elsevier Inc. All rights reserved.")</f>
        <v>The teleo-reactive approach facilitates reactive system development without losing sight of the system goals. Objective To introduce TRiStar as an extension of i∗ notation to specify teleo-reactive systems. To evaluate whether the notational extension is an improvement in terms of effectiveness and efficiency over the original language when it is used to specify teleo-reactive systems. Method A family of experiments was carried out with final-year engineering students and experienced software development professionals in which the participants were asked to fill in a form designed to evaluate the efficiency and effectiveness of each of the languages. Results Both the statistical results of the experiments, analyzed separately, and the meta-analysis of the experiments as a whole, allow us to conclude that TRiStar notation is more effective and efficient than i∗ as a requirements specification language for modeling teleo-reactive systems. Conclusion The extensions made on i∗ have led to TRiStar definition, a more effective and efficient goal-oriented notation than the original i∗ language. © 2016 Elsevier Inc. All rights reserved.</v>
      </c>
      <c r="H412" s="8" t="str">
        <f>IFERROR(__xludf.DUMMYFUNCTION("""COMPUTED_VALUE"""),"i; Requirements engineering; Teleo-reactive; TRiStar")</f>
        <v>i; Requirements engineering; Teleo-reactive; TRiStar</v>
      </c>
      <c r="I412" s="9" t="b">
        <v>1</v>
      </c>
      <c r="J412" s="9" t="b">
        <v>1</v>
      </c>
      <c r="K412" s="9" t="b">
        <v>1</v>
      </c>
      <c r="L412" s="10" t="b">
        <v>0</v>
      </c>
      <c r="M412" s="10" t="b">
        <v>0</v>
      </c>
      <c r="N412" s="10" t="b">
        <v>0</v>
      </c>
      <c r="O412" s="11" t="b">
        <f t="shared" si="1"/>
        <v>1</v>
      </c>
      <c r="P412" s="16" t="b">
        <v>0</v>
      </c>
      <c r="Q412" s="7"/>
    </row>
    <row r="413">
      <c r="A413" s="5" t="b">
        <v>1</v>
      </c>
      <c r="B413" s="5" t="s">
        <v>453</v>
      </c>
      <c r="C413" s="6" t="str">
        <f>IFERROR(__xludf.DUMMYFUNCTION("""COMPUTED_VALUE"""),"10.1016/j.jss.2014.01.001")</f>
        <v>10.1016/j.jss.2014.01.001</v>
      </c>
      <c r="D413" s="7" t="str">
        <f>IFERROR(__xludf.DUMMYFUNCTION("""COMPUTED_VALUE"""),"Chen C.-C.; Wu W.-J.")</f>
        <v>Chen C.-C.; Wu W.-J.</v>
      </c>
      <c r="E413" s="7" t="str">
        <f>IFERROR(__xludf.DUMMYFUNCTION("""COMPUTED_VALUE"""),"A secure Boolean-based multi-secret image sharing scheme")</f>
        <v>A secure Boolean-based multi-secret image sharing scheme</v>
      </c>
      <c r="F413" s="7" t="str">
        <f>IFERROR(__xludf.DUMMYFUNCTION("""COMPUTED_VALUE"""),"JSS")</f>
        <v>JSS</v>
      </c>
      <c r="G413" s="7" t="str">
        <f>IFERROR(__xludf.DUMMYFUNCTION("""COMPUTED_VALUE"""),"An (n, n) multi-secret image sharing scheme shares n secret images among n shared images. In this type of schemes, n shared images can be used to recover all n secret images, but the loss of any shared image prevents the recovery of any secret image. Amon"&amp;"g existing image sharing techniques, Boolean-based secret schemes have good performance because they only require XOR calculation. This study presents a secure Boolean-based secret image sharing scheme that uses a random image generating function to gener"&amp;"ate a random image from secret images or shared images the proposed function efficiently increases the sharing capacity on free of sharing the random image the use of a bit shift subfunction in the random image generating function produces a random image "&amp;"to meet the random requirement. Experimental results show that the proposed scheme requires minimal CPU computation time to share or recover secret images the time required to share n secret images is nearly the time as that required to recover n secret i"&amp;"mages the bit shift subfunction takes more computation load than the XOR subfunction needs. © 2014 Elsevier Inc.")</f>
        <v>An (n, n) multi-secret image sharing scheme shares n secret images among n shared images. In this type of schemes, n shared images can be used to recover all n secret images, but the loss of any shared image prevents the recovery of any secret image. Among existing image sharing techniques, Boolean-based secret schemes have good performance because they only require XOR calculation. This study presents a secure Boolean-based secret image sharing scheme that uses a random image generating function to generate a random image from secret images or shared images the proposed function efficiently increases the sharing capacity on free of sharing the random image the use of a bit shift subfunction in the random image generating function produces a random image to meet the random requirement. Experimental results show that the proposed scheme requires minimal CPU computation time to share or recover secret images the time required to share n secret images is nearly the time as that required to recover n secret images the bit shift subfunction takes more computation load than the XOR subfunction needs. © 2014 Elsevier Inc.</v>
      </c>
      <c r="H413" s="8" t="str">
        <f>IFERROR(__xludf.DUMMYFUNCTION("""COMPUTED_VALUE"""),"Boolean; Multiple secret images; XOR")</f>
        <v>Boolean; Multiple secret images; XOR</v>
      </c>
      <c r="I413" s="10" t="b">
        <v>0</v>
      </c>
      <c r="J413" s="10" t="b">
        <v>0</v>
      </c>
      <c r="K413" s="10" t="b">
        <v>0</v>
      </c>
      <c r="L413" s="10" t="b">
        <v>0</v>
      </c>
      <c r="M413" s="10" t="b">
        <v>0</v>
      </c>
      <c r="N413" s="10" t="b">
        <v>0</v>
      </c>
      <c r="O413" s="11" t="b">
        <f t="shared" si="1"/>
        <v>0</v>
      </c>
      <c r="P413" s="16" t="b">
        <v>0</v>
      </c>
      <c r="Q413" s="7"/>
    </row>
    <row r="414">
      <c r="A414" s="5" t="b">
        <v>1</v>
      </c>
      <c r="B414" s="5" t="s">
        <v>454</v>
      </c>
      <c r="C414" s="6" t="str">
        <f>IFERROR(__xludf.DUMMYFUNCTION("""COMPUTED_VALUE"""),"10.1016/j.jss.2012.05.094")</f>
        <v>10.1016/j.jss.2012.05.094</v>
      </c>
      <c r="D414" s="7" t="str">
        <f>IFERROR(__xludf.DUMMYFUNCTION("""COMPUTED_VALUE"""),"Palmieri F.")</f>
        <v>Palmieri F.</v>
      </c>
      <c r="E414" s="7" t="str">
        <f>IFERROR(__xludf.DUMMYFUNCTION("""COMPUTED_VALUE"""),"Percolation-based routing in the Internet")</f>
        <v>Percolation-based routing in the Internet</v>
      </c>
      <c r="F414" s="7" t="str">
        <f>IFERROR(__xludf.DUMMYFUNCTION("""COMPUTED_VALUE"""),"JSS")</f>
        <v>JSS</v>
      </c>
      <c r="G414" s="7" t="str">
        <f>IFERROR(__xludf.DUMMYFUNCTION("""COMPUTED_VALUE"""),"The uncontrollable growth of the Internet, breaking through meshing and multi-homing practices the existing topology-based prefix aggregation mechanisms, creates the necessity of revisiting some fundamental aspects in the inter-domain routing model due to"&amp;" severe scalability issues in routing table size. In this paper, we at first analyze the root causes of these problems and then exploit a promising solution based on on-demand routing and on a widely known uniform caching and searching algorithm. Such alg"&amp;"orithm is based on bond percolation, a mathematical phase transition model well-suited for random walk searches in power law networks, automatically shielding nodes with limited connectivity from large traffic volumes and reducing the total traffic to sca"&amp;"le sub-linearly with the network size. The proposed solution introduces limited modifications to the BGP protocol, ensuring backward compatibility and allowing gradual deployment throughout the Internet. It dramatically reduces the routing table size requ"&amp;"irements in all the nodes participating to the search network while allowing reliable and efficient on-demand discovery of unknown routing information, as demonstrated through extensive simulation experiments. © 2012 Elsevier Inc. All rights reserved.")</f>
        <v>The uncontrollable growth of the Internet, breaking through meshing and multi-homing practices the existing topology-based prefix aggregation mechanisms, creates the necessity of revisiting some fundamental aspects in the inter-domain routing model due to severe scalability issues in routing table size. In this paper, we at first analyze the root causes of these problems and then exploit a promising solution based on on-demand routing and on a widely known uniform caching and searching algorithm. Such algorithm is based on bond percolation, a mathematical phase transition model well-suited for random walk searches in power law networks, automatically shielding nodes with limited connectivity from large traffic volumes and reducing the total traffic to scale sub-linearly with the network size. The proposed solution introduces limited modifications to the BGP protocol, ensuring backward compatibility and allowing gradual deployment throughout the Internet. It dramatically reduces the routing table size requirements in all the nodes participating to the search network while allowing reliable and efficient on-demand discovery of unknown routing information, as demonstrated through extensive simulation experiments. © 2012 Elsevier Inc. All rights reserved.</v>
      </c>
      <c r="H414" s="8" t="str">
        <f>IFERROR(__xludf.DUMMYFUNCTION("""COMPUTED_VALUE"""),"Inter-domain routing; On-demand routing; Percolation search; Routing scalability")</f>
        <v>Inter-domain routing; On-demand routing; Percolation search; Routing scalability</v>
      </c>
      <c r="I414" s="10" t="b">
        <v>0</v>
      </c>
      <c r="J414" s="10" t="b">
        <v>0</v>
      </c>
      <c r="K414" s="10" t="b">
        <v>0</v>
      </c>
      <c r="L414" s="10" t="b">
        <v>0</v>
      </c>
      <c r="M414" s="10" t="b">
        <v>0</v>
      </c>
      <c r="N414" s="10" t="b">
        <v>0</v>
      </c>
      <c r="O414" s="11" t="b">
        <f t="shared" si="1"/>
        <v>0</v>
      </c>
      <c r="P414" s="16" t="b">
        <v>0</v>
      </c>
      <c r="Q414" s="7"/>
    </row>
    <row r="415">
      <c r="A415" s="5" t="b">
        <v>1</v>
      </c>
      <c r="B415" s="5" t="s">
        <v>455</v>
      </c>
      <c r="C415" s="6" t="str">
        <f>IFERROR(__xludf.DUMMYFUNCTION("""COMPUTED_VALUE"""),"10.1016/j.jss.2012.05.075")</f>
        <v>10.1016/j.jss.2012.05.075</v>
      </c>
      <c r="D415" s="7" t="str">
        <f>IFERROR(__xludf.DUMMYFUNCTION("""COMPUTED_VALUE"""),"Wu G.; Wei J.; Ye C.; Zhong H.; Huang T.; He H.")</f>
        <v>Wu G.; Wei J.; Ye C.; Zhong H.; Huang T.; He H.</v>
      </c>
      <c r="E415" s="7" t="str">
        <f>IFERROR(__xludf.DUMMYFUNCTION("""COMPUTED_VALUE"""),"Specification and monitoring of data-centric temporal properties for service-based systems")</f>
        <v>Specification and monitoring of data-centric temporal properties for service-based systems</v>
      </c>
      <c r="F415" s="7" t="str">
        <f>IFERROR(__xludf.DUMMYFUNCTION("""COMPUTED_VALUE"""),"JSS")</f>
        <v>JSS</v>
      </c>
      <c r="G415" s="7" t="str">
        <f>IFERROR(__xludf.DUMMYFUNCTION("""COMPUTED_VALUE"""),"Service-based systems operate in a very dynamic environment. To guarantee functional and non-functional objective at runtime, an adaptation mechanism is usually expected to monitor software changes, make appropriate decisions, and act accordingly. However"&amp;", existing runtime monitoring solutions consider only the constraints on the sequence of messages exchanged between partner services and ignore the actual data contents inside the messages. As a result, it is difficult to monitor some dynamic properties s"&amp;"uch as how message data of interest is processed between different participants. To address this issue, we propose an efficient, non-intrusive online monitoring approach to dynamically analyze data-centric properties for service-oriented applications invo"&amp;"lving multiple participants. By introducing Par-BCL - a Parametric Behavior Constraint Language for Web services - to define monitoring parameters, various data-centric temporal behavior properties for Web services can be specified and monitored. This app"&amp;"roach broadens the monitored patterns to include not only message exchange orders, but also data contents bound to the parameters. To reduce runtime overhead, we statically analyze the monitored properties and combine two different indexing mechanisms to "&amp;"optimize monitoring. The experiments show that our solution is efficient and promising. © 2012 Elsevier Inc. All rights reserved.")</f>
        <v>Service-based systems operate in a very dynamic environment. To guarantee functional and non-functional objective at runtime, an adaptation mechanism is usually expected to monitor software changes, make appropriate decisions, and act accordingly. However, existing runtime monitoring solutions consider only the constraints on the sequence of messages exchanged between partner services and ignore the actual data contents inside the messages. As a result, it is difficult to monitor some dynamic properties such as how message data of interest is processed between different participants. To address this issue, we propose an efficient, non-intrusive online monitoring approach to dynamically analyze data-centric properties for service-oriented applications involving multiple participants. By introducing Par-BCL - a Parametric Behavior Constraint Language for Web services - to define monitoring parameters, various data-centric temporal behavior properties for Web services can be specified and monitored. This approach broadens the monitored patterns to include not only message exchange orders, but also data contents bound to the parameters. To reduce runtime overhead, we statically analyze the monitored properties and combine two different indexing mechanisms to optimize monitoring. The experiments show that our solution is efficient and promising. © 2012 Elsevier Inc. All rights reserved.</v>
      </c>
      <c r="H415" s="8" t="str">
        <f>IFERROR(__xludf.DUMMYFUNCTION("""COMPUTED_VALUE"""),"Runtime monitoring; Temporal property; Web services composition")</f>
        <v>Runtime monitoring; Temporal property; Web services composition</v>
      </c>
      <c r="I415" s="10" t="b">
        <v>0</v>
      </c>
      <c r="J415" s="10" t="b">
        <v>0</v>
      </c>
      <c r="K415" s="10" t="b">
        <v>0</v>
      </c>
      <c r="L415" s="10" t="b">
        <v>0</v>
      </c>
      <c r="M415" s="10" t="b">
        <v>0</v>
      </c>
      <c r="N415" s="10" t="b">
        <v>0</v>
      </c>
      <c r="O415" s="11" t="b">
        <f t="shared" si="1"/>
        <v>0</v>
      </c>
      <c r="P415" s="16" t="b">
        <v>0</v>
      </c>
      <c r="Q415" s="7"/>
    </row>
    <row r="416">
      <c r="A416" s="5" t="b">
        <v>1</v>
      </c>
      <c r="B416" s="5" t="s">
        <v>456</v>
      </c>
      <c r="C416" s="6" t="str">
        <f>IFERROR(__xludf.DUMMYFUNCTION("""COMPUTED_VALUE"""),"10.1016/j.jss.2014.10.010")</f>
        <v>10.1016/j.jss.2014.10.010</v>
      </c>
      <c r="D416" s="7" t="str">
        <f>IFERROR(__xludf.DUMMYFUNCTION("""COMPUTED_VALUE"""),"Morales J.M.; Navarro E.; Sánchez P.; Alonso D.")</f>
        <v>Morales J.M.; Navarro E.; Sánchez P.; Alonso D.</v>
      </c>
      <c r="E416" s="7" t="str">
        <f>IFERROR(__xludf.DUMMYFUNCTION("""COMPUTED_VALUE"""),"A controlled experiment to evaluate the understandability of KAOS and i∗ for modeling Teleo-Reactive systems")</f>
        <v>A controlled experiment to evaluate the understandability of KAOS and i∗ for modeling Teleo-Reactive systems</v>
      </c>
      <c r="F416" s="7" t="str">
        <f>IFERROR(__xludf.DUMMYFUNCTION("""COMPUTED_VALUE"""),"JSS")</f>
        <v>JSS</v>
      </c>
      <c r="G416" s="7" t="str">
        <f>IFERROR(__xludf.DUMMYFUNCTION("""COMPUTED_VALUE"""),"Context Teleo-Reactive (TR) specifications allow engineers to define the behavior of reactive systems while taking into account goals and changes in the state of the environment.; Objective This article evaluates two different Goal Oriented Requirements E"&amp;"ngineering notations, i∗ and KAOS, to determine their understandability level for specifying TR systems.; Method A controlled experiment was performed by two groups of Bachelor students. Each group first analyzed a requirements model of a mobile robotic s"&amp;"ystem, specified using one of the evaluated languages, and then they filled in a questionnaire to evaluate its understandability. Afterwards, each group proceeded similarly with the model of another system specified with the second language.; Results The "&amp;"statistical analysis of the data obtained by means of the experiment showed that the understandability of i∗ is higher than that of KAOS when modeling TR systems.; Conclusion Both languages are suitable for specifying TR systems although their notations s"&amp;"hould be specialized to maximize the understandability attribute. i∗ surpasses KAOS due to two main reasons: i∗ models represent dependencies between agents and goals or tasks; and notational differences between tasks and goals in i∗ are more evident than"&amp;" those between goals and requirements in KAOS. © 2014 Elsevier Inc. All rights reserved.")</f>
        <v>Context Teleo-Reactive (TR) specifications allow engineers to define the behavior of reactive systems while taking into account goals and changes in the state of the environment.; Objective This article evaluates two different Goal Oriented Requirements Engineering notations, i∗ and KAOS, to determine their understandability level for specifying TR systems.; Method 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 Results The statistical analysis of the data obtained by means of the experiment showed that the understandability of i∗ is higher than that of KAOS when modeling TR systems.; Conclusion 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 2014 Elsevier Inc. All rights reserved.</v>
      </c>
      <c r="H416" s="8" t="str">
        <f>IFERROR(__xludf.DUMMYFUNCTION("""COMPUTED_VALUE"""),"Controlled experiment; Requirements engineering; Teleo-Reactive")</f>
        <v>Controlled experiment; Requirements engineering; Teleo-Reactive</v>
      </c>
      <c r="I416" s="9" t="b">
        <v>1</v>
      </c>
      <c r="J416" s="9" t="b">
        <v>1</v>
      </c>
      <c r="K416" s="9" t="b">
        <v>1</v>
      </c>
      <c r="L416" s="10" t="b">
        <v>0</v>
      </c>
      <c r="M416" s="10" t="b">
        <v>0</v>
      </c>
      <c r="N416" s="10" t="b">
        <v>0</v>
      </c>
      <c r="O416" s="11" t="b">
        <f t="shared" si="1"/>
        <v>1</v>
      </c>
      <c r="P416" s="16" t="b">
        <v>0</v>
      </c>
      <c r="Q416" s="13" t="s">
        <v>457</v>
      </c>
    </row>
    <row r="417">
      <c r="A417" s="5" t="b">
        <v>1</v>
      </c>
      <c r="B417" s="5" t="s">
        <v>458</v>
      </c>
      <c r="C417" s="6" t="str">
        <f>IFERROR(__xludf.DUMMYFUNCTION("""COMPUTED_VALUE"""),"10.1016/j.jss.2015.02.028")</f>
        <v>10.1016/j.jss.2015.02.028</v>
      </c>
      <c r="D417" s="7" t="str">
        <f>IFERROR(__xludf.DUMMYFUNCTION("""COMPUTED_VALUE"""),"Tibermacine O.; Tibermacine C.; Cherif F.")</f>
        <v>Tibermacine O.; Tibermacine C.; Cherif F.</v>
      </c>
      <c r="E417" s="7" t="str">
        <f>IFERROR(__xludf.DUMMYFUNCTION("""COMPUTED_VALUE"""),"A process to identify relevant substitutes for healing failed WS-∗ orchestrations")</f>
        <v>A process to identify relevant substitutes for healing failed WS-∗ orchestrations</v>
      </c>
      <c r="F417" s="7" t="str">
        <f>IFERROR(__xludf.DUMMYFUNCTION("""COMPUTED_VALUE"""),"JSS")</f>
        <v>JSS</v>
      </c>
      <c r="G417" s="7" t="str">
        <f>IFERROR(__xludf.DUMMYFUNCTION("""COMPUTED_VALUE"""),"Orchestrating web services aims to compose multiple services into workflows that answer complex user requirements. Web services are software components which are exposed to errors and failures that can occur during web service orchestration execution. Thu"&amp;"s, many error-handling and healing approaches have been proposed to guarantee reliable orchestrations. Some of these approaches rely on the identification of relevant service substitutes to heal (by substitution) the defected services. In this paper, we p"&amp;"ropose an identification process of web service substitutes for healing failed web service orchestrations based on the measurement of similarity between service interfaces. The process reveals both simple and complex (compositions of) substitutes. We vali"&amp;"dated the approach via a set of experiments conducted on a collection of real web services. © 2015 Elsevier Inc. All rights reserved.")</f>
        <v>Orchestrating web services aims to compose multiple services into workflows that answer complex user requirements. Web services are software components which are exposed to errors and failures that can occur during web service orchestration execution. Thus, many error-handling and healing approaches have been proposed to guarantee reliable orchestrations. Some of these approaches rely on the identification of relevant service substitutes to heal (by substitution) the defected services. In this paper, we propose an identification process of web service substitutes for healing failed web service orchestrations based on the measurement of similarity between service interfaces. The process reveals both simple and complex (compositions of) substitutes. We validated the approach via a set of experiments conducted on a collection of real web services. © 2015 Elsevier Inc. All rights reserved.</v>
      </c>
      <c r="H417" s="8" t="str">
        <f>IFERROR(__xludf.DUMMYFUNCTION("""COMPUTED_VALUE"""),"Formal concept analysis; Similarity measurement; Web service selection; Web services orchestration")</f>
        <v>Formal concept analysis; Similarity measurement; Web service selection; Web services orchestration</v>
      </c>
      <c r="I417" s="10" t="b">
        <v>0</v>
      </c>
      <c r="J417" s="10" t="b">
        <v>0</v>
      </c>
      <c r="K417" s="10" t="b">
        <v>0</v>
      </c>
      <c r="L417" s="10" t="b">
        <v>0</v>
      </c>
      <c r="M417" s="10" t="b">
        <v>0</v>
      </c>
      <c r="N417" s="10" t="b">
        <v>0</v>
      </c>
      <c r="O417" s="11" t="b">
        <f t="shared" si="1"/>
        <v>0</v>
      </c>
      <c r="P417" s="16" t="b">
        <v>0</v>
      </c>
      <c r="Q417" s="7"/>
    </row>
    <row r="418">
      <c r="A418" s="5" t="b">
        <v>1</v>
      </c>
      <c r="B418" s="5" t="s">
        <v>459</v>
      </c>
      <c r="C418" s="6" t="str">
        <f>IFERROR(__xludf.DUMMYFUNCTION("""COMPUTED_VALUE"""),"10.1016/j.jss.2013.06.024")</f>
        <v>10.1016/j.jss.2013.06.024</v>
      </c>
      <c r="D418" s="7" t="str">
        <f>IFERROR(__xludf.DUMMYFUNCTION("""COMPUTED_VALUE"""),"Wang Z.-H.; Yang H.-R.; Cheng T.-F.; Chang C.-C.")</f>
        <v>Wang Z.-H.; Yang H.-R.; Cheng T.-F.; Chang C.-C.</v>
      </c>
      <c r="E418" s="7" t="str">
        <f>IFERROR(__xludf.DUMMYFUNCTION("""COMPUTED_VALUE"""),"A high-performance reversible data-hiding scheme for LZW codes")</f>
        <v>A high-performance reversible data-hiding scheme for LZW codes</v>
      </c>
      <c r="F418" s="7" t="str">
        <f>IFERROR(__xludf.DUMMYFUNCTION("""COMPUTED_VALUE"""),"JSS")</f>
        <v>JSS</v>
      </c>
      <c r="G418" s="7" t="str">
        <f>IFERROR(__xludf.DUMMYFUNCTION("""COMPUTED_VALUE"""),"Hiding a message in compression codes can reduce transmission costs and simultaneously make the transmission more secure. In this paper, we propose a high-performance, data-hiding Lempel-Ziv-Welch (HPDH-LZW) scheme, which reversibly embeds data in LZW com"&amp;"pression codes by modifying the value of the compression codes, where the value of the LZW code either remains unchanged or is changed to the original value of the LZW code plus the LZW dictionary size according to the data to be embedded. Compared to oth"&amp;"er information-hiding schemes based on LZW compression codes, the proposed scheme achieves better hiding capacity by increasing the number of symbols available to hide secrets and also achieves faster hiding and extracting speeds due to the lower computat"&amp;"ion requirements. Our experimental results with the proposed scheme have confirmed both its high embedding capacity and its high speed when hiding and extracting data. © 2013 Elsevier Inc.")</f>
        <v>Hiding a message in compression codes can reduce transmission costs and simultaneously make the transmission more secure. In this paper, we propose a high-performance, data-hiding Lempel-Ziv-Welch (HPDH-LZW) scheme, which reversibly embeds data in LZW compression codes by modifying the value of the compression codes, where the value of the LZW code either remains unchanged or is changed to the original value of the LZW code plus the LZW dictionary size according to the data to be embedded. Compared to other information-hiding schemes based on LZW compression codes, the proposed scheme achieves better hiding capacity by increasing the number of symbols available to hide secrets and also achieves faster hiding and extracting speeds due to the lower computation requirements. Our experimental results with the proposed scheme have confirmed both its high embedding capacity and its high speed when hiding and extracting data. © 2013 Elsevier Inc.</v>
      </c>
      <c r="H418" s="8" t="str">
        <f>IFERROR(__xludf.DUMMYFUNCTION("""COMPUTED_VALUE"""),"Information-hiding; LZW; Steganography")</f>
        <v>Information-hiding; LZW; Steganography</v>
      </c>
      <c r="I418" s="10" t="b">
        <v>0</v>
      </c>
      <c r="J418" s="10" t="b">
        <v>0</v>
      </c>
      <c r="K418" s="10" t="b">
        <v>0</v>
      </c>
      <c r="L418" s="10" t="b">
        <v>0</v>
      </c>
      <c r="M418" s="10" t="b">
        <v>0</v>
      </c>
      <c r="N418" s="10" t="b">
        <v>0</v>
      </c>
      <c r="O418" s="11" t="b">
        <f t="shared" si="1"/>
        <v>0</v>
      </c>
      <c r="P418" s="16" t="b">
        <v>0</v>
      </c>
      <c r="Q418" s="7"/>
    </row>
    <row r="419">
      <c r="A419" s="5" t="b">
        <v>1</v>
      </c>
      <c r="B419" s="5" t="s">
        <v>460</v>
      </c>
      <c r="C419" s="6" t="str">
        <f>IFERROR(__xludf.DUMMYFUNCTION("""COMPUTED_VALUE"""),"10.1016/j.jss.2021.111041")</f>
        <v>10.1016/j.jss.2021.111041</v>
      </c>
      <c r="D419" s="7" t="str">
        <f>IFERROR(__xludf.DUMMYFUNCTION("""COMPUTED_VALUE"""),"Blasi A.; Gorla A.; Ernst M.D.; Pezzè M.; Carzaniga A.")</f>
        <v>Blasi A.; Gorla A.; Ernst M.D.; Pezzè M.; Carzaniga A.</v>
      </c>
      <c r="E419" s="7" t="str">
        <f>IFERROR(__xludf.DUMMYFUNCTION("""COMPUTED_VALUE"""),"MeMo: Automatically identifying metamorphic relations in Javadoc comments for test automation")</f>
        <v>MeMo: Automatically identifying metamorphic relations in Javadoc comments for test automation</v>
      </c>
      <c r="F419" s="7" t="str">
        <f>IFERROR(__xludf.DUMMYFUNCTION("""COMPUTED_VALUE"""),"JSS")</f>
        <v>JSS</v>
      </c>
      <c r="G419" s="7" t="str">
        <f>IFERROR(__xludf.DUMMYFUNCTION("""COMPUTED_VALUE"""),"Software testing depends on effective oracles. Implicit oracles, such as checks for program crashes, are widely applicable but narrow in scope. Oracles based on formal specifications can reveal application-specific failures, but specifications are expensi"&amp;"ve to obtain and maintain. Metamorphic oracles are somewhere in-between. They test equivalence among different procedures to detect semantic failures. Until now, the identification of metamorphic relations has been a manual and expensive process, except f"&amp;"or few specific domains where automation is possible. We present MeMo, a technique and a tool to automatically derive metamorphic equivalence relations from natural language documentation, and we use such metamorphic relations as oracles in automatically "&amp;"generated test cases. Our experimental evaluation demonstrates that 1) MeMo can effectively and precisely infer equivalence metamorphic relations, 2) MeMo complements existing state-of-the-art techniques that are based on dynamic program analysis, and 3) "&amp;"metamorphic relations discovered with MeMo effectively detect defects when used as test oracles in automatically-generated or manually-written test cases. © 2021 The Author(s)")</f>
        <v>Software testing depends on effective oracles. Implicit oracles, such as checks for program crashes, are widely applicable but narrow in scope. Oracles based on formal specifications can reveal application-specific failures, but specifications are expensive to obtain and maintain. Metamorphic oracles are somewhere in-between. They test equivalence among different procedures to detect semantic failures. Until now, the identification of metamorphic relations has been a manual and expensive process, except for few specific domains where automation is possible. We present MeMo, a technique and a tool to automatically derive metamorphic equivalence relations from natural language documentation, and we use such metamorphic relations as oracles in automatically generated test cases. Our experimental evaluation demonstrates that 1) MeMo can effectively and precisely infer equivalence metamorphic relations, 2) MeMo complements existing state-of-the-art techniques that are based on dynamic program analysis, and 3) metamorphic relations discovered with MeMo effectively detect defects when used as test oracles in automatically-generated or manually-written test cases. © 2021 The Author(s)</v>
      </c>
      <c r="H419" s="8" t="str">
        <f>IFERROR(__xludf.DUMMYFUNCTION("""COMPUTED_VALUE"""),"Natural language processing; Software testing; Test oracle generation")</f>
        <v>Natural language processing; Software testing; Test oracle generation</v>
      </c>
      <c r="I419" s="10" t="b">
        <v>0</v>
      </c>
      <c r="J419" s="10" t="b">
        <v>0</v>
      </c>
      <c r="K419" s="10" t="b">
        <v>0</v>
      </c>
      <c r="L419" s="10" t="b">
        <v>0</v>
      </c>
      <c r="M419" s="10" t="b">
        <v>0</v>
      </c>
      <c r="N419" s="10" t="b">
        <v>0</v>
      </c>
      <c r="O419" s="11" t="b">
        <f t="shared" si="1"/>
        <v>0</v>
      </c>
      <c r="P419" s="16" t="b">
        <v>0</v>
      </c>
      <c r="Q419" s="7"/>
    </row>
    <row r="420">
      <c r="A420" s="5" t="b">
        <v>1</v>
      </c>
      <c r="B420" s="5" t="s">
        <v>461</v>
      </c>
      <c r="C420" s="6" t="str">
        <f>IFERROR(__xludf.DUMMYFUNCTION("""COMPUTED_VALUE"""),"10.1016/j.jss.2013.11.1122")</f>
        <v>10.1016/j.jss.2013.11.1122</v>
      </c>
      <c r="D420" s="7" t="str">
        <f>IFERROR(__xludf.DUMMYFUNCTION("""COMPUTED_VALUE"""),"Loukos F.; Karatza H.; Kalogeraki V.")</f>
        <v>Loukos F.; Karatza H.; Kalogeraki V.</v>
      </c>
      <c r="E420" s="7" t="str">
        <f>IFERROR(__xludf.DUMMYFUNCTION("""COMPUTED_VALUE"""),"Real-time data dissemination in mobile peer-to-peer networks")</f>
        <v>Real-time data dissemination in mobile peer-to-peer networks</v>
      </c>
      <c r="F420" s="7" t="str">
        <f>IFERROR(__xludf.DUMMYFUNCTION("""COMPUTED_VALUE"""),"JSS")</f>
        <v>JSS</v>
      </c>
      <c r="G420" s="7" t="str">
        <f>IFERROR(__xludf.DUMMYFUNCTION("""COMPUTED_VALUE"""),"Mobile peer-to-peer networks have found many uses such as streaming of audio and video data. There are circumstances, such as emergency situations and disaster recovery, when real-time delivery is a fundamental requirement. The problem is challenging due "&amp;"to the limited network capacity, the variable transmission rates and the unpredictability with respect to the network conditions in the mobile peer-to-peer network. In this paper we address the problem of real-time data dissemination of multimedia streams"&amp;" in mobile peer-to-peer networks. Four routing algorithms are proposed based on a packet's deadline, priority or a combination of these metrics. They are simulated under different setups in a mobile peer-to-peer network with Bluetooth connectivity and nod"&amp;"es broadcasting audio and video streams using different priorities. We compare the performance of the algorithms using a number of metrics. Detailed experimental results are presented. Based on these results, propositions on the usage of the algorithms an"&amp;"d the design of network requirements are presented. © 2013 Elsevier Inc.")</f>
        <v>Mobile peer-to-peer networks have found many uses such as streaming of audio and video data. There are circumstances, such as emergency situations and disaster recovery, when real-time delivery is a fundamental requirement. The problem is challenging due to the limited network capacity, the variable transmission rates and the unpredictability with respect to the network conditions in the mobile peer-to-peer network. In this paper we address the problem of real-time data dissemination of multimedia streams in mobile peer-to-peer networks. Four routing algorithms are proposed based on a packet's deadline, priority or a combination of these metrics. They are simulated under different setups in a mobile peer-to-peer network with Bluetooth connectivity and nodes broadcasting audio and video streams using different priorities. We compare the performance of the algorithms using a number of metrics. Detailed experimental results are presented. Based on these results, propositions on the usage of the algorithms and the design of network requirements are presented. © 2013 Elsevier Inc.</v>
      </c>
      <c r="H420" s="8" t="str">
        <f>IFERROR(__xludf.DUMMYFUNCTION("""COMPUTED_VALUE"""),"Mobile peer-to-peer networks; Peer-to-peer streaming; Real-time dissemination")</f>
        <v>Mobile peer-to-peer networks; Peer-to-peer streaming; Real-time dissemination</v>
      </c>
      <c r="I420" s="10" t="b">
        <v>0</v>
      </c>
      <c r="J420" s="10" t="b">
        <v>0</v>
      </c>
      <c r="K420" s="10" t="b">
        <v>0</v>
      </c>
      <c r="L420" s="10" t="b">
        <v>0</v>
      </c>
      <c r="M420" s="10" t="b">
        <v>0</v>
      </c>
      <c r="N420" s="10" t="b">
        <v>0</v>
      </c>
      <c r="O420" s="11" t="b">
        <f t="shared" si="1"/>
        <v>0</v>
      </c>
      <c r="P420" s="16" t="b">
        <v>0</v>
      </c>
      <c r="Q420" s="7"/>
    </row>
    <row r="421">
      <c r="A421" s="5" t="b">
        <v>1</v>
      </c>
      <c r="B421" s="5" t="s">
        <v>462</v>
      </c>
      <c r="C421" s="6" t="str">
        <f>IFERROR(__xludf.DUMMYFUNCTION("""COMPUTED_VALUE"""),"10.1016/j.jss.2015.08.018")</f>
        <v>10.1016/j.jss.2015.08.018</v>
      </c>
      <c r="D421" s="7" t="str">
        <f>IFERROR(__xludf.DUMMYFUNCTION("""COMPUTED_VALUE"""),"Chae D.-K.; Kim S.-W.; Cho S.-J.; Kim Y.")</f>
        <v>Chae D.-K.; Kim S.-W.; Cho S.-J.; Kim Y.</v>
      </c>
      <c r="E421" s="7" t="str">
        <f>IFERROR(__xludf.DUMMYFUNCTION("""COMPUTED_VALUE"""),"Effective and efficient detection of software theft via dynamic API authority vectors")</f>
        <v>Effective and efficient detection of software theft via dynamic API authority vectors</v>
      </c>
      <c r="F421" s="7" t="str">
        <f>IFERROR(__xludf.DUMMYFUNCTION("""COMPUTED_VALUE"""),"JSS")</f>
        <v>JSS</v>
      </c>
      <c r="G421" s="7" t="str">
        <f>IFERROR(__xludf.DUMMYFUNCTION("""COMPUTED_VALUE"""),"Software theft has become a very serious threat to both the software industry and individual software developers. A software birthmark indicates unique characteristics of a program in question, which can be used for analyzing the similarity of a pair of p"&amp;"rograms and detecting theft. This paper proposes a novel birthmark, a dynamic API authority vector (DAAV). DAAV satisfies four essential requirements for good birthmarks - credibility, resiliency, scalability, and packing-free - while existing static birt"&amp;"hmarks are unable to handle the packed programs and existing dynamic birthmarks do not satisfy credibility and resiliency. Through our extensive experiments with a set of Windows applications, DAAV is shown to have not only the credibility and resiliency "&amp;"higher than the existing dynamic birthmarks but also the accuracy comparable to that of existing static birthmarks. This result indicates that our proposed birthmark provides high accuracy and also covers packed programs successfully in detecting software"&amp;" theft. © 2015 Elsevier Inc. All rights reserved.")</f>
        <v>Software theft has become a very serious threat to both the software industry and individual software developers. A software birthmark indicates unique characteristics of a program in question, which can be used for analyzing the similarity of a pair of programs and detecting theft. This paper proposes a novel birthmark, a dynamic API authority vector (DAAV). DAAV satisfies four essential requirements for good birthmarks - credibility, resiliency, scalability, and packing-free - while existing static birthmarks are unable to handle the packed programs and existing dynamic birthmarks do not satisfy credibility and resiliency. Through our extensive experiments with a set of Windows applications, DAAV is shown to have not only the credibility and resiliency higher than the existing dynamic birthmarks but also the accuracy comparable to that of existing static birthmarks. This result indicates that our proposed birthmark provides high accuracy and also covers packed programs successfully in detecting software theft. © 2015 Elsevier Inc. All rights reserved.</v>
      </c>
      <c r="H421" s="8" t="str">
        <f>IFERROR(__xludf.DUMMYFUNCTION("""COMPUTED_VALUE"""),"Birthmark; Similarity analysis; Software theft detection")</f>
        <v>Birthmark; Similarity analysis; Software theft detection</v>
      </c>
      <c r="I421" s="10" t="b">
        <v>0</v>
      </c>
      <c r="J421" s="10" t="b">
        <v>0</v>
      </c>
      <c r="K421" s="10" t="b">
        <v>0</v>
      </c>
      <c r="L421" s="10" t="b">
        <v>0</v>
      </c>
      <c r="M421" s="10" t="b">
        <v>0</v>
      </c>
      <c r="N421" s="10" t="b">
        <v>0</v>
      </c>
      <c r="O421" s="11" t="b">
        <f t="shared" si="1"/>
        <v>0</v>
      </c>
      <c r="P421" s="16" t="b">
        <v>0</v>
      </c>
      <c r="Q421" s="7"/>
    </row>
    <row r="422">
      <c r="A422" s="5" t="b">
        <v>1</v>
      </c>
      <c r="B422" s="5" t="s">
        <v>463</v>
      </c>
      <c r="C422" s="6" t="str">
        <f>IFERROR(__xludf.DUMMYFUNCTION("""COMPUTED_VALUE"""),"10.1016/j.jss.2017.12.042")</f>
        <v>10.1016/j.jss.2017.12.042</v>
      </c>
      <c r="D422" s="7" t="str">
        <f>IFERROR(__xludf.DUMMYFUNCTION("""COMPUTED_VALUE"""),"Menshawy M.E.; Bentahar J.; Kholy W.E.; Laarej A.")</f>
        <v>Menshawy M.E.; Bentahar J.; Kholy W.E.; Laarej A.</v>
      </c>
      <c r="E422" s="7" t="str">
        <f>IFERROR(__xludf.DUMMYFUNCTION("""COMPUTED_VALUE"""),"Model checking real-time conditional commitment logic using transformation")</f>
        <v>Model checking real-time conditional commitment logic using transformation</v>
      </c>
      <c r="F422" s="7" t="str">
        <f>IFERROR(__xludf.DUMMYFUNCTION("""COMPUTED_VALUE"""),"JSS")</f>
        <v>JSS</v>
      </c>
      <c r="G422" s="7" t="str">
        <f>IFERROR(__xludf.DUMMYFUNCTION("""COMPUTED_VALUE"""),"A new logical language for real-time conditional commitments called RTCTLcc has been developed by extending the CTL logic with interval bounded until modalities, conditional commitment modalities, and fulfillment modalities. RTCTLcc allows us to express q"&amp;"ualitative and quantitative commitment requirements in a convenient way. These requirements can be used to model multi-agent systems (MASs) employed in environments that react properly and timely to events occurring at time instants or within time interva"&amp;"ls. However, the timing requirements and behaviors of MASs need an appropriate way to scale and bundle and should be carefully analyzed to ensure their correctness, especially when agents are autonomous. In this paper, we develop transformation algorithms"&amp;" that are fully implemented in a new Java toolkit for automatically transforming the problem of model checking RTCTLcc into the problem of model checking RTCTL (real-time CTL). The toolkit engine is built on top of the NuSMV tool, effectively used to auto"&amp;"matically verify and analyze the correctness of real-time distributed systems. We analyzed the time and space computational complexity of the RTCTLcc model checking problem. We proved the soundness and completeness of the transformation technique and expe"&amp;"rimentally evaluated the validity of the toolkit using a set of business scenarios. Moreover, we added a capability in the toolkit to automatically scale MASs and to bundle requirements in a parametric form. We experimentally evaluated the scalability asp"&amp;"ect of our approach using the standard ordering protocol. We further validated the approach using an industrial case study. © 2018 Elsevier Inc.")</f>
        <v>A new logical language for real-time conditional commitments called RTCTLcc has been developed by extending the CTL logic with interval bounded until modalities, conditional commitment modalities, and fulfillment modalities. RTCTLcc allows us to express qualitative and quantitative commitment requirements in a convenient way. These requirements can be used to model multi-agent systems (MASs) employed in environments that react properly and timely to events occurring at time instants or within time intervals. However, the timing requirements and behaviors of MASs need an appropriate way to scale and bundle and should be carefully analyzed to ensure their correctness, especially when agents are autonomous. In this paper, we develop transformation algorithms that are fully implemented in a new Java toolkit for automatically transforming the problem of model checking RTCTLcc into the problem of model checking RTCTL (real-time CTL). The toolkit engine is built on top of the NuSMV tool, effectively used to automatically verify and analyze the correctness of real-time distributed systems. We analyzed the time and space computational complexity of the RTCTLcc model checking problem. We proved the soundness and completeness of the transformation technique and experimentally evaluated the validity of the toolkit using a set of business scenarios. Moreover, we added a capability in the toolkit to automatically scale MASs and to bundle requirements in a parametric form. We experimentally evaluated the scalability aspect of our approach using the standard ordering protocol. We further validated the approach using an industrial case study. © 2018 Elsevier Inc.</v>
      </c>
      <c r="H422" s="8" t="str">
        <f>IFERROR(__xludf.DUMMYFUNCTION("""COMPUTED_VALUE"""),"Complexity; Qualitative and quantitative commitment requirements; Real-time; Transformation technique")</f>
        <v>Complexity; Qualitative and quantitative commitment requirements; Real-time; Transformation technique</v>
      </c>
      <c r="I422" s="10" t="b">
        <v>0</v>
      </c>
      <c r="J422" s="10" t="b">
        <v>0</v>
      </c>
      <c r="K422" s="10" t="b">
        <v>0</v>
      </c>
      <c r="L422" s="10" t="b">
        <v>0</v>
      </c>
      <c r="M422" s="10" t="b">
        <v>0</v>
      </c>
      <c r="N422" s="10" t="b">
        <v>0</v>
      </c>
      <c r="O422" s="11" t="b">
        <f t="shared" si="1"/>
        <v>0</v>
      </c>
      <c r="P422" s="16" t="b">
        <v>0</v>
      </c>
      <c r="Q422" s="7"/>
    </row>
    <row r="423">
      <c r="A423" s="5" t="b">
        <v>1</v>
      </c>
      <c r="B423" s="5" t="s">
        <v>464</v>
      </c>
      <c r="C423" s="6" t="str">
        <f>IFERROR(__xludf.DUMMYFUNCTION("""COMPUTED_VALUE"""),"10.1016/j.jss.2023.111735")</f>
        <v>10.1016/j.jss.2023.111735</v>
      </c>
      <c r="D423" s="7" t="str">
        <f>IFERROR(__xludf.DUMMYFUNCTION("""COMPUTED_VALUE"""),"Han Y.; Du Q.; Xu J.; Zhao S.; Chen Z.; Cao L.; Yin K.; Pei D.")</f>
        <v>Han Y.; Du Q.; Xu J.; Zhao S.; Chen Z.; Cao L.; Yin K.; Pei D.</v>
      </c>
      <c r="E423" s="7" t="str">
        <f>IFERROR(__xludf.DUMMYFUNCTION("""COMPUTED_VALUE"""),"LWS: A framework for log-based workload simulation in session-based SUT")</f>
        <v>LWS: A framework for log-based workload simulation in session-based SUT</v>
      </c>
      <c r="F423" s="7" t="str">
        <f>IFERROR(__xludf.DUMMYFUNCTION("""COMPUTED_VALUE"""),"JSS")</f>
        <v>JSS</v>
      </c>
      <c r="G423" s="7" t="str">
        <f>IFERROR(__xludf.DUMMYFUNCTION("""COMPUTED_VALUE"""),"Artificial intelligence for IT Operations (AIOps) plays a critical role in operating and managing cloud-native systems and microservice-based applications but is limited by the lack of high-quality datasets with diverse scenarios. Realistic workloads are "&amp;"the premise and basis of generating such AIOps datasets, with the session-based workload being one of the most typical examples. Due to privacy concerns, complexity, variety, and requirements for reasonable intervention, it is difficult to copy or generat"&amp;"e such workloads directly, showing the importance of effective and intervenable workload simulation. In this paper, we formulate the task of workload simulation and propose a framework for Log-based Workload Simulation (LWS) in session-based systems. LWS "&amp;"extracts the workload specification including the user behavior abstraction based on agglomerative clustering as well as relational models and the intervenable workload intensity from session logs. Then LWS combines the user behavior abstraction with the "&amp;"workload intensity to generate simulated workloads. The experimental evaluation is performed on an open-source cloud-native application with both well-designed and public real-world workloads, showing that the simulated workload generated by LWS is effect"&amp;"ive and intervenable, which provides the foundation of generating high-quality AIOps datasets. © 2023 Elsevier Inc.")</f>
        <v>Artificial intelligence for IT Operations (AIOps) plays a critical role in operating and managing cloud-native systems and microservice-based applications but is limited by the lack of high-quality datasets with diverse scenarios. Realistic workloads are the premise and basis of generating such AIOps datasets, with the session-based workload being one of the most typical examples. Due to privacy concerns, complexity, variety, and requirements for reasonable intervention, it is difficult to copy or generate such workloads directly, showing the importance of effective and intervenable workload simulation. In this paper, we formulate the task of workload simulation and propose a framework for Log-based Workload Simulation (LWS) in session-based systems. LWS extracts the workload specification including the user behavior abstraction based on agglomerative clustering as well as relational models and the intervenable workload intensity from session logs. Then LWS combines the user behavior abstraction with the workload intensity to generate simulated workloads. The experimental evaluation is performed on an open-source cloud-native application with both well-designed and public real-world workloads, showing that the simulated workload generated by LWS is effective and intervenable, which provides the foundation of generating high-quality AIOps datasets. © 2023 Elsevier Inc.</v>
      </c>
      <c r="H423" s="8" t="str">
        <f>IFERROR(__xludf.DUMMYFUNCTION("""COMPUTED_VALUE"""),"AIOps; Behavior model; Intensity modeling; Workload simulation")</f>
        <v>AIOps; Behavior model; Intensity modeling; Workload simulation</v>
      </c>
      <c r="I423" s="10" t="b">
        <v>0</v>
      </c>
      <c r="J423" s="10" t="b">
        <v>0</v>
      </c>
      <c r="K423" s="10" t="b">
        <v>0</v>
      </c>
      <c r="L423" s="10" t="b">
        <v>0</v>
      </c>
      <c r="M423" s="10" t="b">
        <v>0</v>
      </c>
      <c r="N423" s="10" t="b">
        <v>0</v>
      </c>
      <c r="O423" s="11" t="b">
        <f t="shared" si="1"/>
        <v>0</v>
      </c>
      <c r="P423" s="16" t="b">
        <v>0</v>
      </c>
      <c r="Q423" s="7"/>
    </row>
    <row r="424">
      <c r="A424" s="5" t="b">
        <v>1</v>
      </c>
      <c r="B424" s="5" t="s">
        <v>465</v>
      </c>
      <c r="C424" s="6" t="str">
        <f>IFERROR(__xludf.DUMMYFUNCTION("""COMPUTED_VALUE"""),"10.1016/j.jss.2021.110948")</f>
        <v>10.1016/j.jss.2021.110948</v>
      </c>
      <c r="D424" s="7" t="str">
        <f>IFERROR(__xludf.DUMMYFUNCTION("""COMPUTED_VALUE"""),"Liu S.; Miao W.")</f>
        <v>Liu S.; Miao W.</v>
      </c>
      <c r="E424" s="7" t="str">
        <f>IFERROR(__xludf.DUMMYFUNCTION("""COMPUTED_VALUE"""),"A formal specification animation method for operation validation")</f>
        <v>A formal specification animation method for operation validation</v>
      </c>
      <c r="F424" s="7" t="str">
        <f>IFERROR(__xludf.DUMMYFUNCTION("""COMPUTED_VALUE"""),"JSS")</f>
        <v>JSS</v>
      </c>
      <c r="G424" s="7" t="str">
        <f>IFERROR(__xludf.DUMMYFUNCTION("""COMPUTED_VALUE"""),"Formal specification can benefit software quality by precisely defining the behaviors of operations to prevent primary mistakes in the early phase of software projects, but a remaining challenge is how such a specification can be checked comprehensibly to"&amp;" show whether it satisfies the user's perception of requirements. In this paper, we describe a new technique for animating operation specifications as a means to address this problem. The technique offers new ways to do (1) automatic animation data genera"&amp;"tion for both input and output of an operation based on pre- and post-conditions, (2) visualized demonstration of the relationships between input and the corresponding output, (3) comprehensible animation of data items, and (4) illustrative animation of l"&amp;"ogical expressions and the operators used in them. We discuss these issues and present a prototype tool that supports the automation of the proposed technique. We also report an industrial application as a trial experiment to validate the technique. Final"&amp;"ly, we conclude the paper and point out future research directions. © 2021 Elsevier Inc.")</f>
        <v>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 © 2021 Elsevier Inc.</v>
      </c>
      <c r="H424" s="8" t="str">
        <f>IFERROR(__xludf.DUMMYFUNCTION("""COMPUTED_VALUE"""),"Formal specification; Specification animation; Verification and validation")</f>
        <v>Formal specification; Specification animation; Verification and validation</v>
      </c>
      <c r="I424" s="10" t="b">
        <v>0</v>
      </c>
      <c r="J424" s="10" t="b">
        <v>0</v>
      </c>
      <c r="K424" s="10" t="b">
        <v>0</v>
      </c>
      <c r="L424" s="10" t="b">
        <v>0</v>
      </c>
      <c r="M424" s="10" t="b">
        <v>0</v>
      </c>
      <c r="N424" s="10" t="b">
        <v>0</v>
      </c>
      <c r="O424" s="11" t="b">
        <f t="shared" si="1"/>
        <v>0</v>
      </c>
      <c r="P424" s="16" t="b">
        <v>0</v>
      </c>
      <c r="Q424" s="7"/>
    </row>
    <row r="425">
      <c r="A425" s="5" t="b">
        <v>1</v>
      </c>
      <c r="B425" s="5" t="s">
        <v>466</v>
      </c>
      <c r="C425" s="6" t="str">
        <f>IFERROR(__xludf.DUMMYFUNCTION("""COMPUTED_VALUE"""),"10.1016/j.jss.2015.02.040")</f>
        <v>10.1016/j.jss.2015.02.040</v>
      </c>
      <c r="D425" s="7" t="str">
        <f>IFERROR(__xludf.DUMMYFUNCTION("""COMPUTED_VALUE"""),"Karpati P.; Opdahl A.L.; Sindre G.")</f>
        <v>Karpati P.; Opdahl A.L.; Sindre G.</v>
      </c>
      <c r="E425" s="7" t="str">
        <f>IFERROR(__xludf.DUMMYFUNCTION("""COMPUTED_VALUE"""),"Investigating security threats in architectural context: Experimental evaluations of misuse case maps")</f>
        <v>Investigating security threats in architectural context: Experimental evaluations of misuse case maps</v>
      </c>
      <c r="F425" s="7" t="str">
        <f>IFERROR(__xludf.DUMMYFUNCTION("""COMPUTED_VALUE"""),"JSS")</f>
        <v>JSS</v>
      </c>
      <c r="G425" s="7" t="str">
        <f>IFERROR(__xludf.DUMMYFUNCTION("""COMPUTED_VALUE"""),"Many techniques have been proposed for eliciting software security requirements during the early requirements engineering phase. However, few techniques so far provide dedicated views of security issues in a software systems architecture context. This is "&amp;"a problem, because almost all requirements work today happens in a given architectural context, and understanding this architecture is vital for identifying security vulnerabilities and corresponding mitigations. Misuse case maps attempt to provide an int"&amp;"egrated view of security and architecture by augmenting use case maps with misuse case concepts. This paper evaluates misuse case maps through two controlled experiments where 33 and 54 ICT students worked on complex real-life intrusions described in the "&amp;"literature. The students who used misuse case maps showed significantly better understanding of intrusions and better ability to suggest mitigations than students who used a combination of two existing techniques as an alternative treatment. Misuse case m"&amp;"aps were also perceived more favourably overall than the alternative treatment, and participants reported using misuse case maps more when solving their tasks. © 2015 Elsevier Inc. All rights reserved.")</f>
        <v>Many techniques have been proposed for eliciting software security requirements during the early requirements engineering phase. However, few techniques so far provide dedicated views of security issues in a software systems architecture context. This is a problem, because almost all requirements work today happens in a given architectural context, and understanding this architecture is vital for identifying security vulnerabilities and corresponding mitigations. Misuse case maps attempt to provide an integrated view of security and architecture by augmenting use case maps with misuse case concepts. This paper evaluates misuse case maps through two controlled experiments where 33 and 54 ICT students worked on complex real-life intrusions described in the literature. The students who used misuse case maps showed significantly better understanding of intrusions and better ability to suggest mitigations than students who used a combination of two existing techniques as an alternative treatment. Misuse case maps were also perceived more favourably overall than the alternative treatment, and participants reported using misuse case maps more when solving their tasks. © 2015 Elsevier Inc. All rights reserved.</v>
      </c>
      <c r="H425" s="8" t="str">
        <f>IFERROR(__xludf.DUMMYFUNCTION("""COMPUTED_VALUE"""),"computer security; Intrusion analysis; Use case maps")</f>
        <v>computer security; Intrusion analysis; Use case maps</v>
      </c>
      <c r="I425" s="9" t="b">
        <v>1</v>
      </c>
      <c r="J425" s="9" t="b">
        <v>1</v>
      </c>
      <c r="K425" s="9" t="b">
        <v>1</v>
      </c>
      <c r="L425" s="10" t="b">
        <v>0</v>
      </c>
      <c r="M425" s="10" t="b">
        <v>0</v>
      </c>
      <c r="N425" s="10" t="b">
        <v>0</v>
      </c>
      <c r="O425" s="11" t="b">
        <f t="shared" si="1"/>
        <v>1</v>
      </c>
      <c r="P425" s="16" t="b">
        <v>0</v>
      </c>
      <c r="Q425" s="7"/>
    </row>
    <row r="426">
      <c r="A426" s="5" t="b">
        <v>1</v>
      </c>
      <c r="B426" s="5" t="s">
        <v>467</v>
      </c>
      <c r="C426" s="6" t="str">
        <f>IFERROR(__xludf.DUMMYFUNCTION("""COMPUTED_VALUE"""),"10.1016/j.jss.2019.02.031")</f>
        <v>10.1016/j.jss.2019.02.031</v>
      </c>
      <c r="D426" s="7" t="str">
        <f>IFERROR(__xludf.DUMMYFUNCTION("""COMPUTED_VALUE"""),"Abdullah M.; Iqbal W.; Erradi A.")</f>
        <v>Abdullah M.; Iqbal W.; Erradi A.</v>
      </c>
      <c r="E426" s="7" t="str">
        <f>IFERROR(__xludf.DUMMYFUNCTION("""COMPUTED_VALUE"""),"Unsupervised learning approach for web application auto-decomposition into microservices")</f>
        <v>Unsupervised learning approach for web application auto-decomposition into microservices</v>
      </c>
      <c r="F426" s="7" t="str">
        <f>IFERROR(__xludf.DUMMYFUNCTION("""COMPUTED_VALUE"""),"JSS")</f>
        <v>JSS</v>
      </c>
      <c r="G426" s="7" t="str">
        <f>IFERROR(__xludf.DUMMYFUNCTION("""COMPUTED_VALUE"""),"Nowadays, large monolithic web applications are manually decomposed into microservices for many reasons including adopting a modern architecture to ease maintenance and increase reusability. However, the existing approaches to refactor a monolithic applic"&amp;"ation do not inherently consider the application scalability and performance. We devise a novel method to automatically decompose a monolithic application into microservices to improve the application scalability and performance. Our proposed decompositio"&amp;"n method is based on a black-box approach that uses the application access logs and an unsupervised machine-learning method to auto-decompose the application into microservices mapped to URL partitions having similar performance and resource requirements."&amp;" In particular, we propose a complete automated system to decompose an application into microservices, deploy the microservices using appropriate resources, and auto-scale the microservices to maintain the desired response time. We evaluate the proposed s"&amp;"ystem using real web applications on a public cloud infrastructure. The experimental evaluation shows an improved performance of the auto-created microservices compared with the monolithic version of the application and the manually created microservices."&amp;" © 2019")</f>
        <v>Nowadays, large monolithic web applications are manually decomposed into microservices for many reasons including adopting a modern architecture to ease maintenance and increase reusability. However, the existing approaches to refactor a monolithic application do not inherently consider the application scalability and performance. We devise a novel method to automatically decompose a monolithic application into microservices to improve the application scalability and performance. Our proposed decomposition method is based on a black-box approach that uses the application access logs and an unsupervised machine-learning method to auto-decompose the application into microservices mapped to URL partitions having similar performance and resource requirements. In particular, we propose a complete automated system to decompose an application into microservices, deploy the microservices using appropriate resources, and auto-scale the microservices to maintain the desired response time. We evaluate the proposed system using real web applications on a public cloud infrastructure. The experimental evaluation shows an improved performance of the auto-created microservices compared with the monolithic version of the application and the manually created microservices. © 2019</v>
      </c>
      <c r="H426" s="8" t="str">
        <f>IFERROR(__xludf.DUMMYFUNCTION("""COMPUTED_VALUE"""),"Application decomposition; Cloud computing; Microservices; Scalability; Web applications")</f>
        <v>Application decomposition; Cloud computing; Microservices; Scalability; Web applications</v>
      </c>
      <c r="I426" s="10" t="b">
        <v>0</v>
      </c>
      <c r="J426" s="10" t="b">
        <v>0</v>
      </c>
      <c r="K426" s="10" t="b">
        <v>0</v>
      </c>
      <c r="L426" s="10" t="b">
        <v>0</v>
      </c>
      <c r="M426" s="10" t="b">
        <v>0</v>
      </c>
      <c r="N426" s="10" t="b">
        <v>0</v>
      </c>
      <c r="O426" s="11" t="b">
        <f t="shared" si="1"/>
        <v>0</v>
      </c>
      <c r="P426" s="16" t="b">
        <v>0</v>
      </c>
      <c r="Q426" s="7"/>
    </row>
    <row r="427">
      <c r="A427" s="5" t="b">
        <v>1</v>
      </c>
      <c r="B427" s="5" t="s">
        <v>468</v>
      </c>
      <c r="C427" s="6" t="str">
        <f>IFERROR(__xludf.DUMMYFUNCTION("""COMPUTED_VALUE"""),"10.1016/j.jss.2017.08.045")</f>
        <v>10.1016/j.jss.2017.08.045</v>
      </c>
      <c r="D427" s="7" t="str">
        <f>IFERROR(__xludf.DUMMYFUNCTION("""COMPUTED_VALUE"""),"Zhang F.; Khoo S.-C.; Su X.")</f>
        <v>Zhang F.; Khoo S.-C.; Su X.</v>
      </c>
      <c r="E427" s="7" t="str">
        <f>IFERROR(__xludf.DUMMYFUNCTION("""COMPUTED_VALUE"""),"Predicting change consistency in a clone group")</f>
        <v>Predicting change consistency in a clone group</v>
      </c>
      <c r="F427" s="7" t="str">
        <f>IFERROR(__xludf.DUMMYFUNCTION("""COMPUTED_VALUE"""),"JSS")</f>
        <v>JSS</v>
      </c>
      <c r="G427" s="7" t="str">
        <f>IFERROR(__xludf.DUMMYFUNCTION("""COMPUTED_VALUE"""),"Code cloning has been accepted as one of the general code reuse methods in software development, thanks to the increasing demand in rapid software production. The introduction of clone groups and clone genealogies enable software developers to be aware of"&amp;" the presence of and changes to clones as a collective group; they also allow developers to understand how clone groups evolve throughout software life cycle. Due to similarity in codes within a clone group, a change in one piece of the code may require d"&amp;"evelopers to make consistent change to other clones in the group. Failure in making such consistent change to a clone group when necessary is commonly known as “clone consistency-defect”, which can adversely impact software reusability. In this work, we p"&amp;"ropose an approach to predict the need for making consistent change in clones within a clone group at the time when changes have been made to one of its clones. We build a variant of clone genealogies to collect all consistent/inconsistent changes to clon"&amp;"e groups, and extract three attribute sets from clone groups as input for predicting the need for consistent clone change. These three attribute sets are code attributes, context attributes and evolution attributes respectively. Together, they provide a h"&amp;"olistic view about clone changes. We conduct experiments on four open source projects. Our experiments show that our approach has reasonable precision and recall in predicting whether a clone group requires (or is free of) consistent change. This holistic"&amp;" approach can aid developers in maintaining clone changes, and avoid potential consistency-defect, which can improve software quality and reusability. © 2017 Elsevier Inc.")</f>
        <v>Code cloning has been accepted as one of the general code reuse methods in software development, thanks to the increasing demand in rapid software production. The introduction of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consistent change to other clones in the group. Failure in making such consistent change to a clone group when necessary is commonly known as “clone consistency-defect”, which can adversely impact software reusability. In this work, we propose an approach to predict the need for making consistent change in clones within a clone group at the time when changes have been made to one of its clones. We build a variant of clone genealogies to collect all consistent/inconsistent changes to clone groups, and extract three attribute sets from clone groups as input for predicting the need for consistent clone change. These three attribute sets are code attributes, context attributes and evolution attributes respectively. Together, they provide a holistic view about clone changes. We conduct experiments on four open source projects. Our experiments show that our approach has reasonable precision and recall in predicting whether a clone group requires (or is free of) consistent change. This holistic approach can aid developers in maintaining clone changes, and avoid potential consistency-defect, which can improve software quality and reusability. © 2017 Elsevier Inc.</v>
      </c>
      <c r="H427" s="8" t="str">
        <f>IFERROR(__xludf.DUMMYFUNCTION("""COMPUTED_VALUE"""),"Bayesian network; Clone attributes; Clone maintenance; Code clones; Consistency-requirement prediction; Software reuse")</f>
        <v>Bayesian network; Clone attributes; Clone maintenance; Code clones; Consistency-requirement prediction; Software reuse</v>
      </c>
      <c r="I427" s="10" t="b">
        <v>0</v>
      </c>
      <c r="J427" s="10" t="b">
        <v>0</v>
      </c>
      <c r="K427" s="10" t="b">
        <v>0</v>
      </c>
      <c r="L427" s="10" t="b">
        <v>0</v>
      </c>
      <c r="M427" s="10" t="b">
        <v>0</v>
      </c>
      <c r="N427" s="10" t="b">
        <v>0</v>
      </c>
      <c r="O427" s="11" t="b">
        <f t="shared" si="1"/>
        <v>0</v>
      </c>
      <c r="P427" s="16" t="b">
        <v>0</v>
      </c>
      <c r="Q427" s="7"/>
    </row>
    <row r="428">
      <c r="A428" s="5" t="b">
        <v>1</v>
      </c>
      <c r="B428" s="5" t="s">
        <v>469</v>
      </c>
      <c r="C428" s="6" t="str">
        <f>IFERROR(__xludf.DUMMYFUNCTION("""COMPUTED_VALUE"""),"10.1016/j.jss.2013.07.036")</f>
        <v>10.1016/j.jss.2013.07.036</v>
      </c>
      <c r="D428" s="7" t="str">
        <f>IFERROR(__xludf.DUMMYFUNCTION("""COMPUTED_VALUE"""),"Ruano-Ordás D.; Fdez-Glez J.; Fdez-Riverola F.; Méndez J.R.")</f>
        <v>Ruano-Ordás D.; Fdez-Glez J.; Fdez-Riverola F.; Méndez J.R.</v>
      </c>
      <c r="E428" s="7" t="str">
        <f>IFERROR(__xludf.DUMMYFUNCTION("""COMPUTED_VALUE"""),"Effective scheduling strategies for boosting performance on rule-based spam filtering frameworks")</f>
        <v>Effective scheduling strategies for boosting performance on rule-based spam filtering frameworks</v>
      </c>
      <c r="F428" s="7" t="str">
        <f>IFERROR(__xludf.DUMMYFUNCTION("""COMPUTED_VALUE"""),"JSS")</f>
        <v>JSS</v>
      </c>
      <c r="G428" s="7" t="str">
        <f>IFERROR(__xludf.DUMMYFUNCTION("""COMPUTED_VALUE"""),"Despite the enormous importance of e-mail to current worldwide communication, the increase of spam deliveries has had a significant adverse effect for all its users. In order to adequately fight spam, both the filtering industry and scientific community h"&amp;"ave developed and deployed the fastest and most accurate filtering techniques. However, the increasing volume of new incoming messages needing classification together with the lack of adequate support for anti-spam services on the cloud, make filtering ef"&amp;"ficiency an absolute necessity. In this context, and given the extensive utilization and increasing significance of rule-based filtering frameworks for the anti-spam domain, this work studies and analyses the importance of both existing and novel scheduli"&amp;"ng strategies to make the most of currently available anti-spam filtering techniques. Results obtained from the experiments demonstrated that some scheduling alternatives resulted in time savings of up to 26% for filtering messages, while maintaining the "&amp;"same classification accuracy. © 2013 Elsevier Inc. All rights reserved.")</f>
        <v>Despite the enormous importance of e-mail to current worldwide communication, the increase of spam deliveries has had a significant adverse effect for all its users. In order to adequately fight spam, both the filtering industry and scientific community have developed and deployed the fastest and most accurate filtering techniques. However, the increasing volume of new incoming messages needing classification together with the lack of adequate support for anti-spam services on the cloud, make filtering efficiency an absolute necessity. In this context, and given the extensive utilization and increasing significance of rule-based filtering frameworks for the anti-spam domain, this work studies and analyses the importance of both existing and novel scheduling strategies to make the most of currently available anti-spam filtering techniques. Results obtained from the experiments demonstrated that some scheduling alternatives resulted in time savings of up to 26% for filtering messages, while maintaining the same classification accuracy. © 2013 Elsevier Inc. All rights reserved.</v>
      </c>
      <c r="H428" s="8" t="str">
        <f>IFERROR(__xludf.DUMMYFUNCTION("""COMPUTED_VALUE"""),"Performance boosting; Reduction of computational requirements; Rule scheduling; Rule-based anti-spam systems; Smart filter evaluation")</f>
        <v>Performance boosting; Reduction of computational requirements; Rule scheduling; Rule-based anti-spam systems; Smart filter evaluation</v>
      </c>
      <c r="I428" s="10" t="b">
        <v>0</v>
      </c>
      <c r="J428" s="10" t="b">
        <v>0</v>
      </c>
      <c r="K428" s="10" t="b">
        <v>0</v>
      </c>
      <c r="L428" s="10" t="b">
        <v>0</v>
      </c>
      <c r="M428" s="10" t="b">
        <v>0</v>
      </c>
      <c r="N428" s="10" t="b">
        <v>0</v>
      </c>
      <c r="O428" s="11" t="b">
        <f t="shared" si="1"/>
        <v>0</v>
      </c>
      <c r="P428" s="16" t="b">
        <v>0</v>
      </c>
      <c r="Q428" s="7"/>
    </row>
    <row r="429">
      <c r="A429" s="5" t="b">
        <v>1</v>
      </c>
      <c r="B429" s="5" t="s">
        <v>470</v>
      </c>
      <c r="C429" s="6" t="str">
        <f>IFERROR(__xludf.DUMMYFUNCTION("""COMPUTED_VALUE"""),"10.1016/j.jss.2019.110497")</f>
        <v>10.1016/j.jss.2019.110497</v>
      </c>
      <c r="D429" s="7" t="str">
        <f>IFERROR(__xludf.DUMMYFUNCTION("""COMPUTED_VALUE"""),"Bowers K.M.; Fredericks E.M.; Hariri R.H.; H. C. Cheng B.")</f>
        <v>Bowers K.M.; Fredericks E.M.; Hariri R.H.; H. C. Cheng B.</v>
      </c>
      <c r="E429" s="7" t="str">
        <f>IFERROR(__xludf.DUMMYFUNCTION("""COMPUTED_VALUE"""),"Providentia: Using search-based heuristics to optimize satisficement and competing concerns between functional and non-functional objectives in self-adaptive systems")</f>
        <v>Providentia: Using search-based heuristics to optimize satisficement and competing concerns between functional and non-functional objectives in self-adaptive systems</v>
      </c>
      <c r="F429" s="7" t="str">
        <f>IFERROR(__xludf.DUMMYFUNCTION("""COMPUTED_VALUE"""),"JSS")</f>
        <v>JSS</v>
      </c>
      <c r="G429" s="7" t="str">
        <f>IFERROR(__xludf.DUMMYFUNCTION("""COMPUTED_VALUE"""),"In general, a system may be subject to a combination of functional requirements (FRs) that dictate behavior and non-functional requirements (NFRs) that characterize how FRs are to be satisfied. NFRs also introduce cross-cutting concerns that may be diffic"&amp;"ult to predict, where the degree of satisfaction (i.e., satisficement) of one NFR may be impacted by the satisficement of one or more FRs/NFRs. In particular, self-adaptive systems (SASs) can modify system configurations or behaviors at run time to contin"&amp;"uously satisfy FRs and NFRs. This paper presents Providentia, a search-based technique to optimize the satisficement of NFRs in an SAS experiencing various sources of uncertainty. Providentia explores different combinations of weighted FRs to maximize NFR"&amp;"/FR satisficement. Experimental results suggest that Providentia-optimized goal models significantly improve the satisficement of an SAS when compared with manually- and randomly-generated weights and subgoals. Additionally, we apply a hyper-heuristic (Pr"&amp;"ovidentia-SAW) to balance the contribution of NFRs, FRs, and the number of adaptations and further improve the Providentia technique. We apply Providentia and Providentia-SAW to two case studies in different application domains involving a remote data mir"&amp;"roring network and a robotic vacuum controller, respectively. © 2019 Elsevier Inc.")</f>
        <v>In general, a system may be subject to a combination of functional requirements (FRs) that dictate behavior and non-functional requirements (NFRs) that characterize how FRs are to be satisfied. NFRs also introduce cross-cutting concerns that may be difficult to predict, where the degree of satisfaction (i.e., satisficement) of one NFR may be impacted by the satisficement of one or more FRs/NFRs. In particular, self-adaptive systems (SASs) can modify system configurations or behaviors at run time to continuously satisfy FRs and NFRs. This paper presents Providentia, a search-based technique to optimize the satisficement of NFRs in an SAS experiencing various sources of uncertainty. Providentia explores different combinations of weighted FRs to maximize NFR/FR satisficement. Experimental results suggest that Providentia-optimized goal models significantly improve the satisficement of an SAS when compared with manually- and randomly-generated weights and subgoals. Additionally, we apply a hyper-heuristic (Providentia-SAW) to balance the contribution of NFRs, FRs, and the number of adaptations and further improve the Providentia technique. We apply Providentia and Providentia-SAW to two case studies in different application domains involving a remote data mirroring network and a robotic vacuum controller, respectively. © 2019 Elsevier Inc.</v>
      </c>
      <c r="H429" s="8" t="str">
        <f>IFERROR(__xludf.DUMMYFUNCTION("""COMPUTED_VALUE"""),"Evolutionary computation; Non-functional requirements; Optimization; Search-based software engineering; Self-adaptive systems")</f>
        <v>Evolutionary computation; Non-functional requirements; Optimization; Search-based software engineering; Self-adaptive systems</v>
      </c>
      <c r="I429" s="10" t="b">
        <v>0</v>
      </c>
      <c r="J429" s="10" t="b">
        <v>0</v>
      </c>
      <c r="K429" s="10" t="b">
        <v>0</v>
      </c>
      <c r="L429" s="10" t="b">
        <v>0</v>
      </c>
      <c r="M429" s="10" t="b">
        <v>0</v>
      </c>
      <c r="N429" s="10" t="b">
        <v>0</v>
      </c>
      <c r="O429" s="11" t="b">
        <f t="shared" si="1"/>
        <v>0</v>
      </c>
      <c r="P429" s="16" t="b">
        <v>0</v>
      </c>
      <c r="Q429" s="7"/>
    </row>
    <row r="430">
      <c r="A430" s="5" t="b">
        <v>1</v>
      </c>
      <c r="B430" s="5" t="s">
        <v>471</v>
      </c>
      <c r="C430" s="6" t="str">
        <f>IFERROR(__xludf.DUMMYFUNCTION("""COMPUTED_VALUE"""),"10.1016/j.jss.2016.11.036")</f>
        <v>10.1016/j.jss.2016.11.036</v>
      </c>
      <c r="D430" s="7" t="str">
        <f>IFERROR(__xludf.DUMMYFUNCTION("""COMPUTED_VALUE"""),"Safabahar B.; Mirabi M.")</f>
        <v>Safabahar B.; Mirabi M.</v>
      </c>
      <c r="E430" s="7" t="str">
        <f>IFERROR(__xludf.DUMMYFUNCTION("""COMPUTED_VALUE"""),"A new structure and access mechanism for secure and efficient XML data broadcast in mobile wireless networks")</f>
        <v>A new structure and access mechanism for secure and efficient XML data broadcast in mobile wireless networks</v>
      </c>
      <c r="F430" s="7" t="str">
        <f>IFERROR(__xludf.DUMMYFUNCTION("""COMPUTED_VALUE"""),"JSS")</f>
        <v>JSS</v>
      </c>
      <c r="G430" s="7" t="str">
        <f>IFERROR(__xludf.DUMMYFUNCTION("""COMPUTED_VALUE"""),"Recently, the use of XML for data broadcasting in mobile wireless networks has gained many attentions. One of the most essential requirements for such networks is data confidentiality. In order to secure XML data broadcast in mobile wireless networks, mob"&amp;"ile clients should obey a set of access authorizations specified on the original XML document. In such environments, mobile clients can only access authorized parts of encrypted XML stream based on their access authorizations. Several indexing methods hav"&amp;"e been proposed in order to have selective access to XML data over the XML stream. However, these indexing methods cannot be used for encrypted XML data. In this paper, we define a new structure for XML stream which supports data confidentiality of XML da"&amp;"ta over the wireless broadcast channel. We also define an access mechanism for our proposed structure to efficiently process XML queries over the encrypted XML stream. The experimental results demonstrate that the use of our proposed structure and access "&amp;"mechanism for XML data broadcast efficiently disseminates XML data in mobile wireless networks. © 2016 Elsevier Inc.")</f>
        <v>Recently, the use of XML for data broadcasting in mobile wireless networks has gained many attentions. One of the most essential requirements for such networks is data confidentiality. In order to secure XML data broadcast in mobile wireless networks, mobile clients should obey a set of access authorizations specified on the original XML document. In such environments, mobile clients can only access authorized parts of encrypted XML stream based on their access authorizations. Several indexing methods have been proposed in order to have selective access to XML data over the XML stream. However, these indexing methods cannot be used for encrypted XML data. In this paper, we define a new structure for XML stream which supports data confidentiality of XML data over the wireless broadcast channel. We also define an access mechanism for our proposed structure to efficiently process XML queries over the encrypted XML stream. The experimental results demonstrate that the use of our proposed structure and access mechanism for XML data broadcast efficiently disseminates XML data in mobile wireless networks. © 2016 Elsevier Inc.</v>
      </c>
      <c r="H430" s="8" t="str">
        <f>IFERROR(__xludf.DUMMYFUNCTION("""COMPUTED_VALUE"""),"Secure XML data broadcast; XML access control; XML query processing; XML stream")</f>
        <v>Secure XML data broadcast; XML access control; XML query processing; XML stream</v>
      </c>
      <c r="I430" s="10" t="b">
        <v>0</v>
      </c>
      <c r="J430" s="10" t="b">
        <v>0</v>
      </c>
      <c r="K430" s="10" t="b">
        <v>0</v>
      </c>
      <c r="L430" s="10" t="b">
        <v>0</v>
      </c>
      <c r="M430" s="10" t="b">
        <v>0</v>
      </c>
      <c r="N430" s="10" t="b">
        <v>0</v>
      </c>
      <c r="O430" s="11" t="b">
        <f t="shared" si="1"/>
        <v>0</v>
      </c>
      <c r="P430" s="16" t="b">
        <v>0</v>
      </c>
      <c r="Q430" s="7"/>
    </row>
    <row r="431">
      <c r="A431" s="5" t="b">
        <v>1</v>
      </c>
      <c r="B431" s="5" t="s">
        <v>472</v>
      </c>
      <c r="C431" s="6" t="str">
        <f>IFERROR(__xludf.DUMMYFUNCTION("""COMPUTED_VALUE"""),"10.1016/j.jss.2013.07.030")</f>
        <v>10.1016/j.jss.2013.07.030</v>
      </c>
      <c r="D431" s="7" t="str">
        <f>IFERROR(__xludf.DUMMYFUNCTION("""COMPUTED_VALUE"""),"Viana M.C.; Penteado R.A.D.; Do Prado A.F.")</f>
        <v>Viana M.C.; Penteado R.A.D.; Do Prado A.F.</v>
      </c>
      <c r="E431" s="7" t="str">
        <f>IFERROR(__xludf.DUMMYFUNCTION("""COMPUTED_VALUE"""),"Domain-Specific Modeling Languages to improve framework instantiation")</f>
        <v>Domain-Specific Modeling Languages to improve framework instantiation</v>
      </c>
      <c r="F431" s="7" t="str">
        <f>IFERROR(__xludf.DUMMYFUNCTION("""COMPUTED_VALUE"""),"JSS")</f>
        <v>JSS</v>
      </c>
      <c r="G431" s="7" t="str">
        <f>IFERROR(__xludf.DUMMYFUNCTION("""COMPUTED_VALUE"""),"Frameworks are reusable software composed of concrete and abstract classes that implement the functionality of a domain. Applications reuse frameworks to enhance quality and development efficiency. However, frameworks are hard to learn and reuse. Applicat"&amp;"ion developers must understand the complex class hierarchy of the framework to instantiate it properly. In this paper, we present an approach to build a Domain-Specific Modeling Language (DSML) of a framework and use it to facilitate framework reuse durin"&amp;"g application development. The DSML of a framework is built by identifying the features of this framework and the information required to instantiate them. Application generators transform models created with the DSML into application code, hiding framewo"&amp;"rk complexities. In this paper, we illustrate the use of our approach in a framework for the domain of business resource transactions and a experiment that evaluated the efficiency obtained with our approach. © 2013 Elsevier Inc. All rights reserved.")</f>
        <v>Frameworks are reusable software composed of concrete and abstract classes that implement the functionality of a domain. Applications reuse frameworks to enhance quality and development efficiency. However, frameworks are hard to learn and reuse. Application developers must understand the complex class hierarchy of the framework to instantiate it properly. In this paper, we present an approach to build a Domain-Specific Modeling Language (DSML) of a framework and use it to facilitate framework reuse during application development. The DSML of a framework is built by identifying the features of this framework and the information required to instantiate them. Application generators transform models created with the DSML into application code, hiding framework complexities. In this paper, we illustrate the use of our approach in a framework for the domain of business resource transactions and a experiment that evaluated the efficiency obtained with our approach. © 2013 Elsevier Inc. All rights reserved.</v>
      </c>
      <c r="H431" s="8" t="str">
        <f>IFERROR(__xludf.DUMMYFUNCTION("""COMPUTED_VALUE"""),"Domain-Specific Modeling Language; Framework; Reuse")</f>
        <v>Domain-Specific Modeling Language; Framework; Reuse</v>
      </c>
      <c r="I431" s="10" t="b">
        <v>0</v>
      </c>
      <c r="J431" s="10" t="b">
        <v>0</v>
      </c>
      <c r="K431" s="10" t="b">
        <v>0</v>
      </c>
      <c r="L431" s="10" t="b">
        <v>0</v>
      </c>
      <c r="M431" s="10" t="b">
        <v>0</v>
      </c>
      <c r="N431" s="10" t="b">
        <v>0</v>
      </c>
      <c r="O431" s="11" t="b">
        <f t="shared" si="1"/>
        <v>0</v>
      </c>
      <c r="P431" s="16" t="b">
        <v>0</v>
      </c>
      <c r="Q431" s="7"/>
    </row>
    <row r="432">
      <c r="A432" s="5" t="b">
        <v>1</v>
      </c>
      <c r="B432" s="5" t="s">
        <v>473</v>
      </c>
      <c r="C432" s="6" t="str">
        <f>IFERROR(__xludf.DUMMYFUNCTION("""COMPUTED_VALUE"""),"10.1016/j.jss.2023.111749")</f>
        <v>10.1016/j.jss.2023.111749</v>
      </c>
      <c r="D432" s="7" t="str">
        <f>IFERROR(__xludf.DUMMYFUNCTION("""COMPUTED_VALUE"""),"Binamungu L.P.; Maro S.")</f>
        <v>Binamungu L.P.; Maro S.</v>
      </c>
      <c r="E432" s="7" t="str">
        <f>IFERROR(__xludf.DUMMYFUNCTION("""COMPUTED_VALUE"""),"Behaviour driven development: A systematic mapping study")</f>
        <v>Behaviour driven development: A systematic mapping study</v>
      </c>
      <c r="F432" s="7" t="str">
        <f>IFERROR(__xludf.DUMMYFUNCTION("""COMPUTED_VALUE"""),"JSS")</f>
        <v>JSS</v>
      </c>
      <c r="G432" s="7" t="str">
        <f>IFERROR(__xludf.DUMMYFUNCTION("""COMPUTED_VALUE"""),"Context: Behaviour Driven Development (BDD) uses scenarios written in semi-structured natural language to express software requirements in a way that can be understood by all stakeholders. The resulting natural language specifications can also be executed"&amp;" to reveal correct and problematic parts of a software. Although BDD was introduced about two decades ago, there is a lack of secondary studies in peer-reviewed scientific literature, making it difficult to understand the state of BDD research and existin"&amp;"g gaps. Objective: To understand the current state of BDD research by conducting a systematic mapping study that covers studies published from 2006 (when BDD was introduced) to 2021. Method: By following the guidelines for conducting systematic mapping st"&amp;"udies in software engineering, we sought to answer research questions on types of venues in which BDD papers have been published, research types, contribution types, studied topics and their evolution, as well as evaluation methods used in published BDD r"&amp;"esearch. Results: The study identified 166 papers which were mapped. Key results include the following: the dominance of conference papers; scarcity of research with insights from the industry; shortage of philosophical papers on BDD; acute shortage of me"&amp;"trics for measuring various aspects of BDD specifications and the processes for producing BDD specifications; the dominance of studies on using BDD for facilitating various software development endeavours, improving the BDD process and associated artefact"&amp;"s, and applying BDD in different contexts; scarcity of studies on using BDD alongside other software techniques and technologies; increase in diversity of studied BDD topics; and notable use of case studies and experiments to study different BDD aspects. "&amp;"Conclusion: The paper improves our understanding of the state of the art of BDD, and highlights important areas of focus for future BDD research. © 2023 Elsevier Inc.")</f>
        <v>Context: Behaviour Driven Development (BDD) uses scenarios written in semi-structured natural language to express software requirements in a way that can be understood by all stakeholders. The resulting natural language specifications can also be executed to reveal correct and problematic parts of a software. Although BDD was introduced about two decades ago, there is a lack of secondary studies in peer-reviewed scientific literature, making it difficult to understand the state of BDD research and existing gaps. Objective: To understand the current state of BDD research by conducting a systematic mapping study that covers studies published from 2006 (when BDD was introduced) to 2021. Method: By following the guidelines for conducting systematic mapping studies in software engineering, we sought to answer research questions on types of venues in which BDD papers have been published, research types, contribution types, studied topics and their evolution, as well as evaluation methods used in published BDD research. Results: The study identified 166 papers which were mapped. Key results include the following: the dominance of conference papers; scarcity of research with insights from the industry; shortage of philosophical papers on BDD; acute shortage of metrics for measuring various aspects of BDD specifications and the processes for producing BDD specifications; the dominance of studies on using BDD for facilitating various software development endeavours, improving the BDD process and associated artefacts, and applying BDD in different contexts; scarcity of studies on using BDD alongside other software techniques and technologies; increase in diversity of studied BDD topics; and notable use of case studies and experiments to study different BDD aspects. Conclusion: The paper improves our understanding of the state of the art of BDD, and highlights important areas of focus for future BDD research. © 2023 Elsevier Inc.</v>
      </c>
      <c r="H432" s="8" t="str">
        <f>IFERROR(__xludf.DUMMYFUNCTION("""COMPUTED_VALUE"""),"Behaviour Driven Development; Systematic mapping studies in software engineering; Systematic mapping study")</f>
        <v>Behaviour Driven Development; Systematic mapping studies in software engineering; Systematic mapping study</v>
      </c>
      <c r="I432" s="10" t="b">
        <v>0</v>
      </c>
      <c r="J432" s="10" t="b">
        <v>0</v>
      </c>
      <c r="K432" s="10" t="b">
        <v>0</v>
      </c>
      <c r="L432" s="10" t="b">
        <v>0</v>
      </c>
      <c r="M432" s="10" t="b">
        <v>0</v>
      </c>
      <c r="N432" s="10" t="b">
        <v>0</v>
      </c>
      <c r="O432" s="11" t="b">
        <f t="shared" si="1"/>
        <v>0</v>
      </c>
      <c r="P432" s="16" t="b">
        <v>0</v>
      </c>
      <c r="Q432" s="7"/>
    </row>
    <row r="433">
      <c r="A433" s="5" t="b">
        <v>1</v>
      </c>
      <c r="B433" s="5" t="s">
        <v>474</v>
      </c>
      <c r="C433" s="6" t="str">
        <f>IFERROR(__xludf.DUMMYFUNCTION("""COMPUTED_VALUE"""),"10.1016/j.jss.2022.111491")</f>
        <v>10.1016/j.jss.2022.111491</v>
      </c>
      <c r="D433" s="7" t="str">
        <f>IFERROR(__xludf.DUMMYFUNCTION("""COMPUTED_VALUE"""),"Meyer V.; da Silva M.L.; Kirchoff D.F.; De Rose C.A.F.")</f>
        <v>Meyer V.; da Silva M.L.; Kirchoff D.F.; De Rose C.A.F.</v>
      </c>
      <c r="E433" s="7" t="str">
        <f>IFERROR(__xludf.DUMMYFUNCTION("""COMPUTED_VALUE"""),"IADA: A dynamic interference-aware cloud scheduling architecture for latency-sensitive workloads")</f>
        <v>IADA: A dynamic interference-aware cloud scheduling architecture for latency-sensitive workloads</v>
      </c>
      <c r="F433" s="7" t="str">
        <f>IFERROR(__xludf.DUMMYFUNCTION("""COMPUTED_VALUE"""),"JSS")</f>
        <v>JSS</v>
      </c>
      <c r="G433" s="7" t="str">
        <f>IFERROR(__xludf.DUMMYFUNCTION("""COMPUTED_VALUE"""),"Cloud computing allows several applications to share physical resources, yielding rapid provisioning and improving hardware utilization. However, multiple applications contending for shared resources are susceptible to interference, which might lead to si"&amp;"gnificant performance degradation and consequently an increase in Service Level Agreements violations. In previous work, we started to analyze resource contention and its impact on performance degradation and hardware utilization. Then, we created an inte"&amp;"rference-aware application classifier based on machine learning techniques and evaluated it comparing two classification strategies: (i) unique, when a single classification is performed over the entire applications’ execution; and (ii) segmented, when th"&amp;"e classification is carried out over multiple static-defined intervals. Moving towards a dynamic scheduling solution, we combine and improve on previous work findings and, in this work, we present IADA, a full-fledged dynamic interference-aware cloud sche"&amp;"duling architecture for latency-sensitive workloads. Our approach consists in improving on a segmented interference classification of applications to a dynamic classification scheme based on workload variations. Aiming at using the available resource more"&amp;" efficiently and respecting Quality of Services requirements, the proposed architecture was developed supported by machine learning techniques, heuristics, and a bayesian changepoint detection algorithm for online inference. We conducted a set of real and"&amp;" simulated experiments, utilizing a developed extension of CloudSim Toolkit to analyze and compare the proposed architecture efficiency with related studies. Results evidenced that IADA reduces by 25%, on average, the overall performance degradation. © 20"&amp;"22 Elsevier Inc.")</f>
        <v>Cloud computing allows several applications to share physical resources, yielding rapid provisioning and improving hardware utilization. However, multiple applications contending for shared resources are susceptible to interference, which might lead to significant performance degradation and consequently an increase in Service Level Agreements violations. In previous work, we started to analyze resource contention and its impact on performance degradation and hardware utilization. Then, we created an interference-aware application classifier based on machine learning techniques and evaluated it comparing two classification strategies: (i) unique, when a single classification is performed over the entire applications’ execution; and (ii) segmented, when the classification is carried out over multiple static-defined intervals. Moving towards a dynamic scheduling solution, we combine and improve on previous work findings and, in this work, we present IADA, a full-fledged dynamic interference-aware cloud scheduling architecture for latency-sensitive workloads. Our approach consists in improving on a segmented interference classification of applications to a dynamic classification scheme based on workload variations. Aiming at using the available resource more efficiently and respecting Quality of Services requirements, the proposed architecture was developed supported by machine learning techniques, heuristics, and a bayesian changepoint detection algorithm for online inference. We conducted a set of real and simulated experiments, utilizing a developed extension of CloudSim Toolkit to analyze and compare the proposed architecture efficiency with related studies. Results evidenced that IADA reduces by 25%, on average, the overall performance degradation. © 2022 Elsevier Inc.</v>
      </c>
      <c r="H433" s="8" t="str">
        <f>IFERROR(__xludf.DUMMYFUNCTION("""COMPUTED_VALUE"""),"Cloud computing; Dynamic workloads; Interference-aware; Machine learning; Resource management")</f>
        <v>Cloud computing; Dynamic workloads; Interference-aware; Machine learning; Resource management</v>
      </c>
      <c r="I433" s="10" t="b">
        <v>0</v>
      </c>
      <c r="J433" s="10" t="b">
        <v>0</v>
      </c>
      <c r="K433" s="10" t="b">
        <v>0</v>
      </c>
      <c r="L433" s="10" t="b">
        <v>0</v>
      </c>
      <c r="M433" s="10" t="b">
        <v>0</v>
      </c>
      <c r="N433" s="10" t="b">
        <v>0</v>
      </c>
      <c r="O433" s="11" t="b">
        <f t="shared" si="1"/>
        <v>0</v>
      </c>
      <c r="P433" s="16" t="b">
        <v>0</v>
      </c>
      <c r="Q433" s="7"/>
    </row>
    <row r="434">
      <c r="A434" s="5" t="b">
        <v>1</v>
      </c>
      <c r="B434" s="5" t="s">
        <v>475</v>
      </c>
      <c r="C434" s="6" t="str">
        <f>IFERROR(__xludf.DUMMYFUNCTION("""COMPUTED_VALUE"""),"10.1016/j.jss.2022.111324")</f>
        <v>10.1016/j.jss.2022.111324</v>
      </c>
      <c r="D434" s="7" t="str">
        <f>IFERROR(__xludf.DUMMYFUNCTION("""COMPUTED_VALUE"""),"Zhao K.; Liu J.; Xu Z.; Liu X.; Xue L.; Xie Z.; Zhou Y.; Wang X.")</f>
        <v>Zhao K.; Liu J.; Xu Z.; Liu X.; Xue L.; Xie Z.; Zhou Y.; Wang X.</v>
      </c>
      <c r="E434" s="7" t="str">
        <f>IFERROR(__xludf.DUMMYFUNCTION("""COMPUTED_VALUE"""),"Graph4Web: A relation-aware graph attention network for web service classification")</f>
        <v>Graph4Web: A relation-aware graph attention network for web service classification</v>
      </c>
      <c r="F434" s="7" t="str">
        <f>IFERROR(__xludf.DUMMYFUNCTION("""COMPUTED_VALUE"""),"JSS")</f>
        <v>JSS</v>
      </c>
      <c r="G434" s="7" t="str">
        <f>IFERROR(__xludf.DUMMYFUNCTION("""COMPUTED_VALUE"""),"Software reuse is a popular way to utilize existing software components to ensure the quality of newly developed software in service-oriented architecture. However, how to find a suitable web service from existing repositories to meet requirements is stil"&amp;"l an open issue. Among others, web service classification is one of the most essential and effective means for web service recommendation. Previous studies have concerned this problem, but a critical issue, i.e., the semantic and syntactic information for"&amp;" the web service, is often ignored. To address such an issue, in this work, we propose Graph4Web, which uses a relation-aware graph attention network for web service classification. Specifically, we first parse the web service description sequence into th"&amp;"e dependency graph and initialize the embedding vector of each node in the graph by tuning the pre-trained BERT model. We further propose a relation-aware graph attention layer to learn and update the node embedding vector by aggregating the information o"&amp;"f neighborhood nodes and the distinct types of relationships between nodes. In addition, we introduce the self-attention mechanism to acquire the high-level global representation for web service classification. Various experiments demonstrate that Graph4W"&amp;"eb has better classification performance compared with seven baseline methods with three indicators. © 2022 Elsevier Inc.")</f>
        <v>Software reuse is a popular way to utilize existing software components to ensure the quality of newly developed software in service-oriented architecture. However, how to find a suitable web service from existing repositories to meet requirements is still an open issue. Among others, web service classification is one of the most essential and effective means for web service recommendation. Previous studies have concerned this problem, but a critical issue, i.e., the semantic and syntactic information for the web service, is often ignored. To address such an issue, in this work, we propose Graph4Web, which uses a relation-aware graph attention network for web service classification. Specifically, we first parse the web service description sequence into the dependency graph and initialize the embedding vector of each node in the graph by tuning the pre-trained BERT model. We further propose a relation-aware graph attention layer to learn and update the node embedding vector by aggregating the information of neighborhood nodes and the distinct types of relationships between nodes. In addition, we introduce the self-attention mechanism to acquire the high-level global representation for web service classification. Various experiments demonstrate that Graph4Web has better classification performance compared with seven baseline methods with three indicators. © 2022 Elsevier Inc.</v>
      </c>
      <c r="H434" s="8" t="str">
        <f>IFERROR(__xludf.DUMMYFUNCTION("""COMPUTED_VALUE"""),"Attention mechanism; Graph neural network; Service discovery; Web services")</f>
        <v>Attention mechanism; Graph neural network; Service discovery; Web services</v>
      </c>
      <c r="I434" s="10" t="b">
        <v>0</v>
      </c>
      <c r="J434" s="10" t="b">
        <v>0</v>
      </c>
      <c r="K434" s="10" t="b">
        <v>0</v>
      </c>
      <c r="L434" s="10" t="b">
        <v>0</v>
      </c>
      <c r="M434" s="10" t="b">
        <v>0</v>
      </c>
      <c r="N434" s="10" t="b">
        <v>0</v>
      </c>
      <c r="O434" s="11" t="b">
        <f t="shared" si="1"/>
        <v>0</v>
      </c>
      <c r="P434" s="16" t="b">
        <v>0</v>
      </c>
      <c r="Q434" s="7"/>
    </row>
    <row r="435">
      <c r="A435" s="5" t="b">
        <v>1</v>
      </c>
      <c r="B435" s="5" t="s">
        <v>476</v>
      </c>
      <c r="C435" s="6" t="str">
        <f>IFERROR(__xludf.DUMMYFUNCTION("""COMPUTED_VALUE"""),"10.1016/j.jss.2015.10.029")</f>
        <v>10.1016/j.jss.2015.10.029</v>
      </c>
      <c r="D435" s="7" t="str">
        <f>IFERROR(__xludf.DUMMYFUNCTION("""COMPUTED_VALUE"""),"Li Z.; Guo C.; Hua X.; Ren S.")</f>
        <v>Li Z.; Guo C.; Hua X.; Ren S.</v>
      </c>
      <c r="E435" s="7" t="str">
        <f>IFERROR(__xludf.DUMMYFUNCTION("""COMPUTED_VALUE"""),"Reliability guaranteed energy minimization on mixed-criticality systems")</f>
        <v>Reliability guaranteed energy minimization on mixed-criticality systems</v>
      </c>
      <c r="F435" s="7" t="str">
        <f>IFERROR(__xludf.DUMMYFUNCTION("""COMPUTED_VALUE"""),"JSS")</f>
        <v>JSS</v>
      </c>
      <c r="G435" s="7" t="str">
        <f>IFERROR(__xludf.DUMMYFUNCTION("""COMPUTED_VALUE"""),"This paper studies the energy minimization problem in mixed-criticality systems that have stringent reliability and deadline constraints. We first analyze the resource demand of a mixed-criticality task set that has both reliability and deadline requireme"&amp;"nts. Based on the analysis, we present a heuristic task scheduling algorithm that minimizes system's energy consumption and at the same time also guarantees system's reliability and deadline constraints. Extensive experiments are conducted to evaluate and"&amp;" validate the performance of the proposed algorithm. The empirical results show that the algorithm further improves energy saving by up to 10% compared with the approaches proposed in our earlier work. © 2015 Elsevier Inc. All rights reserved.")</f>
        <v>This paper studies the energy minimization problem in mixed-criticality systems that have stringent reliability and deadline constraints. We first analyze the resource demand of a mixed-criticality task set that has both reliability and deadline requirements. Based on the analysis, we present a heuristic task scheduling algorithm that minimizes system's energy consumption and at the same time also guarantees system's reliability and deadline constraints. Extensive experiments are conducted to evaluate and validate the performance of the proposed algorithm. The empirical results show that the algorithm further improves energy saving by up to 10% compared with the approaches proposed in our earlier work. © 2015 Elsevier Inc. All rights reserved.</v>
      </c>
      <c r="H435" s="8" t="str">
        <f>IFERROR(__xludf.DUMMYFUNCTION("""COMPUTED_VALUE"""),"Energy; Mixed-criticality; Reliability")</f>
        <v>Energy; Mixed-criticality; Reliability</v>
      </c>
      <c r="I435" s="10" t="b">
        <v>0</v>
      </c>
      <c r="J435" s="10" t="b">
        <v>0</v>
      </c>
      <c r="K435" s="10" t="b">
        <v>0</v>
      </c>
      <c r="L435" s="10" t="b">
        <v>0</v>
      </c>
      <c r="M435" s="10" t="b">
        <v>0</v>
      </c>
      <c r="N435" s="10" t="b">
        <v>0</v>
      </c>
      <c r="O435" s="11" t="b">
        <f t="shared" si="1"/>
        <v>0</v>
      </c>
      <c r="P435" s="16" t="b">
        <v>0</v>
      </c>
      <c r="Q435" s="7"/>
    </row>
    <row r="436">
      <c r="A436" s="5" t="b">
        <v>1</v>
      </c>
      <c r="B436" s="5" t="s">
        <v>477</v>
      </c>
      <c r="C436" s="6" t="str">
        <f>IFERROR(__xludf.DUMMYFUNCTION("""COMPUTED_VALUE"""),"10.1016/j.jss.2015.03.066")</f>
        <v>10.1016/j.jss.2015.03.066</v>
      </c>
      <c r="D436" s="7" t="str">
        <f>IFERROR(__xludf.DUMMYFUNCTION("""COMPUTED_VALUE"""),"Jiang B.; Chan W.K.")</f>
        <v>Jiang B.; Chan W.K.</v>
      </c>
      <c r="E436" s="7" t="str">
        <f>IFERROR(__xludf.DUMMYFUNCTION("""COMPUTED_VALUE"""),"Input-based adaptive randomized test case prioritization: A local beam search approach")</f>
        <v>Input-based adaptive randomized test case prioritization: A local beam search approach</v>
      </c>
      <c r="F436" s="7" t="str">
        <f>IFERROR(__xludf.DUMMYFUNCTION("""COMPUTED_VALUE"""),"JSS")</f>
        <v>JSS</v>
      </c>
      <c r="G436" s="7" t="str">
        <f>IFERROR(__xludf.DUMMYFUNCTION("""COMPUTED_VALUE"""),"Test case prioritization assigns the execution priorities of the test cases in a given test suite. Many existing test case prioritization techniques assume the full-fledged availability of code coverage data, fault history, or test specification, which ar"&amp;"e seldom well-maintained in real-world software development projects. This paper proposes a novel family of input-based local-beam-search adaptive-randomized techniques. They make adaptive tree-based randomized explorations with a randomized candidate tes"&amp;"t set strategy to even out the search space explorations among the branches of the exploration trees constructed by the test inputs in the test suite. We report a validation experiment on a suite of four medium-size benchmarks. The results show that our t"&amp;"echniques achieve either higher APFD values than or the same mean APFD values as the existing code-coverage-based greedy or search-based prioritization techniques, including Genetic, Greedy and ART, in both our controlled experiment and case study. Our te"&amp;"chniques are also significantly more efficient than the Genetic and Greedy, but are less efficient than ART.")</f>
        <v>Test case prioritization assigns the execution priorities of the test cases in a given test suite. Many existing test case prioritization techniques assume the full-fledged availability of code coverage data, fault history, or test specification, which are seldom well-maintained in real-world software development projects. This paper proposes a novel family of input-based local-beam-search adaptive-randomized techniques. They make adaptive tree-based randomized explorations with a randomized candidate test set strategy to even out the search space explorations among the branches of the exploration trees constructed by the test inputs in the test suite. We report a validation experiment on a suite of four medium-size benchmarks. The results show that our techniques achieve either higher APFD values than or the same mean APFD values as the existing code-coverage-based greedy or search-based prioritization techniques, including Genetic, Greedy and ART, in both our controlled experiment and case study. Our techniques are also significantly more efficient than the Genetic and Greedy, but are less efficient than ART.</v>
      </c>
      <c r="H436" s="8" t="str">
        <f>IFERROR(__xludf.DUMMYFUNCTION("""COMPUTED_VALUE"""),"Adaptive test case prioritization; Randomized algorithm; Regression testing")</f>
        <v>Adaptive test case prioritization; Randomized algorithm; Regression testing</v>
      </c>
      <c r="I436" s="10" t="b">
        <v>0</v>
      </c>
      <c r="J436" s="10" t="b">
        <v>0</v>
      </c>
      <c r="K436" s="10" t="b">
        <v>0</v>
      </c>
      <c r="L436" s="10" t="b">
        <v>0</v>
      </c>
      <c r="M436" s="10" t="b">
        <v>0</v>
      </c>
      <c r="N436" s="10" t="b">
        <v>0</v>
      </c>
      <c r="O436" s="11" t="b">
        <f t="shared" si="1"/>
        <v>0</v>
      </c>
      <c r="P436" s="16" t="b">
        <v>0</v>
      </c>
      <c r="Q436" s="7"/>
    </row>
    <row r="437">
      <c r="A437" s="5" t="b">
        <v>1</v>
      </c>
      <c r="B437" s="5" t="s">
        <v>478</v>
      </c>
      <c r="C437" s="6" t="str">
        <f>IFERROR(__xludf.DUMMYFUNCTION("""COMPUTED_VALUE"""),"10.1016/j.jss.2013.01.038")</f>
        <v>10.1016/j.jss.2013.01.038</v>
      </c>
      <c r="D437" s="7" t="str">
        <f>IFERROR(__xludf.DUMMYFUNCTION("""COMPUTED_VALUE"""),"Thurimella A.K.; Brügge B.")</f>
        <v>Thurimella A.K.; Brügge B.</v>
      </c>
      <c r="E437" s="7" t="str">
        <f>IFERROR(__xludf.DUMMYFUNCTION("""COMPUTED_VALUE"""),"A mixed-method approach for the empirical evaluation of the issue-based variability modeling")</f>
        <v>A mixed-method approach for the empirical evaluation of the issue-based variability modeling</v>
      </c>
      <c r="F437" s="7" t="str">
        <f>IFERROR(__xludf.DUMMYFUNCTION("""COMPUTED_VALUE"""),"JSS")</f>
        <v>JSS</v>
      </c>
      <c r="G437" s="7" t="str">
        <f>IFERROR(__xludf.DUMMYFUNCTION("""COMPUTED_VALUE"""),"Background: Variability management is the fundamental part of software product line engineering, which deals with customization and reuse of artifacts for developing a family of systems. Rationale approaches structure decision-making by managing the tacit"&amp;"-knowledge behind decisions. This paper reports a quasi-experiment for evaluating a rationale enriched collaborative variability management methodology called issue-based variability modeling. Objective: We studied the interaction of stakeholders with iss"&amp;"ue-based modeling to evaluate its applicability in requirements engineering teams. Furthermore, we evaluated the reuse of rationale while instantiating and changing variability. Approach: We enriched a quasi-experimental design with a variety of methods f"&amp;"ound in case study research. A sample of 258 students was employed with data collection and analysis based on a mix of qualitative and quantitative methods. Our study was performed in two phases: the first phase focused on variability identification and i"&amp;"nstantiation, while the second phase included tasks on variability evolution. Results: We obtained strong empirical evidence on reuse patterns for rationale during instantiation and evolution of variability. The tabular representations used by rationale m"&amp;"odeling are learnable and usable in teams of diverse backgrounds. © 2013 Elsevier Inc. All rights reserved.")</f>
        <v>Background: Variability management is the fundamental part of software product line engineering, which deals with customization and reuse of artifacts for developing a family of systems. Rationale approaches structure decision-making by managing the tacit-knowledge behind decisions. This paper reports a quasi-experiment for evaluating a rationale enriched collaborative variability management methodology called issue-based variability modeling. Objective: We studied the interaction of stakeholders with issue-based modeling to evaluate its applicability in requirements engineering teams. Furthermore, we evaluated the reuse of rationale while instantiating and changing variability. Approach: We enriched a quasi-experimental design with a variety of methods found in case study research. A sample of 258 students was employed with data collection and analysis based on a mix of qualitative and quantitative methods. Our study was performed in two phases: the first phase focused on variability identification and instantiation, while the second phase included tasks on variability evolution. Results: We obtained strong empirical evidence on reuse patterns for rationale during instantiation and evolution of variability. The tabular representations used by rationale modeling are learnable and usable in teams of diverse backgrounds. © 2013 Elsevier Inc. All rights reserved.</v>
      </c>
      <c r="H437" s="8" t="str">
        <f>IFERROR(__xludf.DUMMYFUNCTION("""COMPUTED_VALUE"""),"Empirical software engineering; Mixed-methods; Rationale management; Requirements engineering; Software product lines; Variability")</f>
        <v>Empirical software engineering; Mixed-methods; Rationale management; Requirements engineering; Software product lines; Variability</v>
      </c>
      <c r="I437" s="9" t="b">
        <v>1</v>
      </c>
      <c r="J437" s="9" t="b">
        <v>1</v>
      </c>
      <c r="K437" s="9" t="b">
        <v>1</v>
      </c>
      <c r="L437" s="10" t="b">
        <v>0</v>
      </c>
      <c r="M437" s="10" t="b">
        <v>0</v>
      </c>
      <c r="N437" s="10" t="b">
        <v>0</v>
      </c>
      <c r="O437" s="11" t="b">
        <f t="shared" si="1"/>
        <v>1</v>
      </c>
      <c r="P437" s="12" t="b">
        <v>0</v>
      </c>
      <c r="Q437" s="13"/>
    </row>
    <row r="438">
      <c r="A438" s="5" t="b">
        <v>1</v>
      </c>
      <c r="B438" s="5" t="s">
        <v>479</v>
      </c>
      <c r="C438" s="6" t="str">
        <f>IFERROR(__xludf.DUMMYFUNCTION("""COMPUTED_VALUE"""),"10.1016/j.jss.2020.110540")</f>
        <v>10.1016/j.jss.2020.110540</v>
      </c>
      <c r="D438" s="7" t="str">
        <f>IFERROR(__xludf.DUMMYFUNCTION("""COMPUTED_VALUE"""),"Cheng H.; Zhong M.; Wang J.")</f>
        <v>Cheng H.; Zhong M.; Wang J.</v>
      </c>
      <c r="E438" s="7" t="str">
        <f>IFERROR(__xludf.DUMMYFUNCTION("""COMPUTED_VALUE"""),"Diversified keyword search based web service composition")</f>
        <v>Diversified keyword search based web service composition</v>
      </c>
      <c r="F438" s="7" t="str">
        <f>IFERROR(__xludf.DUMMYFUNCTION("""COMPUTED_VALUE"""),"JSS")</f>
        <v>JSS</v>
      </c>
      <c r="G438" s="7" t="str">
        <f>IFERROR(__xludf.DUMMYFUNCTION("""COMPUTED_VALUE"""),"To assist system engineers in efficiently building service-based software systems, the keyword search based service composition approach on service connection graphs (scgraphs) has been proposed recently. However, due to the ambiguity of keywords, a keywo"&amp;"rd query may represent a bunch of different user requirements. Thus the current approach that only returns the composition with the optimal Quality of Service (QoS) cannot guarantee to hit the spot. In this paper, in order to satisfy the various possible "&amp;"requirements underlying a given keyword query, we formally introduce the top-k diverse service composition problem, and present a novel diversified keyword search approach on scgraphs to address it. Specifically, we firstly propose an All-Then-Diversify ("&amp;"ATD) algorithm that enumerates all potential compositions by searching a scgraph and then derives the top-k diverse subsets by deriving the maximal independent sets of a similarity graph. Then, due to the possibly large number of potential compositions, w"&amp;"e present a Pop-And-Diversify (PAD) algorithm that only maintains a similarity graph of the top compositions that have been found so far during the search and computes its maximal independent sets incrementally until convergence, thereby reducing unnecess"&amp;"ary computation overheads. Moreover, we propose two composition similarity measurements w.r.t. the categories or descriptions of services respectively. Lastly, the experimental results on ProgrammableWeb.com demonstrate that, our approach outperforms anot"&amp;"her state-of-the-art composition diversification approach on both metrics of density and redundancy, and meanwhile, improves the efficiency of diversification significantly. © 2020 Elsevier Inc.")</f>
        <v>To assist system engineers in efficiently building service-based software systems, the keyword search based service composition approach on service connection graphs (scgraphs) has been proposed recently. However, due to the ambiguity of keywords, a keyword query may represent a bunch of different user requirements. Thus the current approach that only returns the composition with the optimal Quality of Service (QoS) cannot guarantee to hit the spot. In this paper, in order to satisfy the various possible requirements underlying a given keyword query, we formally introduce the top-k diverse service composition problem, and present a novel diversified keyword search approach on scgraphs to address it. Specifically, we firstly propose an All-Then-Diversify (ATD) algorithm that enumerates all potential compositions by searching a scgraph and then derives the top-k diverse subsets by deriving the maximal independent sets of a similarity graph. Then, due to the possibly large number of potential compositions, we present a Pop-And-Diversify (PAD) algorithm that only maintains a similarity graph of the top compositions that have been found so far during the search and computes its maximal independent sets incrementally until convergence, thereby reducing unnecessary computation overheads. Moreover, we propose two composition similarity measurements w.r.t. the categories or descriptions of services respectively. Lastly, the experimental results on ProgrammableWeb.com demonstrate that, our approach outperforms another state-of-the-art composition diversification approach on both metrics of density and redundancy, and meanwhile, improves the efficiency of diversification significantly. © 2020 Elsevier Inc.</v>
      </c>
      <c r="H438" s="8" t="str">
        <f>IFERROR(__xludf.DUMMYFUNCTION("""COMPUTED_VALUE"""),"Diversification; Keyword search; Quality of service; Service composition; Web service")</f>
        <v>Diversification; Keyword search; Quality of service; Service composition; Web service</v>
      </c>
      <c r="I438" s="10" t="b">
        <v>0</v>
      </c>
      <c r="J438" s="10" t="b">
        <v>0</v>
      </c>
      <c r="K438" s="10" t="b">
        <v>0</v>
      </c>
      <c r="L438" s="10" t="b">
        <v>0</v>
      </c>
      <c r="M438" s="10" t="b">
        <v>0</v>
      </c>
      <c r="N438" s="10" t="b">
        <v>0</v>
      </c>
      <c r="O438" s="11" t="b">
        <f t="shared" si="1"/>
        <v>0</v>
      </c>
      <c r="P438" s="16" t="b">
        <v>0</v>
      </c>
      <c r="Q438" s="7"/>
    </row>
    <row r="439">
      <c r="A439" s="5" t="b">
        <v>1</v>
      </c>
      <c r="B439" s="5" t="s">
        <v>480</v>
      </c>
      <c r="C439" s="6" t="str">
        <f>IFERROR(__xludf.DUMMYFUNCTION("""COMPUTED_VALUE"""),"10.1016/j.jss.2019.06.096")</f>
        <v>10.1016/j.jss.2019.06.096</v>
      </c>
      <c r="D439" s="7" t="str">
        <f>IFERROR(__xludf.DUMMYFUNCTION("""COMPUTED_VALUE"""),"El-Attar M.")</f>
        <v>El-Attar M.</v>
      </c>
      <c r="E439" s="7" t="str">
        <f>IFERROR(__xludf.DUMMYFUNCTION("""COMPUTED_VALUE"""),"Evaluating and empirically improving the visual syntax of use case diagrams")</f>
        <v>Evaluating and empirically improving the visual syntax of use case diagrams</v>
      </c>
      <c r="F439" s="7" t="str">
        <f>IFERROR(__xludf.DUMMYFUNCTION("""COMPUTED_VALUE"""),"JSS")</f>
        <v>JSS</v>
      </c>
      <c r="G439" s="7" t="str">
        <f>IFERROR(__xludf.DUMMYFUNCTION("""COMPUTED_VALUE"""),"Use case modeling is a forefront technique to specify functional requirements of a system. Many research works related to use case modeling have been devoted to improving various aspects of use case modeling and its utilization in software development pro"&amp;"cesses. One key aspect of use case models that has thus far been overlooked by the research community is the visual perception of use case diagrams by its readers. Any model is used transfer a mental idea by a modeler to a model reader. Even if a use case"&amp;" diagram is constructed flawlessly, if it is misread or misinterpreted by its reader then the intrinsic purpose of modeling has failed. This paper provides a two-fold contribution. Firstly, this paper presents an evaluation of the cognitive effectiveness "&amp;"of use case diagrams notation. The evaluation is based on theory principles and empirical evidence mainly from the cognitive science field. Secondly, it provides empirically validated improvements to the use case diagram notation that enhances its cogniti"&amp;"ve effectiveness. Empirical validation of the improvements is drawn by conducting an industrial survey using business analyst professionals. Empirical validation is also drawn by conducting an experiment using software engineering professionals as subject"&amp;"s. © 2019")</f>
        <v>Use case modeling is a forefront technique to specify functional requirements of a system. Many research works related to use case modeling have been devoted to improving various aspects of use case modeling and its utilization in software development processes. One key aspect of use case models that has thus far been overlooked by the research community is the visual perception of use case diagrams by its readers. Any model is used transfer a mental idea by a modeler to a model reader. Even if a use case diagram is constructed flawlessly, if it is misread or misinterpreted by its reader then the intrinsic purpose of modeling has failed. This paper provides a two-fold contribution. Firstly, this paper presents an evaluation of the cognitive effectiveness of use case diagrams notation. The evaluation is based on theory principles and empirical evidence mainly from the cognitive science field. Secondly, it provides empirically validated improvements to the use case diagram notation that enhances its cognitive effectiveness. Empirical validation of the improvements is drawn by conducting an industrial survey using business analyst professionals. Empirical validation is also drawn by conducting an experiment using software engineering professionals as subjects. © 2019</v>
      </c>
      <c r="H439" s="8" t="str">
        <f>IFERROR(__xludf.DUMMYFUNCTION("""COMPUTED_VALUE"""),"Cognitive effectiveness; UML; Use case notation; Visual syntax")</f>
        <v>Cognitive effectiveness; UML; Use case notation; Visual syntax</v>
      </c>
      <c r="I439" s="9" t="b">
        <v>1</v>
      </c>
      <c r="J439" s="9" t="b">
        <v>1</v>
      </c>
      <c r="K439" s="9" t="b">
        <v>1</v>
      </c>
      <c r="L439" s="10" t="b">
        <v>0</v>
      </c>
      <c r="M439" s="10" t="b">
        <v>0</v>
      </c>
      <c r="N439" s="10" t="b">
        <v>0</v>
      </c>
      <c r="O439" s="11" t="b">
        <f t="shared" si="1"/>
        <v>1</v>
      </c>
      <c r="P439" s="16" t="b">
        <v>0</v>
      </c>
      <c r="Q439" s="7"/>
    </row>
    <row r="440">
      <c r="A440" s="5" t="b">
        <v>1</v>
      </c>
      <c r="B440" s="5" t="s">
        <v>481</v>
      </c>
      <c r="C440" s="6" t="str">
        <f>IFERROR(__xludf.DUMMYFUNCTION("""COMPUTED_VALUE"""),"10.1016/j.jss.2016.03.013")</f>
        <v>10.1016/j.jss.2016.03.013</v>
      </c>
      <c r="D440" s="7" t="str">
        <f>IFERROR(__xludf.DUMMYFUNCTION("""COMPUTED_VALUE"""),"Li C.; Ge J.; Huang L.; Hu H.; Wu B.; Hu H.; Luo B.")</f>
        <v>Li C.; Ge J.; Huang L.; Hu H.; Wu B.; Hu H.; Luo B.</v>
      </c>
      <c r="E440" s="7" t="str">
        <f>IFERROR(__xludf.DUMMYFUNCTION("""COMPUTED_VALUE"""),"Software cybernetics in BPM: Modeling software behavior as feedback for evolution by a novel discovery method based on augmented event logs")</f>
        <v>Software cybernetics in BPM: Modeling software behavior as feedback for evolution by a novel discovery method based on augmented event logs</v>
      </c>
      <c r="F440" s="7" t="str">
        <f>IFERROR(__xludf.DUMMYFUNCTION("""COMPUTED_VALUE"""),"JSS")</f>
        <v>JSS</v>
      </c>
      <c r="G440" s="7" t="str">
        <f>IFERROR(__xludf.DUMMYFUNCTION("""COMPUTED_VALUE"""),"Business Process Management (BPM) is a quickly developing management theory in recent years. The goal of BPM is to improve corporate performance by managing and optimizing the businesses process in and among enterprises. The goal is easier to achieve with"&amp;" the closed-loop feedback mechanism from business process execution to redesign in BPM life cycle, where the business process itself and the set of activities in BPM are viewed as a controlled object and a controller respectively. In this feedback control"&amp;" system, process mining plays an important role in generating feedback of process execution for redesign. However, the existing discovery methods cannot mine certain special structures from execution logs (e.g., implicit dependency, implicit place and sho"&amp;"rt loops) correctly and their mining efficiencies cannot meet the requirements of online process mining. In this paper, we propose a novel discovery method to overcome these challenges based on a kind of augmented event log that will also bring new resear"&amp;"ch directions for process discovery. A case study is presented for introducing how the mined model can be used in business process evolution. Results of experiments are described to show the improvements of the proposed algorithm compared with others. © 2"&amp;"016")</f>
        <v>Business Process Management (BPM) is a quickly developing management theory in recent years. The goal of BPM is to improve corporate performance by managing and optimizing the businesses process in and among enterprises. The goal is easier to achieve with the closed-loop feedback mechanism from business process execution to redesign in BPM life cycle, where the business process itself and the set of activities in BPM are viewed as a controlled object and a controller respectively. In this feedback control system, process mining plays an important role in generating feedback of process execution for redesign. However, the existing discovery methods cannot mine certain special structures from execution logs (e.g., implicit dependency, implicit place and short loops) correctly and their mining efficiencies cannot meet the requirements of online process mining. In this paper, we propose a novel discovery method to overcome these challenges based on a kind of augmented event log that will also bring new research directions for process discovery. A case study is presented for introducing how the mined model can be used in business process evolution. Results of experiments are described to show the improvements of the proposed algorithm compared with others. © 2016</v>
      </c>
      <c r="H440" s="8" t="str">
        <f>IFERROR(__xludf.DUMMYFUNCTION("""COMPUTED_VALUE"""),"Petri nets; Process discovery; Software cybernetics")</f>
        <v>Petri nets; Process discovery; Software cybernetics</v>
      </c>
      <c r="I440" s="10" t="b">
        <v>0</v>
      </c>
      <c r="J440" s="10" t="b">
        <v>0</v>
      </c>
      <c r="K440" s="10" t="b">
        <v>0</v>
      </c>
      <c r="L440" s="10" t="b">
        <v>0</v>
      </c>
      <c r="M440" s="10" t="b">
        <v>0</v>
      </c>
      <c r="N440" s="10" t="b">
        <v>0</v>
      </c>
      <c r="O440" s="11" t="b">
        <f t="shared" si="1"/>
        <v>0</v>
      </c>
      <c r="P440" s="16" t="b">
        <v>0</v>
      </c>
      <c r="Q440" s="7"/>
    </row>
    <row r="441">
      <c r="A441" s="5" t="b">
        <v>1</v>
      </c>
      <c r="B441" s="5" t="s">
        <v>482</v>
      </c>
      <c r="C441" s="6" t="str">
        <f>IFERROR(__xludf.DUMMYFUNCTION("""COMPUTED_VALUE"""),"10.1016/j.jss.2015.07.037")</f>
        <v>10.1016/j.jss.2015.07.037</v>
      </c>
      <c r="D441" s="7" t="str">
        <f>IFERROR(__xludf.DUMMYFUNCTION("""COMPUTED_VALUE"""),"Chen T.Y.; Poon P.-L.; Xie X.")</f>
        <v>Chen T.Y.; Poon P.-L.; Xie X.</v>
      </c>
      <c r="E441" s="7" t="str">
        <f>IFERROR(__xludf.DUMMYFUNCTION("""COMPUTED_VALUE"""),"METRIC: METamorphic Relation Identification based on the Category-choice framework")</f>
        <v>METRIC: METamorphic Relation Identification based on the Category-choice framework</v>
      </c>
      <c r="F441" s="7" t="str">
        <f>IFERROR(__xludf.DUMMYFUNCTION("""COMPUTED_VALUE"""),"JSS")</f>
        <v>JSS</v>
      </c>
      <c r="G441" s="7" t="str">
        <f>IFERROR(__xludf.DUMMYFUNCTION("""COMPUTED_VALUE"""),"Metamorphic testing is a promising technique for testing software systems when the oracle problem exists, and has been successfully applied to various application domains and paradigms. An important and essential task in metamorphic testing is the identif"&amp;"ication of metamorphic relations, which, due to the absence of a systematic and specification-based methodology, has often been done in an ad hoc manner - something which has hindered the applicability and effectiveness of metamorphic testing. To address "&amp;"this, a systematic methodology for identifying metamorphic relations based on the category-choice framework, called metric, is introduced in this paper. A tool implementing this methodology has been developed and examined in an experiment to determine the"&amp;" viability and effectiveness of metric, with the results of the experiment confirming that metric is both effective and efficient at identifying metamorphic relations. © 2015 Elsevier Inc. All rights reserved.")</f>
        <v>Metamorphic testing is a promising technique for testing software systems when the oracle problem exists, and has been successfully applied to various application domains and paradigms. An important and essential task in metamorphic testing is the identification of metamorphic relations, which, due to the absence of a systematic and specification-based methodology, has often been done in an ad hoc manner - something which has hindered the applicability and effectiveness of metamorphic testing. To address this, a systematic methodology for identifying metamorphic relations based on the category-choice framework, called metric, is introduced in this paper. A tool implementing this methodology has been developed and examined in an experiment to determine the viability and effectiveness of metric, with the results of the experiment confirming that metric is both effective and efficient at identifying metamorphic relations. © 2015 Elsevier Inc. All rights reserved.</v>
      </c>
      <c r="H441" s="8" t="str">
        <f>IFERROR(__xludf.DUMMYFUNCTION("""COMPUTED_VALUE"""),"Metamorphic testing; Oracle problem; Test oracle")</f>
        <v>Metamorphic testing; Oracle problem; Test oracle</v>
      </c>
      <c r="I441" s="10" t="b">
        <v>0</v>
      </c>
      <c r="J441" s="10" t="b">
        <v>0</v>
      </c>
      <c r="K441" s="10" t="b">
        <v>0</v>
      </c>
      <c r="L441" s="10" t="b">
        <v>0</v>
      </c>
      <c r="M441" s="10" t="b">
        <v>0</v>
      </c>
      <c r="N441" s="10" t="b">
        <v>0</v>
      </c>
      <c r="O441" s="11" t="b">
        <f t="shared" si="1"/>
        <v>0</v>
      </c>
      <c r="P441" s="12" t="b">
        <v>0</v>
      </c>
      <c r="Q441" s="7"/>
    </row>
    <row r="442">
      <c r="A442" s="5" t="b">
        <v>1</v>
      </c>
      <c r="B442" s="5" t="s">
        <v>483</v>
      </c>
      <c r="C442" s="6" t="str">
        <f>IFERROR(__xludf.DUMMYFUNCTION("""COMPUTED_VALUE"""),"10.1016/j.jss.2019.02.052")</f>
        <v>10.1016/j.jss.2019.02.052</v>
      </c>
      <c r="D442" s="7" t="str">
        <f>IFERROR(__xludf.DUMMYFUNCTION("""COMPUTED_VALUE"""),"Nadjaran Toosi A.; Son J.; Chi Q.; Buyya R.")</f>
        <v>Nadjaran Toosi A.; Son J.; Chi Q.; Buyya R.</v>
      </c>
      <c r="E442" s="7" t="str">
        <f>IFERROR(__xludf.DUMMYFUNCTION("""COMPUTED_VALUE"""),"ElasticSFC: Auto-scaling techniques for elastic service function chaining in network functions virtualization-based clouds")</f>
        <v>ElasticSFC: Auto-scaling techniques for elastic service function chaining in network functions virtualization-based clouds</v>
      </c>
      <c r="F442" s="7" t="str">
        <f>IFERROR(__xludf.DUMMYFUNCTION("""COMPUTED_VALUE"""),"JSS")</f>
        <v>JSS</v>
      </c>
      <c r="G442" s="7" t="str">
        <f>IFERROR(__xludf.DUMMYFUNCTION("""COMPUTED_VALUE"""),"It is anticipated that future networks support network functions, such as firewalls, load balancers and intrusion prevention systems in a fully automated, flexible, and efficient manner. In cloud computing environments, network functions virtualization (N"&amp;"FV) aims to reduce cost and simplify operations of such network services through the virtualization technologies. To enforce network policies in NFV-based cloud environments, network services are composed of virtualized network functions (VNFs) that are c"&amp;"hained together as service function chains (SFCs). All network traffic matching a policy must traverse network functions in the chain in a sequence to comply with it. While SFC has drawn considerable attention, relatively little has been given to dynamic "&amp;"auto-scaling of VNF resources in the service chain. Moreover, most of the existing approaches focus only on allocating computing and network resources to VNFs without considering the quality of service requirements of the service chain such as end-to-end "&amp;"latency. Therefore, in this paper, we define a unified framework for building elastic service chains. We propose a dynamic auto-scaling algorithm called ElasticSFC to minimize the cost while meeting the end-to-end latency of the service chain. The experim"&amp;"ental results show that our proposed algorithm can reduce the cost of SFC deployment and SLA violation significantly. © 2019 Elsevier Inc.")</f>
        <v>It is anticipated that future networks support network functions, such as firewalls, load balancers and intrusion prevention systems in a fully automated, flexible, and efficient manner. In cloud computing environments, network functions virtualization (NFV) aims to reduce cost and simplify operations of such network services through the virtualization technologies. To enforce network policies in NFV-based cloud environments, network services are composed of virtualized network functions (VNFs) that are chained together as service function chains (SFCs). All network traffic matching a policy must traverse network functions in the chain in a sequence to comply with it. While SFC has drawn considerable attention, relatively little has been given to dynamic auto-scaling of VNF resources in the service chain. Moreover, most of the existing approaches focus only on allocating computing and network resources to VNFs without considering the quality of service requirements of the service chain such as end-to-end latency. Therefore, in this paper, we define a unified framework for building elastic service chains. We propose a dynamic auto-scaling algorithm called ElasticSFC to minimize the cost while meeting the end-to-end latency of the service chain. The experimental results show that our proposed algorithm can reduce the cost of SFC deployment and SLA violation significantly. © 2019 Elsevier Inc.</v>
      </c>
      <c r="H442" s="8" t="str">
        <f>IFERROR(__xludf.DUMMYFUNCTION("""COMPUTED_VALUE"""),"Auto-scaling; Cloud computing; Network functions virtualization; Service function chaining; Software defined networking; Virtualized network functions")</f>
        <v>Auto-scaling; Cloud computing; Network functions virtualization; Service function chaining; Software defined networking; Virtualized network functions</v>
      </c>
      <c r="I442" s="10" t="b">
        <v>0</v>
      </c>
      <c r="J442" s="10" t="b">
        <v>0</v>
      </c>
      <c r="K442" s="10" t="b">
        <v>0</v>
      </c>
      <c r="L442" s="10" t="b">
        <v>0</v>
      </c>
      <c r="M442" s="10" t="b">
        <v>0</v>
      </c>
      <c r="N442" s="10" t="b">
        <v>0</v>
      </c>
      <c r="O442" s="11" t="b">
        <f t="shared" si="1"/>
        <v>0</v>
      </c>
      <c r="P442" s="16" t="b">
        <v>0</v>
      </c>
      <c r="Q442" s="7"/>
    </row>
    <row r="443">
      <c r="A443" s="5" t="b">
        <v>1</v>
      </c>
      <c r="B443" s="5" t="s">
        <v>484</v>
      </c>
      <c r="C443" s="6" t="str">
        <f>IFERROR(__xludf.DUMMYFUNCTION("""COMPUTED_VALUE"""),"10.1016/j.jss.2022.111586")</f>
        <v>10.1016/j.jss.2022.111586</v>
      </c>
      <c r="D443" s="7" t="str">
        <f>IFERROR(__xludf.DUMMYFUNCTION("""COMPUTED_VALUE"""),"Ben Sassi S.; Edded S.; Mazo R.; Ben Ghezala H.; Salinesi C.")</f>
        <v>Ben Sassi S.; Edded S.; Mazo R.; Ben Ghezala H.; Salinesi C.</v>
      </c>
      <c r="E443" s="7" t="str">
        <f>IFERROR(__xludf.DUMMYFUNCTION("""COMPUTED_VALUE"""),"Colla-Config: A stakeholders preferences-based approach for product lines collaborative configuration")</f>
        <v>Colla-Config: A stakeholders preferences-based approach for product lines collaborative configuration</v>
      </c>
      <c r="F443" s="7" t="str">
        <f>IFERROR(__xludf.DUMMYFUNCTION("""COMPUTED_VALUE"""),"JSS")</f>
        <v>JSS</v>
      </c>
      <c r="G443" s="7" t="str">
        <f>IFERROR(__xludf.DUMMYFUNCTION("""COMPUTED_VALUE"""),"During collaborative configuration of software product lines (SPL), multiple stakeholders contribute together in building a single product specification. Conflicting situations can arise during the configuration process due to contradictions between some/"&amp;"all stakeholders’ configuration choices. Detecting and resolving such situation rise two major challenges: choosing which choices to omit, and taking stakeholders’ preferences into account. Several SPL collaborative configuration approaches are available."&amp;" However, they either do not present detailed information on the strategies for conflict resolution, or they rely on a systematic process that resolves conflicts by prioritizing configuration decisions made at earlier stage, constraining therefore some of"&amp;" stakeholders’ choices. The lack of flexibility may hinder conflict resolution as choices taken at earlier stages overlay those at later phases. To mitigate these limitations, we propose a new collaborative configuration approach (Colla-Config) that provi"&amp;"des a preference-based conflict resolution method within a free-order configuration process; each stakeholder expresses his/her preferences through a set of substitution rules, and freely makes his/her configuration decisions towards the desired product, "&amp;"without being constrained by the configuration decisions made by the other ones. To assess the feasibility and the usability of the proposed approach, we conducted a usability test designed following the ISO/IEC 25062:2006 Common Industry Format for usabi"&amp;"lity tests. Results of the experiments provide preliminary evidence of the approach feasibility and the tool ability to properly support the SPL collaborative configuration. © 2022 Elsevier Inc.")</f>
        <v>During collaborative configuration of software product lines (SPL), multiple stakeholders contribute together in building a single product specification. Conflicting situations can arise during the configuration process due to contradictions between some/all stakeholders’ configuration choices. Detecting and resolving such situation rise two major challenges: choosing which choices to omit, and taking stakeholders’ preferences into account. Several SPL collaborative configuration approaches are available. However, they either do not present detailed information on the strategies for conflict resolution, or they rely on a systematic process that resolves conflicts by prioritizing configuration decisions made at earlier stage, constraining therefore some of stakeholders’ choices. The lack of flexibility may hinder conflict resolution as choices taken at earlier stages overlay those at later phases. To mitigate these limitations, we propose a new collaborative configuration approach (Colla-Config) that provides a preference-based conflict resolution method within a free-order configuration process; each stakeholder expresses his/her preferences through a set of substitution rules, and freely makes his/her configuration decisions towards the desired product, without being constrained by the configuration decisions made by the other ones. To assess the feasibility and the usability of the proposed approach, we conducted a usability test designed following the ISO/IEC 25062:2006 Common Industry Format for usability tests. Results of the experiments provide preliminary evidence of the approach feasibility and the tool ability to properly support the SPL collaborative configuration. © 2022 Elsevier Inc.</v>
      </c>
      <c r="H443" s="8" t="str">
        <f>IFERROR(__xludf.DUMMYFUNCTION("""COMPUTED_VALUE"""),"Collaborative configuration; Software product lines; Stakeholder preferences; Usability tool test")</f>
        <v>Collaborative configuration; Software product lines; Stakeholder preferences; Usability tool test</v>
      </c>
      <c r="I443" s="10" t="b">
        <v>0</v>
      </c>
      <c r="J443" s="9" t="b">
        <v>1</v>
      </c>
      <c r="K443" s="10" t="b">
        <v>0</v>
      </c>
      <c r="L443" s="10" t="b">
        <v>0</v>
      </c>
      <c r="M443" s="10" t="b">
        <v>0</v>
      </c>
      <c r="N443" s="10" t="b">
        <v>0</v>
      </c>
      <c r="O443" s="11" t="b">
        <f t="shared" si="1"/>
        <v>0</v>
      </c>
      <c r="P443" s="12" t="b">
        <v>0</v>
      </c>
      <c r="Q443" s="13"/>
    </row>
    <row r="444">
      <c r="A444" s="5" t="b">
        <v>1</v>
      </c>
      <c r="B444" s="5" t="s">
        <v>485</v>
      </c>
      <c r="C444" s="6" t="str">
        <f>IFERROR(__xludf.DUMMYFUNCTION("""COMPUTED_VALUE"""),"10.1016/j.jss.2013.11.1097")</f>
        <v>10.1016/j.jss.2013.11.1097</v>
      </c>
      <c r="D444" s="7" t="str">
        <f>IFERROR(__xludf.DUMMYFUNCTION("""COMPUTED_VALUE"""),"Wieringa R.")</f>
        <v>Wieringa R.</v>
      </c>
      <c r="E444" s="7" t="str">
        <f>IFERROR(__xludf.DUMMYFUNCTION("""COMPUTED_VALUE"""),"Empirical research methods for technology validation: Scaling up to practice")</f>
        <v>Empirical research methods for technology validation: Scaling up to practice</v>
      </c>
      <c r="F444" s="7" t="str">
        <f>IFERROR(__xludf.DUMMYFUNCTION("""COMPUTED_VALUE"""),"JSS")</f>
        <v>JSS</v>
      </c>
      <c r="G444" s="7" t="str">
        <f>IFERROR(__xludf.DUMMYFUNCTION("""COMPUTED_VALUE"""),"Before technology is transferred to the market, it must be validated empirically by simulating future practical use of the technology. Technology prototypes are first investigated in simplified contexts, and these simulations are scaled up to conditions o"&amp;"f practice step by step as more becomes known about the technology. This paper discusses empirical research methods for scaling up new requirements engineering (RE) technology. When scaling up to practice, researchers want to generalize from validation st"&amp;"udies to future practice. An analysis of scaling up technology in drug research reveals two ways to generalize, namely inductive generalization using statistical inference from samples, and analogic generalization using similarity between cases. Both are "&amp;"supported by abductive inference using mechanistic explanations of phenomena observed in the simulations. Illustrations of these inferences both in drug research and empirical RE research are given. Next, four kinds of methods for empirical RE technology "&amp;"validation are given, namely expert opinion, single-case mechanism experiments, technical action research and statistical difference-making experiments. A series of examples from empirical RE will illustrate the use of these methods, and the role of induc"&amp;"tive generalization, analogic generalization, and abductive inference in them. Finally, the four kinds of empirical validation methods are compared with lists of validation methods known from empirical software engineering. The lists are combined to give "&amp;"an overview of some of the methods, instruments and data analysis techniques that may be used in empirical RE. © 2014 Elsevier B.V. All rights reserved.")</f>
        <v>Before technology is transferred to the market, it must be validated empirically by simulating future practical use of the technology. Technology prototypes are first investigated in simplified contexts, and these simulations are scaled up to conditions of practice step by step as more becomes known about the technology. This paper discusses empirical research methods for scaling up new requirements engineering (RE) technology. When scaling up to practice, researchers want to generalize from validation studies to future practice. An analysis of scaling up technology in drug research reveals two ways to generalize, namely inductive generalization using statistical inference from samples, and analogic generalization using similarity between cases. Both are supported by abductive inference using mechanistic explanations of phenomena observed in the simulations. Illustrations of these inferences both in drug research and empirical RE research are given. Next, four kinds of methods for empirical RE technology validation are given, namely expert opinion, single-case mechanism experiments, technical action research and statistical difference-making experiments. A series of examples from empirical RE will illustrate the use of these methods, and the role of inductive generalization, analogic generalization, and abductive inference in them. Finally, the four kinds of empirical validation methods are compared with lists of validation methods known from empirical software engineering. The lists are combined to give an overview of some of the methods, instruments and data analysis techniques that may be used in empirical RE. © 2014 Elsevier B.V. All rights reserved.</v>
      </c>
      <c r="H444" s="8" t="str">
        <f>IFERROR(__xludf.DUMMYFUNCTION("""COMPUTED_VALUE"""),"Empirical research methodology; Scaling up to practice; Technology validation")</f>
        <v>Empirical research methodology; Scaling up to practice; Technology validation</v>
      </c>
      <c r="I444" s="10" t="b">
        <v>0</v>
      </c>
      <c r="J444" s="10" t="b">
        <v>0</v>
      </c>
      <c r="K444" s="10" t="b">
        <v>0</v>
      </c>
      <c r="L444" s="10" t="b">
        <v>0</v>
      </c>
      <c r="M444" s="10" t="b">
        <v>0</v>
      </c>
      <c r="N444" s="10" t="b">
        <v>0</v>
      </c>
      <c r="O444" s="11" t="b">
        <f t="shared" si="1"/>
        <v>0</v>
      </c>
      <c r="P444" s="16" t="b">
        <v>0</v>
      </c>
      <c r="Q444" s="7"/>
    </row>
    <row r="445">
      <c r="A445" s="5" t="b">
        <v>1</v>
      </c>
      <c r="B445" s="5" t="s">
        <v>486</v>
      </c>
      <c r="C445" s="6" t="str">
        <f>IFERROR(__xludf.DUMMYFUNCTION("""COMPUTED_VALUE"""),"10.1016/j.jss.2013.10.017")</f>
        <v>10.1016/j.jss.2013.10.017</v>
      </c>
      <c r="D445" s="7" t="str">
        <f>IFERROR(__xludf.DUMMYFUNCTION("""COMPUTED_VALUE"""),"El-Attar M.")</f>
        <v>El-Attar M.</v>
      </c>
      <c r="E445" s="7" t="str">
        <f>IFERROR(__xludf.DUMMYFUNCTION("""COMPUTED_VALUE"""),"Using SMCD to reduce inconsistencies in misuse case models: A subject-based empirical evaluation")</f>
        <v>Using SMCD to reduce inconsistencies in misuse case models: A subject-based empirical evaluation</v>
      </c>
      <c r="F445" s="7" t="str">
        <f>IFERROR(__xludf.DUMMYFUNCTION("""COMPUTED_VALUE"""),"JSS")</f>
        <v>JSS</v>
      </c>
      <c r="G445" s="7" t="str">
        <f>IFERROR(__xludf.DUMMYFUNCTION("""COMPUTED_VALUE"""),"Security is a crucial requirement in software systems which need to be addressed as early as the requirements phase. The technique of misuse case modeling has been introduced slightly over a decade ago to elicit and specify functional security requirement"&amp;"s. Development efforts downstream will be driven by the functional security requirements specified in misuse case models. Consequently, the quality of a misuse case model influences the effectiveness of downstream development efforts. Inconsistencies are "&amp;"an undesired attribute that can severely reduce the quality of misuse case models. In this paper, a controlled experiment involving students is presented which evaluates the reduction of inconsistencies in misuse case models resulting from utilizing a str"&amp;"ucture called SMCD (Structured Misuse Case Descriptions). The experiment also examines the impact of using SMCD upon other quality attributes of misuse case models. The results of the experiment indicate that using SMCD improves the consistency levels of "&amp;"the developed misuse case models. © 2013 Elsevier Inc. All rights reserved.")</f>
        <v>Security is a crucial requirement in software systems which need to be addressed as early as the requirements phase. The technique of misuse case modeling has been introduced slightly over a decade ago to elicit and specify functional security requirements. Development efforts downstream will be driven by the functional security requirements specified in misuse case models. Consequently, the quality of a misuse case model influences the effectiveness of downstream development efforts. Inconsistencies are an undesired attribute that can severely reduce the quality of misuse case models. In this paper, a controlled experiment involving students is presented which evaluates the reduction of inconsistencies in misuse case models resulting from utilizing a structure called SMCD (Structured Misuse Case Descriptions). The experiment also examines the impact of using SMCD upon other quality attributes of misuse case models. The results of the experiment indicate that using SMCD improves the consistency levels of the developed misuse case models. © 2013 Elsevier Inc. All rights reserved.</v>
      </c>
      <c r="H445" s="8" t="str">
        <f>IFERROR(__xludf.DUMMYFUNCTION("""COMPUTED_VALUE"""),"Misuse cases; SMCD; Subject-based experiment")</f>
        <v>Misuse cases; SMCD; Subject-based experiment</v>
      </c>
      <c r="I445" s="9" t="b">
        <v>1</v>
      </c>
      <c r="J445" s="9" t="b">
        <v>1</v>
      </c>
      <c r="K445" s="10" t="b">
        <v>0</v>
      </c>
      <c r="L445" s="10" t="b">
        <v>0</v>
      </c>
      <c r="M445" s="10" t="b">
        <v>0</v>
      </c>
      <c r="N445" s="10" t="b">
        <v>0</v>
      </c>
      <c r="O445" s="11" t="b">
        <f t="shared" si="1"/>
        <v>0</v>
      </c>
      <c r="P445" s="16" t="b">
        <v>0</v>
      </c>
      <c r="Q445" s="7"/>
    </row>
    <row r="446">
      <c r="A446" s="5" t="b">
        <v>1</v>
      </c>
      <c r="B446" s="5" t="s">
        <v>487</v>
      </c>
      <c r="C446" s="6" t="str">
        <f>IFERROR(__xludf.DUMMYFUNCTION("""COMPUTED_VALUE"""),"10.1016/j.jss.2016.09.043")</f>
        <v>10.1016/j.jss.2016.09.043</v>
      </c>
      <c r="D446" s="7" t="str">
        <f>IFERROR(__xludf.DUMMYFUNCTION("""COMPUTED_VALUE"""),"Shao F.; Peng R.; Lai H.; Wang B.")</f>
        <v>Shao F.; Peng R.; Lai H.; Wang B.</v>
      </c>
      <c r="E446" s="7" t="str">
        <f>IFERROR(__xludf.DUMMYFUNCTION("""COMPUTED_VALUE"""),"DRank: A semi-automated requirements prioritization method based on preferences and dependencies")</f>
        <v>DRank: A semi-automated requirements prioritization method based on preferences and dependencies</v>
      </c>
      <c r="F446" s="7" t="str">
        <f>IFERROR(__xludf.DUMMYFUNCTION("""COMPUTED_VALUE"""),"JSS")</f>
        <v>JSS</v>
      </c>
      <c r="G446" s="7" t="str">
        <f>IFERROR(__xludf.DUMMYFUNCTION("""COMPUTED_VALUE"""),"There are many types of dependencies between software requirements, such as the contributions dependencies (Make, Some+, Help, Break, Some-, Hurt) and business dependencies modeled in the i* framework. However, current approaches for prioritizing requirem"&amp;"ents seldom take these dependencies into consideration, because it is difficult for stakeholders to prioritize requirements considering their preferences as well as the dependencies between requirements. To make requirement prioritization more practical, "&amp;"a method called DRank is proposed. DRank has the following advantages: 1) a prioritization evaluation attributes tree is constructed to make the ranking criteria selection easier and more operable; 2) RankBoost is employed to calculate the subjective requ"&amp;"irements prioritization according to stakeholder preferences, which reduces the difficulty of evaluating the prioritization; 3) an algorithm based on the weighted PageRank is proposed to analyze the dependencies between requirements, allowing the objectiv"&amp;"e dependencies to be automatically transformed into partial order relations; and 4) an integrated requirements prioritization method is developed to amend the stakeholders’ subjective preferences with the objective requirements dependencies and make the p"&amp;"rocess of prioritization more reasonable and applicable. A controlled experiment performed to validate the effectiveness of DRank based on comparisons with Case Based Ranking, Analytical Hierarchy Process, and EVOLVE. The results demonstrate that DRank is"&amp;" less time-consuming and more effective than alternative approaches. A simulation experiment demonstrates that taking requirement dependencies into consideration can improve the accuracy of the final prioritization sequence. © 2016")</f>
        <v>There are many types of dependencies between software requirements, such as the contributions dependencies (Make, Some+, Help, Break, Some-, Hurt) and business dependencies modeled in the i* framework. However, current approaches for prioritizing requirements seldom take these dependencies into consideration, because it is difficult for stakeholders to prioritize requirements considering their preferences as well as the dependencies between requirements. To make requirement prioritization more practical, a method called DRank is proposed. DRank has the following advantages: 1) a prioritization evaluation attributes tree is constructed to make the ranking criteria selection easier and more operable; 2) RankBoost is employed to calculate the subjective requirements prioritization according to stakeholder preferences, which reduces the difficulty of evaluating the prioritization; 3) an algorithm based on the weighted PageRank is proposed to analyze the dependencies between requirements, allowing the objective dependencies to be automatically transformed into partial order relations; and 4) an integrated requirements prioritization method is developed to amend the stakeholders’ subjective preferences with the objective requirements dependencies and make the process of prioritization more reasonable and applicable. A controlled experiment performed to validate the effectiveness of DRank based on comparisons with Case Based Ranking, Analytical Hierarchy Process, and EVOLVE. The results demonstrate that DRank is less time-consuming and more effective than alternative approaches. A simulation experiment demonstrates that taking requirement dependencies into consideration can improve the accuracy of the final prioritization sequence. © 2016</v>
      </c>
      <c r="H446" s="8" t="str">
        <f>IFERROR(__xludf.DUMMYFUNCTION("""COMPUTED_VALUE"""),"Link analysis; Machine learning; Requirements dependency; Software requirements prioritization")</f>
        <v>Link analysis; Machine learning; Requirements dependency; Software requirements prioritization</v>
      </c>
      <c r="I446" s="9" t="b">
        <v>1</v>
      </c>
      <c r="J446" s="9" t="b">
        <v>1</v>
      </c>
      <c r="K446" s="9" t="b">
        <v>1</v>
      </c>
      <c r="L446" s="10" t="b">
        <v>0</v>
      </c>
      <c r="M446" s="10" t="b">
        <v>0</v>
      </c>
      <c r="N446" s="10" t="b">
        <v>0</v>
      </c>
      <c r="O446" s="11" t="b">
        <f t="shared" si="1"/>
        <v>1</v>
      </c>
      <c r="P446" s="12" t="b">
        <v>0</v>
      </c>
      <c r="Q446" s="13"/>
    </row>
    <row r="447">
      <c r="A447" s="5" t="b">
        <v>1</v>
      </c>
      <c r="B447" s="5" t="s">
        <v>488</v>
      </c>
      <c r="C447" s="6" t="str">
        <f>IFERROR(__xludf.DUMMYFUNCTION("""COMPUTED_VALUE"""),"10.1016/j.jss.2021.111118")</f>
        <v>10.1016/j.jss.2021.111118</v>
      </c>
      <c r="D447" s="7" t="str">
        <f>IFERROR(__xludf.DUMMYFUNCTION("""COMPUTED_VALUE"""),"Gao H.; Guo C.; Bai G.; Huang D.; He Z.; Wu Y.; Xu J.")</f>
        <v>Gao H.; Guo C.; Bai G.; Huang D.; He Z.; Wu Y.; Xu J.</v>
      </c>
      <c r="E447" s="7" t="str">
        <f>IFERROR(__xludf.DUMMYFUNCTION("""COMPUTED_VALUE"""),"Sharing runtime permission issues for developers based on similar-app review mining")</f>
        <v>Sharing runtime permission issues for developers based on similar-app review mining</v>
      </c>
      <c r="F447" s="7" t="str">
        <f>IFERROR(__xludf.DUMMYFUNCTION("""COMPUTED_VALUE"""),"JSS")</f>
        <v>JSS</v>
      </c>
      <c r="G447" s="7" t="str">
        <f>IFERROR(__xludf.DUMMYFUNCTION("""COMPUTED_VALUE"""),"The Android operating system introduces an ask-on-first-use permission policy after 6.0 version to regulate access to user data, which raises Permission-Related Issues (PRIS for short). Relevant research has been conducted to identify the PRIS through inv"&amp;"estigating users’ opinions towards runtime permissions. These efforts mainly focus on helping users understand and be aware of permissions, but neglect to assist developers in discovering permission requirements. In this paper, we propose a novel framewor"&amp;"k named PRISharer, which mines potential permission issues from the reviews of similar apps to assist developers in discovering possible permission requirements at runtime. PRISharer first builds a deep fine-grained classifier to identify similar apps, an"&amp;"d then employs sentiment analysis based keywords extraction to mine permission-related reviews from similar apps’ reviews. Finally, the &lt;category, permission, issues&gt; mappings based on a multi-label learning method are generated to provide a PRIS profile "&amp;"for developers. The results of comparative experiments on more than 12 million reviews of 17,741 Android apps demonstrate that PRISharer achieves (i) superior performance in terms of F1-score for PRIS analysis, with an average improvement of 24.4%, (ii) t"&amp;"he best recall (89.3%) in extracting permission-related reviews and (iii) 82.4% positive responses by expert developers, through which the effectiveness of PRISharer is well verified. © 2021 Elsevier Inc.")</f>
        <v>The Android operating system introduces an ask-on-first-use permission policy after 6.0 version to regulate access to user data, which raises Permission-Related Issues (PRIS for short). Relevant research has been conducted to identify the PRIS through investigating users’ opinions towards runtime permissions. These efforts mainly focus on helping users understand and be aware of permissions, but neglect to assist developers in discovering permission requirements. In this paper, we propose a novel framework named PRISharer, which mines potential permission issues from the reviews of similar apps to assist developers in discovering possible permission requirements at runtime. PRISharer first builds a deep fine-grained classifier to identify similar apps, and then employs sentiment analysis based keywords extraction to mine permission-related reviews from similar apps’ reviews. Finally, the &lt;category, permission, issues&gt; mappings based on a multi-label learning method are generated to provide a PRIS profile for developers. The results of comparative experiments on more than 12 million reviews of 17,741 Android apps demonstrate that PRISharer achieves (i) superior performance in terms of F1-score for PRIS analysis, with an average improvement of 24.4%, (ii) the best recall (89.3%) in extracting permission-related reviews and (iii) 82.4% positive responses by expert developers, through which the effectiveness of PRISharer is well verified. © 2021 Elsevier Inc.</v>
      </c>
      <c r="H447" s="8" t="str">
        <f>IFERROR(__xludf.DUMMYFUNCTION("""COMPUTED_VALUE"""),"Android; Machine learning; Permission-Related Issues (PRIS); Runtime permission; User reviews")</f>
        <v>Android; Machine learning; Permission-Related Issues (PRIS); Runtime permission; User reviews</v>
      </c>
      <c r="I447" s="10" t="b">
        <v>0</v>
      </c>
      <c r="J447" s="10" t="b">
        <v>0</v>
      </c>
      <c r="K447" s="10" t="b">
        <v>0</v>
      </c>
      <c r="L447" s="10" t="b">
        <v>0</v>
      </c>
      <c r="M447" s="10" t="b">
        <v>0</v>
      </c>
      <c r="N447" s="10" t="b">
        <v>0</v>
      </c>
      <c r="O447" s="11" t="b">
        <f t="shared" si="1"/>
        <v>0</v>
      </c>
      <c r="P447" s="16" t="b">
        <v>0</v>
      </c>
      <c r="Q447" s="7"/>
    </row>
    <row r="448">
      <c r="A448" s="5" t="b">
        <v>1</v>
      </c>
      <c r="B448" s="5" t="s">
        <v>489</v>
      </c>
      <c r="C448" s="6" t="str">
        <f>IFERROR(__xludf.DUMMYFUNCTION("""COMPUTED_VALUE"""),"10.1016/j.jss.2014.06.006")</f>
        <v>10.1016/j.jss.2014.06.006</v>
      </c>
      <c r="D448" s="7" t="str">
        <f>IFERROR(__xludf.DUMMYFUNCTION("""COMPUTED_VALUE"""),"Allison M.; Morris K.A.; Costa F.M.; Clarke P.J.")</f>
        <v>Allison M.; Morris K.A.; Costa F.M.; Clarke P.J.</v>
      </c>
      <c r="E448" s="7" t="str">
        <f>IFERROR(__xludf.DUMMYFUNCTION("""COMPUTED_VALUE"""),"Synthesizing interpreted domain-specific models to manage smart microgrids")</f>
        <v>Synthesizing interpreted domain-specific models to manage smart microgrids</v>
      </c>
      <c r="F448" s="7" t="str">
        <f>IFERROR(__xludf.DUMMYFUNCTION("""COMPUTED_VALUE"""),"JSS")</f>
        <v>JSS</v>
      </c>
      <c r="G448" s="7" t="str">
        <f>IFERROR(__xludf.DUMMYFUNCTION("""COMPUTED_VALUE"""),"The increase in prominence of model-driven software development (MDSD) has placed emphasis on the use of domain-specific modeling languages (DSMLs) during the development process. DSMLs allow for domain concepts to be conceptualized and represented at a h"&amp;"igh level of abstraction. Currently, most DSML models are converted into high-level languages (HLLs) through a series of model-to-model and/or model-to-text transformations before they are executed. An alternative approach for model execution is the inter"&amp;"pretation of models directly without converting them into an HLL. These models are created using interpreted DSMLs (i-DSMLs) and realized using a semantic-rich execution engine or domain-specific virtual machine (DSVM). In this article we present an appro"&amp;"ach for model synthesis, the first stage of model interpretation, that separates the domain-specific knowledge (DSK) from the model of execution (MoE). Previous work on model synthesis tightly couples the DSK and MoE reducing the ability for implementatio"&amp;"ns of the DSVM to be easily reused in other domains. To illustrate how our approach to model synthesis works for i-DSMLs, we have created MGridML, an i-DSML for energy management in smart microgrids, and an MGridVM prototype, the DSVM for MGridML. We eval"&amp;"uated our approach by performing experiments on the model synthesis aspect of MGridVM and comparing the results to a DSVM from the user-centric communication domain. © 2014 Elsevier Inc.")</f>
        <v>The increase in prominence of model-driven software development (MDSD) has placed emphasis on the use of domain-specific modeling languages (DSMLs) during the development process. DSMLs allow for domain concepts to be conceptualized and represented at a high level of abstraction. Currently, most DSML models are converted into high-level languages (HLLs) through a series of model-to-model and/or model-to-text transformations before they are executed. An alternative approach for model execution is the interpretation of models directly without converting them into an HLL. These models are created using interpreted DSMLs (i-DSMLs) and realized using a semantic-rich execution engine or domain-specific virtual machine (DSVM). In this article we present an approach for model synthesis, the first stage of model interpretation, that separates the domain-specific knowledge (DSK) from the model of execution (MoE). Previous work on model synthesis tightly couples the DSK and MoE reducing the ability for implementations of the DSVM to be easily reused in other domains. To illustrate how our approach to model synthesis works for i-DSMLs, we have created MGridML, an i-DSML for energy management in smart microgrids, and an MGridVM prototype, the DSVM for MGridML. We evaluated our approach by performing experiments on the model synthesis aspect of MGridVM and comparing the results to a DSVM from the user-centric communication domain. © 2014 Elsevier Inc.</v>
      </c>
      <c r="H448" s="8" t="str">
        <f>IFERROR(__xludf.DUMMYFUNCTION("""COMPUTED_VALUE"""),"Domain-specific modeling languages; Microgrids; Model of execution")</f>
        <v>Domain-specific modeling languages; Microgrids; Model of execution</v>
      </c>
      <c r="I448" s="10" t="b">
        <v>0</v>
      </c>
      <c r="J448" s="10" t="b">
        <v>0</v>
      </c>
      <c r="K448" s="10" t="b">
        <v>0</v>
      </c>
      <c r="L448" s="10" t="b">
        <v>0</v>
      </c>
      <c r="M448" s="10" t="b">
        <v>0</v>
      </c>
      <c r="N448" s="10" t="b">
        <v>0</v>
      </c>
      <c r="O448" s="11" t="b">
        <f t="shared" si="1"/>
        <v>0</v>
      </c>
      <c r="P448" s="16" t="b">
        <v>0</v>
      </c>
      <c r="Q448" s="7"/>
    </row>
    <row r="449">
      <c r="A449" s="5" t="b">
        <v>1</v>
      </c>
      <c r="B449" s="5" t="s">
        <v>490</v>
      </c>
      <c r="C449" s="6" t="str">
        <f>IFERROR(__xludf.DUMMYFUNCTION("""COMPUTED_VALUE"""),"10.1016/j.jss.2023.111873")</f>
        <v>10.1016/j.jss.2023.111873</v>
      </c>
      <c r="D449" s="7" t="str">
        <f>IFERROR(__xludf.DUMMYFUNCTION("""COMPUTED_VALUE"""),"Yu T.; Yu D.; Wang D.; Yang Q.; Hu X.")</f>
        <v>Yu T.; Yu D.; Wang D.; Yang Q.; Hu X.</v>
      </c>
      <c r="E449" s="7" t="str">
        <f>IFERROR(__xludf.DUMMYFUNCTION("""COMPUTED_VALUE"""),"Iterative framework based on multi-task learning for service recommendation")</f>
        <v>Iterative framework based on multi-task learning for service recommendation</v>
      </c>
      <c r="F449" s="7" t="str">
        <f>IFERROR(__xludf.DUMMYFUNCTION("""COMPUTED_VALUE"""),"JSS")</f>
        <v>JSS</v>
      </c>
      <c r="G449" s="7" t="str">
        <f>IFERROR(__xludf.DUMMYFUNCTION("""COMPUTED_VALUE"""),"In recent years, service-oriented computing technology has developed rapidly, which, however, has increased the burden of selection for software developers when developing service-based systems. To solve this problem, people have proposed various methods "&amp;"to recommend services which are composed into an application. Nevertheless, most of the existing service recommendation methods cannot serve iterative scenarios, i.e., multiple request–response recommending rounds, which frequently occur in real applicati"&amp;"on development. Moreover, they usually fail to utilize full features such as user requirements and service categories, leading to poor performance of service recommendation. To solve the above problems, we propose an iterative framework for service recomm"&amp;"endation through multi-model fusion and multi-task learning, called ISRMM. More specifically, we design two models to capture the preferences of applications towards services, through the perspectives of user requirements and history interaction respectiv"&amp;"ely. The output features of the above models are further fused to predict the next service that will be recommended. In addition, we add a tag judgment task to make our framework capable of multi-task learning, through which, the training signal informati"&amp;"on implied can be used as an inductive bias to improve service recommendation capabilities. Extensive experiments on real datasets show that ISRMM outperforms several state-of-the-art service recommendation methods in iterative service recommendation scen"&amp;"arios. © 2023 Elsevier Inc.")</f>
        <v>In recent years, service-oriented computing technology has developed rapidly, which, however, has increased the burden of selection for software developers when developing service-based systems. To solve this problem, people have proposed various methods to recommend services which are composed into an application. Nevertheless, most of the existing service recommendation methods cannot serve iterative scenarios, i.e., multiple request–response recommending rounds, which frequently occur in real application development. Moreover, they usually fail to utilize full features such as user requirements and service categories, leading to poor performance of service recommendation. To solve the above problems, we propose an iterative framework for service recommendation through multi-model fusion and multi-task learning, called ISRMM. More specifically, we design two models to capture the preferences of applications towards services, through the perspectives of user requirements and history interaction respectively. The output features of the above models are further fused to predict the next service that will be recommended. In addition, we add a tag judgment task to make our framework capable of multi-task learning, through which, the training signal information implied can be used as an inductive bias to improve service recommendation capabilities. Extensive experiments on real datasets show that ISRMM outperforms several state-of-the-art service recommendation methods in iterative service recommendation scenarios. © 2023 Elsevier Inc.</v>
      </c>
      <c r="H449" s="8" t="str">
        <f>IFERROR(__xludf.DUMMYFUNCTION("""COMPUTED_VALUE"""),"Application creation; Multi-model fusion; Multi-task learning; Service recommendation")</f>
        <v>Application creation; Multi-model fusion; Multi-task learning; Service recommendation</v>
      </c>
      <c r="I449" s="10" t="b">
        <v>0</v>
      </c>
      <c r="J449" s="10" t="b">
        <v>0</v>
      </c>
      <c r="K449" s="10" t="b">
        <v>0</v>
      </c>
      <c r="L449" s="10" t="b">
        <v>0</v>
      </c>
      <c r="M449" s="10" t="b">
        <v>0</v>
      </c>
      <c r="N449" s="10" t="b">
        <v>0</v>
      </c>
      <c r="O449" s="11" t="b">
        <f t="shared" si="1"/>
        <v>0</v>
      </c>
      <c r="P449" s="16" t="b">
        <v>0</v>
      </c>
      <c r="Q449" s="7"/>
    </row>
    <row r="450">
      <c r="A450" s="5" t="b">
        <v>1</v>
      </c>
      <c r="B450" s="5" t="s">
        <v>491</v>
      </c>
      <c r="C450" s="6" t="str">
        <f>IFERROR(__xludf.DUMMYFUNCTION("""COMPUTED_VALUE"""),"10.1016/j.jss.2003.09.020")</f>
        <v>10.1016/j.jss.2003.09.020</v>
      </c>
      <c r="D450" s="7" t="str">
        <f>IFERROR(__xludf.DUMMYFUNCTION("""COMPUTED_VALUE"""),"Terzi E.; Vakali A.; Angelis L.")</f>
        <v>Terzi E.; Vakali A.; Angelis L.</v>
      </c>
      <c r="E450" s="7" t="str">
        <f>IFERROR(__xludf.DUMMYFUNCTION("""COMPUTED_VALUE"""),"A simulated annealing approach for multimedia data placement")</f>
        <v>A simulated annealing approach for multimedia data placement</v>
      </c>
      <c r="F450" s="7" t="str">
        <f>IFERROR(__xludf.DUMMYFUNCTION("""COMPUTED_VALUE"""),"JSS")</f>
        <v>JSS</v>
      </c>
      <c r="G450" s="7" t="str">
        <f>IFERROR(__xludf.DUMMYFUNCTION("""COMPUTED_VALUE"""),"Multimedia applications are characterized by their strong timing requirements and constraints and thus multimedia data storage is a critical issue in the overall system's performance and functionality. This paper describes multimedia data representation m"&amp;"odels that effectively guide data placement towards the improvement of the Quality of Presentation for the considered multimedia applications. The performance of both constructive placement and iterative improvement placement algorithms is evaluated and d"&amp;"iscussed. Emphasis is given on placement schemes which are based on the simulated annealing optimization algorithm. A placement policy, based on a self-improving version of the simulated annealing (SISA) algorithm is applied and evaluated. Performance of "&amp;"the placement policies is experimentally evaluated on a simulated tertiary storage subsystem. As proven by the experimentation, the proposed approach shows considerable gain in terms of seek and service times. The improvements of the proposed SISA approac"&amp;"h are in the range of 40% when compared to random placement and at the range of 15-35% when compared to the typical simulated annealing algorithm, depending a lot on the initial configuration and the neighborhood search. © 2003 Published by Elsevier Inc.")</f>
        <v>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 2003 Published by Elsevier Inc.</v>
      </c>
      <c r="H450" s="8" t="str">
        <f>IFERROR(__xludf.DUMMYFUNCTION("""COMPUTED_VALUE"""),"Multimedia data storage; Self-improving processes; Simulated annealing; Tertiary storage subsystems")</f>
        <v>Multimedia data storage; Self-improving processes; Simulated annealing; Tertiary storage subsystems</v>
      </c>
      <c r="I450" s="10" t="b">
        <v>0</v>
      </c>
      <c r="J450" s="10" t="b">
        <v>0</v>
      </c>
      <c r="K450" s="10" t="b">
        <v>0</v>
      </c>
      <c r="L450" s="10" t="b">
        <v>0</v>
      </c>
      <c r="M450" s="10" t="b">
        <v>0</v>
      </c>
      <c r="N450" s="10" t="b">
        <v>0</v>
      </c>
      <c r="O450" s="11" t="b">
        <f t="shared" si="1"/>
        <v>0</v>
      </c>
      <c r="P450" s="16" t="b">
        <v>0</v>
      </c>
      <c r="Q450" s="7"/>
    </row>
    <row r="451">
      <c r="A451" s="5" t="b">
        <v>1</v>
      </c>
      <c r="B451" s="5" t="s">
        <v>492</v>
      </c>
      <c r="C451" s="6" t="str">
        <f>IFERROR(__xludf.DUMMYFUNCTION("""COMPUTED_VALUE"""),"10.1016/0164-1212(93)90025-S")</f>
        <v>10.1016/0164-1212(93)90025-S</v>
      </c>
      <c r="D451" s="7" t="str">
        <f>IFERROR(__xludf.DUMMYFUNCTION("""COMPUTED_VALUE"""),"Dauchy P.; Gaudel M.-C.; Marre B.")</f>
        <v>Dauchy P.; Gaudel M.-C.; Marre B.</v>
      </c>
      <c r="E451" s="7" t="str">
        <f>IFERROR(__xludf.DUMMYFUNCTION("""COMPUTED_VALUE"""),"Using algebraic specifications in software testing: A case study on the software of an automatic subway")</f>
        <v>Using algebraic specifications in software testing: A case study on the software of an automatic subway</v>
      </c>
      <c r="F451" s="7" t="str">
        <f>IFERROR(__xludf.DUMMYFUNCTION("""COMPUTED_VALUE"""),"JSS")</f>
        <v>JSS</v>
      </c>
      <c r="G451" s="7" t="str">
        <f>IFERROR(__xludf.DUMMYFUNCTION("""COMPUTED_VALUE"""),"This article reports an experiment using a formal specification of a piece of critical software as a basis to derive test data sets. The software was the onboard part of the driving system of an automatic subway. It was formally specified using algebraic "&amp;"techniques. Then, two modules of the specification were used as input to the LOFT test selection tool, which is based on narrowing and some other aspects of advanced logic programming. The experience established that the approach is practicable for indust"&amp;"rial examples. © 1993.")</f>
        <v>This article reports an experiment using a formal specification of a piece of critical software as a basis to derive test data sets. The software was the onboard part of the driving system of an automatic subway. It was formally specified using algebraic techniques. Then, two modules of the specification were used as input to the LOFT test selection tool, which is based on narrowing and some other aspects of advanced logic programming. The experience established that the approach is practicable for industrial examples. © 1993.</v>
      </c>
      <c r="H451" s="8"/>
      <c r="I451" s="9" t="b">
        <v>1</v>
      </c>
      <c r="J451" s="9" t="b">
        <v>1</v>
      </c>
      <c r="K451" s="9" t="b">
        <v>1</v>
      </c>
      <c r="L451" s="10" t="b">
        <v>0</v>
      </c>
      <c r="M451" s="10" t="b">
        <v>0</v>
      </c>
      <c r="N451" s="10" t="b">
        <v>0</v>
      </c>
      <c r="O451" s="11" t="b">
        <f t="shared" si="1"/>
        <v>1</v>
      </c>
      <c r="P451" s="16" t="b">
        <v>0</v>
      </c>
      <c r="Q451" s="7"/>
    </row>
    <row r="452">
      <c r="A452" s="5" t="b">
        <v>1</v>
      </c>
      <c r="B452" s="5" t="s">
        <v>493</v>
      </c>
      <c r="C452" s="6" t="str">
        <f>IFERROR(__xludf.DUMMYFUNCTION("""COMPUTED_VALUE"""),"10.1016/0164-1212(79)90029-3")</f>
        <v>10.1016/0164-1212(79)90029-3</v>
      </c>
      <c r="D452" s="7" t="str">
        <f>IFERROR(__xludf.DUMMYFUNCTION("""COMPUTED_VALUE"""),"Naumann J.D.; Davis G.B.; McKeen J.D.")</f>
        <v>Naumann J.D.; Davis G.B.; McKeen J.D.</v>
      </c>
      <c r="E452" s="7" t="str">
        <f>IFERROR(__xludf.DUMMYFUNCTION("""COMPUTED_VALUE"""),"Determining information requirements: A contingency method for selection of a requirements assurance strategy")</f>
        <v>Determining information requirements: A contingency method for selection of a requirements assurance strategy</v>
      </c>
      <c r="F452" s="7" t="str">
        <f>IFERROR(__xludf.DUMMYFUNCTION("""COMPUTED_VALUE"""),"JSS")</f>
        <v>JSS</v>
      </c>
      <c r="G452" s="7" t="str">
        <f>IFERROR(__xludf.DUMMYFUNCTION("""COMPUTED_VALUE"""),"If the information requirements for an information system application can be established accurately and completely and then documented clearly and unambiguously, there is a high probability that the application can be successfully designed and implemented"&amp;". Information requirements determination consists of two major processes: 1. (1) eliciting requirements and 2. (2) requirements assurance. Many techniques, procedures, and methodologies have been proposed for these two processes. This paper describes the "&amp;"selection of a strategy for information requirements assurance. Selection of the appropriate strategy depends on environmental and project contingencies. Contingencies determine the level of uncertainty to be resolved in order to ensure an accurate and co"&amp;"mplete statement of information requirements. Based on the level of uncertainty, the strategy for assurance may be to accept the requirements as stated or to follow either a linear, iterative, or experimental assurance process. The approach to strategy se"&amp;"lection is illustrated by a contingency analysis worksheet for evaluating requirements uncertainty and by examples. © 1979.")</f>
        <v>If the information requirements for an information system application can be established accurately and completely and then documented clearly and unambiguously, there is a high probability that the application can be successfully designed and implemented. Information requirements determination consists of two major processes: 1. (1) eliciting requirements and 2. (2) requirements assurance. Many techniques, procedures, and methodologies have been proposed for these two processes. This paper describes the selection of a strategy for information requirements assurance. Selection of the appropriate strategy depends on environmental and project contingencies. Contingencies determine the level of uncertainty to be resolved in order to ensure an accurate and complete statement of information requirements. Based on the level of uncertainty, the strategy for assurance may be to accept the requirements as stated or to follow either a linear, iterative, or experimental assurance process. The approach to strategy selection is illustrated by a contingency analysis worksheet for evaluating requirements uncertainty and by examples. © 1979.</v>
      </c>
      <c r="H452" s="8"/>
      <c r="I452" s="10" t="b">
        <v>0</v>
      </c>
      <c r="J452" s="10" t="b">
        <v>0</v>
      </c>
      <c r="K452" s="10" t="b">
        <v>0</v>
      </c>
      <c r="L452" s="10" t="b">
        <v>0</v>
      </c>
      <c r="M452" s="10" t="b">
        <v>0</v>
      </c>
      <c r="N452" s="10" t="b">
        <v>0</v>
      </c>
      <c r="O452" s="11" t="b">
        <f t="shared" si="1"/>
        <v>0</v>
      </c>
      <c r="P452" s="16" t="b">
        <v>0</v>
      </c>
      <c r="Q452" s="7"/>
    </row>
    <row r="453">
      <c r="A453" s="5" t="b">
        <v>1</v>
      </c>
      <c r="B453" s="5" t="s">
        <v>494</v>
      </c>
      <c r="C453" s="6" t="str">
        <f>IFERROR(__xludf.DUMMYFUNCTION("""COMPUTED_VALUE"""),"10.1016/j.jss.2004.02.033")</f>
        <v>10.1016/j.jss.2004.02.033</v>
      </c>
      <c r="D453" s="7" t="str">
        <f>IFERROR(__xludf.DUMMYFUNCTION("""COMPUTED_VALUE"""),"Baker A.; Navarro E.O.; Van Der Hoek A.")</f>
        <v>Baker A.; Navarro E.O.; Van Der Hoek A.</v>
      </c>
      <c r="E453" s="7" t="str">
        <f>IFERROR(__xludf.DUMMYFUNCTION("""COMPUTED_VALUE"""),"An experimental card game for teaching software engineering processes")</f>
        <v>An experimental card game for teaching software engineering processes</v>
      </c>
      <c r="F453" s="7" t="str">
        <f>IFERROR(__xludf.DUMMYFUNCTION("""COMPUTED_VALUE"""),"JSS")</f>
        <v>JSS</v>
      </c>
      <c r="G453" s="7" t="str">
        <f>IFERROR(__xludf.DUMMYFUNCTION("""COMPUTED_VALUE"""),"The typical software engineering course consists of lectures in which concepts and theories are conveyed, along with a small ""toy"" software engineering project which attempts to give students the opportunity to put this knowledge into practice. Although"&amp;" both of these components are essential, neither one provides students with adequate practical knowledge regarding the process of software engineering. Namely, lectures allow only passive learning and projects are so constrained by the time and scope requ"&amp;"irements of the academic environment that they cannot be large enough to exhibit many of the phenomena occurring in real-world software engineering processes. To address this problem, we have developed Problems and Programmers, an educational card game th"&amp;"at simulates the software engineering process and is designed to teach those process issues that are not sufficiently high-lighted by lectures and projects. We describe how the game is designed, the mechanics of its game play, and the results of an experi"&amp;"ment we conducted involving students playing the game. © 2004 Elsevier Inc. All rights reserved.")</f>
        <v>The typical software engineering course consists of lectures in which concepts and theories are conveyed, along with a small "toy" software engineering project which attempts to give students the opportunity to put this knowledge into practice. Although both of these components are essential, neither one provides students with adequate practical knowledge regarding the process of software engineering. Namely, lectures allow only passive learning and projects are so constrained by the time and scope requirements of the academic environment that they cannot be large enough to exhibit many of the phenomena occurring in real-world software engineering processes. To address this problem, we have developed Problems and Programmers, an educational card game that simulates the software engineering process and is designed to teach those process issues that are not sufficiently high-lighted by lectures and projects. We describe how the game is designed, the mechanics of its game play, and the results of an experiment we conducted involving students playing the game. © 2004 Elsevier Inc. All rights reserved.</v>
      </c>
      <c r="H453" s="8" t="str">
        <f>IFERROR(__xludf.DUMMYFUNCTION("""COMPUTED_VALUE"""),"Educational games; Simulation games; Software engineering education; Software engineering simulation")</f>
        <v>Educational games; Simulation games; Software engineering education; Software engineering simulation</v>
      </c>
      <c r="I453" s="9" t="b">
        <v>1</v>
      </c>
      <c r="J453" s="9" t="b">
        <v>0</v>
      </c>
      <c r="K453" s="10" t="b">
        <v>0</v>
      </c>
      <c r="L453" s="10" t="b">
        <v>0</v>
      </c>
      <c r="M453" s="10" t="b">
        <v>0</v>
      </c>
      <c r="N453" s="10" t="b">
        <v>0</v>
      </c>
      <c r="O453" s="11" t="b">
        <f t="shared" si="1"/>
        <v>0</v>
      </c>
      <c r="P453" s="16" t="b">
        <v>0</v>
      </c>
      <c r="Q453" s="7"/>
    </row>
    <row r="454">
      <c r="A454" s="5" t="b">
        <v>1</v>
      </c>
      <c r="B454" s="5" t="s">
        <v>495</v>
      </c>
      <c r="C454" s="6" t="str">
        <f>IFERROR(__xludf.DUMMYFUNCTION("""COMPUTED_VALUE"""),"10.1016/0164-1212(91)90049-C")</f>
        <v>10.1016/0164-1212(91)90049-C</v>
      </c>
      <c r="D454" s="7" t="str">
        <f>IFERROR(__xludf.DUMMYFUNCTION("""COMPUTED_VALUE"""),"Koskimies K.; Paakki J.")</f>
        <v>Koskimies K.; Paakki J.</v>
      </c>
      <c r="E454" s="7" t="str">
        <f>IFERROR(__xludf.DUMMYFUNCTION("""COMPUTED_VALUE"""),"High-level tools for language implementation")</f>
        <v>High-level tools for language implementation</v>
      </c>
      <c r="F454" s="7" t="str">
        <f>IFERROR(__xludf.DUMMYFUNCTION("""COMPUTED_VALUE"""),"JSS")</f>
        <v>JSS</v>
      </c>
      <c r="G454" s="7" t="str">
        <f>IFERROR(__xludf.DUMMYFUNCTION("""COMPUTED_VALUE"""),"TOOLS is a language implementation system based on the integration of context-free grammars and class-based programming. The main goal of TOOLS has been to explore unified mechanisms for different aspects of language implementations. To this end, the TOOL"&amp;"S specification language has been geared toward object-oriented languages so that various natural entities in the source text can be viewed as instances of object classes. Consequently, data structures like symbol tables, activation records, and intermedi"&amp;"ate code can be conveniently represented as collections of objects, and activities like passes and program execution can be represented as collective activations of objects. Experiments have shown that relatively efficient implementations can be produced "&amp;"in a short time using TOOLS. © 1991.")</f>
        <v>TOOLS is a language implementation system based on the integration of context-free grammars and class-based programming. The main goal of TOOLS has been to explore unified mechanisms for different aspects of language implementations. To this end, the TOOLS specification language has been geared toward object-oriented languages so that various natural entities in the source text can be viewed as instances of object classes. Consequently, data structures like symbol tables, activation records, and intermediate code can be conveniently represented as collections of objects, and activities like passes and program execution can be represented as collective activations of objects. Experiments have shown that relatively efficient implementations can be produced in a short time using TOOLS. © 1991.</v>
      </c>
      <c r="H454" s="8"/>
      <c r="I454" s="10" t="b">
        <v>0</v>
      </c>
      <c r="J454" s="10" t="b">
        <v>0</v>
      </c>
      <c r="K454" s="10" t="b">
        <v>0</v>
      </c>
      <c r="L454" s="10" t="b">
        <v>0</v>
      </c>
      <c r="M454" s="10" t="b">
        <v>0</v>
      </c>
      <c r="N454" s="10" t="b">
        <v>0</v>
      </c>
      <c r="O454" s="11" t="b">
        <f t="shared" si="1"/>
        <v>0</v>
      </c>
      <c r="P454" s="16" t="b">
        <v>0</v>
      </c>
      <c r="Q454" s="7"/>
    </row>
    <row r="455">
      <c r="A455" s="5" t="b">
        <v>1</v>
      </c>
      <c r="B455" s="5" t="s">
        <v>496</v>
      </c>
      <c r="C455" s="6" t="str">
        <f>IFERROR(__xludf.DUMMYFUNCTION("""COMPUTED_VALUE"""),"10.1016/S0164-1212(01)00149-2")</f>
        <v>10.1016/S0164-1212(01)00149-2</v>
      </c>
      <c r="D455" s="7" t="str">
        <f>IFERROR(__xludf.DUMMYFUNCTION("""COMPUTED_VALUE"""),"Smidts C.; Huang X.; Widmaier J.C.")</f>
        <v>Smidts C.; Huang X.; Widmaier J.C.</v>
      </c>
      <c r="E455" s="7" t="str">
        <f>IFERROR(__xludf.DUMMYFUNCTION("""COMPUTED_VALUE"""),"Producing reliable software: An experiment")</f>
        <v>Producing reliable software: An experiment</v>
      </c>
      <c r="F455" s="7" t="str">
        <f>IFERROR(__xludf.DUMMYFUNCTION("""COMPUTED_VALUE"""),"JSS")</f>
        <v>JSS</v>
      </c>
      <c r="G455" s="7" t="str">
        <f>IFERROR(__xludf.DUMMYFUNCTION("""COMPUTED_VALUE"""),"A customer of high assurance software recently sponsored a software engineering experiment in which a small real-time software system was developed concurrently by two popular software development methodologies. One company specialized in the state-of-the"&amp;"-practice waterfall method rated at a Capability Maturity Model Level 4. A second developer employed his mathematically based formal method with automatic code generation. As specified in separate contracts, C++ code plus development documentation and pro"&amp;"cess and product metrics (errors) were to be delivered. Both companies were given identical functional specifications and agreed to a generous and equal cost, schedule, and explicit functional reliability objectives. At conclusion of the experiment an ind"&amp;"ependent third party determined through extensive statistical testing that neither methodology was able to meet the user's reliability objectives within cost and schedule constraints. The metrics collected revealed the strengths and weaknesses of each met"&amp;"hodology and why they were not able to reach customer reliability objectives. This paper will explore the specification for the system under development, the two development processes, the products and metrics captured during development, the analysis too"&amp;"ls and testing techniques used by the third party, and the results of a reliability and process analysis. © 2002 Published by Elsevier Science Inc.")</f>
        <v>A customer of high assurance software recently sponsored a software engineering experiment in which a small real-time software system was developed concurrently by two popular software development methodologies. One company specialized in the state-of-the-practice waterfall method rated at a Capability Maturity Model Level 4. A second developer employed his mathematically based formal method with automatic code generation. As specified in separate contracts, C++ code plus development documentation and process and product metrics (errors) were to be delivered. Both companies were given identical functional specifications and agreed to a generous and equal cost, schedule, and explicit functional reliability objectives. At conclusion of the experiment an independent third party determined through extensive statistical testing that neither methodology was able to meet the user's reliability objectives within cost and schedule constraints. The metrics collected revealed the strengths and weaknesses of each methodology and why they were not able to reach customer reliability objectives. This paper will explore the specification for the system under development, the two development processes, the products and metrics captured during development, the analysis tools and testing techniques used by the third party, and the results of a reliability and process analysis. © 2002 Published by Elsevier Science Inc.</v>
      </c>
      <c r="H455" s="8" t="str">
        <f>IFERROR(__xludf.DUMMYFUNCTION("""COMPUTED_VALUE"""),"Capability maturity model; Cleanroom certification; Formal methods; Software development methodologies; Software engineering experiment; Software process and product metrics; Software reliability")</f>
        <v>Capability maturity model; Cleanroom certification; Formal methods; Software development methodologies; Software engineering experiment; Software process and product metrics; Software reliability</v>
      </c>
      <c r="I455" s="9" t="b">
        <v>1</v>
      </c>
      <c r="J455" s="9" t="b">
        <v>1</v>
      </c>
      <c r="K455" s="9" t="b">
        <v>1</v>
      </c>
      <c r="L455" s="10" t="b">
        <v>0</v>
      </c>
      <c r="M455" s="10" t="b">
        <v>0</v>
      </c>
      <c r="N455" s="10" t="b">
        <v>0</v>
      </c>
      <c r="O455" s="11" t="b">
        <f t="shared" si="1"/>
        <v>1</v>
      </c>
      <c r="P455" s="16" t="b">
        <v>0</v>
      </c>
      <c r="Q455" s="7"/>
    </row>
    <row r="456">
      <c r="A456" s="5" t="b">
        <v>1</v>
      </c>
      <c r="B456" s="5" t="s">
        <v>497</v>
      </c>
      <c r="C456" s="6" t="str">
        <f>IFERROR(__xludf.DUMMYFUNCTION("""COMPUTED_VALUE"""),"10.1016/j.jss.2010.02.017")</f>
        <v>10.1016/j.jss.2010.02.017</v>
      </c>
      <c r="D456" s="7" t="str">
        <f>IFERROR(__xludf.DUMMYFUNCTION("""COMPUTED_VALUE"""),"White J.; Benavides D.; Schmidt D.C.; Trinidad P.; Dougherty B.; Ruiz-Cortes A.")</f>
        <v>White J.; Benavides D.; Schmidt D.C.; Trinidad P.; Dougherty B.; Ruiz-Cortes A.</v>
      </c>
      <c r="E456" s="7" t="str">
        <f>IFERROR(__xludf.DUMMYFUNCTION("""COMPUTED_VALUE"""),"Automated diagnosis of feature model configurations")</f>
        <v>Automated diagnosis of feature model configurations</v>
      </c>
      <c r="F456" s="7" t="str">
        <f>IFERROR(__xludf.DUMMYFUNCTION("""COMPUTED_VALUE"""),"JSS")</f>
        <v>JSS</v>
      </c>
      <c r="G456" s="7" t="str">
        <f>IFERROR(__xludf.DUMMYFUNCTION("""COMPUTED_VALUE"""),"Software product-lines (SPLs) are software platforms that can be readily reconfigured for different project requirements. A key part of an SPL is a model that captures the rules for reconfiguring the software. SPLs commonly use feature models to capture S"&amp;"PL configuration rules. Each SPL configuration is represented as a selection of features from the feature model. Invalid SPL configurations can be created due to feature conflicts introduced via staged or parallel configuration or changes to the constrain"&amp;"ts in a feature model. When invalid configurations are created, a method is needed to automate the diagnosis of the errors and repair the feature selections. This paper provides two contributions to research on automated configuration of SPLs. First, it s"&amp;"hows how configurations and feature models can be transformed into constraint satisfaction problems to automatically diagnose errors and repair invalid feature selections. Second, it presents empirical results from diagnosing configuration errors in featu"&amp;"re models ranging in size from 100 to 5,000 features. The results of our experiments show that our CSP-based diagnostic technique can scale up to models with thousands of features. © 2010 Elsevier Inc. All rights reserved.")</f>
        <v>Software product-lines (SPLs) are software platforms that can be readily reconfigured for different project requirements. A key part of an SPL is a model that captures the rules for reconfiguring the software. SPLs commonly use feature models to capture SPL configuration rules. Each SPL configuration is represented as a selection of features from the feature model. Invalid SPL configurations can be created due to feature conflicts introduced via staged or parallel configuration or changes to the constraints in a feature model. When invalid configurations are created, a method is needed to automate the diagnosis of the errors and repair the feature selections. This paper provides two contributions to research on automated configuration of SPLs. First, it shows how configurations and feature models can be transformed into constraint satisfaction problems to automatically diagnose errors and repair invalid feature selections. Second, it presents empirical results from diagnosing configuration errors in feature models ranging in size from 100 to 5,000 features. The results of our experiments show that our CSP-based diagnostic technique can scale up to models with thousands of features. © 2010 Elsevier Inc. All rights reserved.</v>
      </c>
      <c r="H456" s="8" t="str">
        <f>IFERROR(__xludf.DUMMYFUNCTION("""COMPUTED_VALUE"""),"Configuration; Constraint satisfaction; Diagnosis; Optimization; Software product-lines")</f>
        <v>Configuration; Constraint satisfaction; Diagnosis; Optimization; Software product-lines</v>
      </c>
      <c r="I456" s="10" t="b">
        <v>0</v>
      </c>
      <c r="J456" s="10" t="b">
        <v>0</v>
      </c>
      <c r="K456" s="10" t="b">
        <v>0</v>
      </c>
      <c r="L456" s="10" t="b">
        <v>0</v>
      </c>
      <c r="M456" s="10" t="b">
        <v>0</v>
      </c>
      <c r="N456" s="10" t="b">
        <v>0</v>
      </c>
      <c r="O456" s="11" t="b">
        <f t="shared" si="1"/>
        <v>0</v>
      </c>
      <c r="P456" s="16" t="b">
        <v>0</v>
      </c>
      <c r="Q456" s="7"/>
    </row>
    <row r="457">
      <c r="A457" s="5" t="b">
        <v>1</v>
      </c>
      <c r="B457" s="5" t="s">
        <v>498</v>
      </c>
      <c r="C457" s="6" t="str">
        <f>IFERROR(__xludf.DUMMYFUNCTION("""COMPUTED_VALUE"""),"10.1016/0164-1212(95)00042-9")</f>
        <v>10.1016/0164-1212(95)00042-9</v>
      </c>
      <c r="D457" s="7" t="str">
        <f>IFERROR(__xludf.DUMMYFUNCTION("""COMPUTED_VALUE"""),"Mills K.L.")</f>
        <v>Mills K.L.</v>
      </c>
      <c r="E457" s="7" t="str">
        <f>IFERROR(__xludf.DUMMYFUNCTION("""COMPUTED_VALUE"""),"An experimental evaluation of specification techniques for improving functional testing")</f>
        <v>An experimental evaluation of specification techniques for improving functional testing</v>
      </c>
      <c r="F457" s="7" t="str">
        <f>IFERROR(__xludf.DUMMYFUNCTION("""COMPUTED_VALUE"""),"JSS")</f>
        <v>JSS</v>
      </c>
      <c r="G457" s="7" t="str">
        <f>IFERROR(__xludf.DUMMYFUNCTION("""COMPUTED_VALUE"""),"Numerous specification techniques have been proposed to improve the development of computer software. This article reports results from one experiment to compare the effectiveness of functional testing given three different sets of software specifications"&amp;". Three groups of experienced programmers independently developed functional test cases for the same automated cruise control software. One group worked solely from a natural language description, one was given a graphical real-time structured analysis (R"&amp;"TSA) specification to augment the natural language description, and a third was given, in addition to the English language description and the RTSA specification, an executable specification. Two measures of performance were evaluated: the degree of state"&amp;"ment coverage achieved by the test cases created by each group, and the amount of time taken to create the test cases. No significant difference in performance was found among any of the groups for either of the measures. Individual differences in perform"&amp;"ance among the subjects were observed. Additional statistical tests were used to evaluate the effect of other factors on these individual differences. Such differences appear to be attributable to variations among the subjects in effort, ability, motivati"&amp;"on, and understanding of the assignment. These results suggest that software engineering researchers should investigate people-related management issues that, perhaps, exert the most significant short-run influence on the performance of software engineers"&amp;".")</f>
        <v>Numerous specification techniques have been proposed to improve the development of computer software. This article reports results from one experiment to compare the effectiveness of functional testing given three different sets of software specifications. Three groups of experienced programmers independently developed functional test cases for the same automated cruise control software. One group worked solely from a natural language description, one was given a graphical real-time structured analysis (RTSA) specification to augment the natural language description, and a third was given, in addition to the English language description and the RTSA specification, an executable specification. Two measures of performance were evaluated: the degree of statement coverage achieved by the test cases created by each group, and the amount of time taken to create the test cases. No significant difference in performance was found among any of the groups for either of the measures. Individual differences in performance among the subjects were observed. Additional statistical tests were used to evaluate the effect of other factors on these individual differences. Such differences appear to be attributable to variations among the subjects in effort, ability, motivation, and understanding of the assignment. These results suggest that software engineering researchers should investigate people-related management issues that, perhaps, exert the most significant short-run influence on the performance of software engineers.</v>
      </c>
      <c r="H457" s="8"/>
      <c r="I457" s="9" t="b">
        <v>1</v>
      </c>
      <c r="J457" s="9" t="b">
        <v>1</v>
      </c>
      <c r="K457" s="9" t="b">
        <v>1</v>
      </c>
      <c r="L457" s="10" t="b">
        <v>0</v>
      </c>
      <c r="M457" s="10" t="b">
        <v>0</v>
      </c>
      <c r="N457" s="10" t="b">
        <v>0</v>
      </c>
      <c r="O457" s="11" t="b">
        <f t="shared" si="1"/>
        <v>1</v>
      </c>
      <c r="P457" s="16" t="b">
        <v>0</v>
      </c>
      <c r="Q457" s="7"/>
    </row>
    <row r="458">
      <c r="A458" s="5" t="b">
        <v>1</v>
      </c>
      <c r="B458" s="5" t="s">
        <v>499</v>
      </c>
      <c r="C458" s="6" t="str">
        <f>IFERROR(__xludf.DUMMYFUNCTION("""COMPUTED_VALUE"""),"10.1016/j.jss.2009.05.019")</f>
        <v>10.1016/j.jss.2009.05.019</v>
      </c>
      <c r="D458" s="7" t="str">
        <f>IFERROR(__xludf.DUMMYFUNCTION("""COMPUTED_VALUE"""),"Duan L.; Chen J.")</f>
        <v>Duan L.; Chen J.</v>
      </c>
      <c r="E458" s="7" t="str">
        <f>IFERROR(__xludf.DUMMYFUNCTION("""COMPUTED_VALUE"""),"Exploring alternatives for transition verification")</f>
        <v>Exploring alternatives for transition verification</v>
      </c>
      <c r="F458" s="7" t="str">
        <f>IFERROR(__xludf.DUMMYFUNCTION("""COMPUTED_VALUE"""),"JSS")</f>
        <v>JSS</v>
      </c>
      <c r="G458" s="7" t="str">
        <f>IFERROR(__xludf.DUMMYFUNCTION("""COMPUTED_VALUE"""),"When an implementation under test (IUT) is state-based, and its expected abstract behavior is given in terms of a finite state machine (FSM), a checking sequence generated from a specification FSM and applied to an IUT for testing can provide us with high"&amp;"-level confidence in the correct functional behavior of our implementation. One of the issues here is to generate efficient checking sequences in terms of their lengths. As a major characteristics, a checking sequence must contain all β-sequences for tran"&amp;"sition verification. In this paper, we discuss the possibility of reducing the lengths of checking sequences by making use of the invertible transitions in the specification FSM to increase the choice of β-sequences to be considered for checking sequence "&amp;"generation. We present a sufficient condition for adopting alternative β-sequences and illustrate typical ways of incorporating these alternative β-sequences into existing methods for checking sequence generation to reduce the lengths. Compared to the dir"&amp;"ect use of three existing methods, our experiments show that most of the time the saving gained by adopting alternative β-sequences falls in the range of 10-40%. © 2009 Elsevier Inc. All rights reserved.")</f>
        <v>When an implementation under test (IUT) is state-based, and its expected abstract behavior is given in terms of a finite state machine (FSM), a checking sequence generated from a specification FSM and applied to an IUT for testing can provide us with high-level confidence in the correct functional behavior of our implementation. One of the issues here is to generate efficient checking sequences in terms of their lengths. As a major characteristics, a checking sequence must contain all β-sequences for transition verification. In this paper, we discuss the possibility of reducing the lengths of checking sequences by making use of the invertible transitions in the specification FSM to increase the choice of β-sequences to be considered for checking sequence generation. We present a sufficient condition for adopting alternative β-sequences and illustrate typical ways of incorporating these alternative β-sequences into existing methods for checking sequence generation to reduce the lengths. Compared to the direct use of three existing methods, our experiments show that most of the time the saving gained by adopting alternative β-sequences falls in the range of 10-40%. © 2009 Elsevier Inc. All rights reserved.</v>
      </c>
      <c r="H458" s="8" t="str">
        <f>IFERROR(__xludf.DUMMYFUNCTION("""COMPUTED_VALUE"""),"Checking sequence; Conformance testing; Distinguishing sequence; Finite state machine")</f>
        <v>Checking sequence; Conformance testing; Distinguishing sequence; Finite state machine</v>
      </c>
      <c r="I458" s="10" t="b">
        <v>0</v>
      </c>
      <c r="J458" s="10" t="b">
        <v>0</v>
      </c>
      <c r="K458" s="10" t="b">
        <v>0</v>
      </c>
      <c r="L458" s="10" t="b">
        <v>0</v>
      </c>
      <c r="M458" s="10" t="b">
        <v>0</v>
      </c>
      <c r="N458" s="10" t="b">
        <v>0</v>
      </c>
      <c r="O458" s="11" t="b">
        <f t="shared" si="1"/>
        <v>0</v>
      </c>
      <c r="P458" s="16" t="b">
        <v>0</v>
      </c>
      <c r="Q458" s="7"/>
    </row>
    <row r="459">
      <c r="A459" s="5" t="b">
        <v>1</v>
      </c>
      <c r="B459" s="5" t="s">
        <v>500</v>
      </c>
      <c r="C459" s="6" t="str">
        <f>IFERROR(__xludf.DUMMYFUNCTION("""COMPUTED_VALUE"""),"10.1016/j.jss.2011.07.028")</f>
        <v>10.1016/j.jss.2011.07.028</v>
      </c>
      <c r="D459" s="7" t="str">
        <f>IFERROR(__xludf.DUMMYFUNCTION("""COMPUTED_VALUE"""),"Zhang D.; Liu D.; Lei Y.; Kung D.; Csallner C.; Nystrom N.; Wang W.")</f>
        <v>Zhang D.; Liu D.; Lei Y.; Kung D.; Csallner C.; Nystrom N.; Wang W.</v>
      </c>
      <c r="E459" s="7" t="str">
        <f>IFERROR(__xludf.DUMMYFUNCTION("""COMPUTED_VALUE"""),"SimFuzz: Test case similarity directed deep fuzzing")</f>
        <v>SimFuzz: Test case similarity directed deep fuzzing</v>
      </c>
      <c r="F459" s="7" t="str">
        <f>IFERROR(__xludf.DUMMYFUNCTION("""COMPUTED_VALUE"""),"JSS")</f>
        <v>JSS</v>
      </c>
      <c r="G459" s="7" t="str">
        <f>IFERROR(__xludf.DUMMYFUNCTION("""COMPUTED_VALUE"""),"Fuzzing is widely used to detect software vulnerabilities. Blackbox fuzzing does not require program source code. It mutates well-formed inputs to produce new ones. However, these new inputs usually do not exercise deep program semantics since the possibi"&amp;"lity that they can satisfy the conditions of a deep program state is low. As a result, blackbox fuzzing is often limited to identify vulnerabilities in input validation components of a program. Domain knowledge such as input specifications can be used to "&amp;"mitigate these limitations. However, it is often expensive to obtain such knowledge in practice. Whitebox fuzzing employs heavy analysis techniques, i.e.; dynamic symbolic execution, to systematically generate test inputs and explore as many paths as poss"&amp;"ible. It is powerful to explore new program branches so as to identify more vulnerabilities. However, it has fundamental challenges such as unsolvable constraints and is difficult to scale to large programs due to path explosion. This paper proposes a nov"&amp;"el fuzzing approach that aims to produce test inputs to explore deep program semantics effectively and efficiently. The fuzzing process comprises two stages. At the first stage, a traditional blackbox fuzzing approach is applied for test data generation. "&amp;"This process is guided by a novel test case similarity metric. At the second stage, a subset of the test inputs generated at the first stage is selected based on the test case similarity metric. Then, combination testing is applied on these selected test "&amp;"inputs to further generate new inputs. As a result, less redundant test inputs, i.e.; inputs that just explore shallow program paths, are created at the first stage, and more distinct test inputs, i.e.; inputs that explore deep program paths, are produced"&amp;" at the second stage. A prototype tool SimFuzz is developed and evaluated on real programs, and the experimental results are promising. © 2011 Elsevier Inc.")</f>
        <v>Fuzzing is widely used to detect software vulnerabilities. Blackbox fuzzing does not require program source code. It mutates well-formed inputs to produce new ones. However, these new inputs usually do not exercise deep program semantics since the possibility that they can satisfy the conditions of a deep program state is low. As a result, blackbox fuzzing is often limited to identify vulnerabilities in input validation components of a program. Domain knowledge such as input specifications can be used to mitigate these limitations. However, it is often expensive to obtain such knowledge in practice. Whitebox fuzzing employs heavy analysis techniques, i.e.; dynamic symbolic execution, to systematically generate test inputs and explore as many paths as possible. It is powerful to explore new program branches so as to identify more vulnerabilities. However, it has fundamental challenges such as unsolvable constraints and is difficult to scale to large programs due to path explosion. This paper proposes a novel fuzzing approach that aims to produce test inputs to explore deep program semantics effectively and efficiently. The fuzzing process comprises two stages. At the first stage, a traditional blackbox fuzzing approach is applied for test data generation. This process is guided by a novel test case similarity metric. At the second stage, a subset of the test inputs generated at the first stage is selected based on the test case similarity metric. Then, combination testing is applied on these selected test inputs to further generate new inputs. As a result, less redundant test inputs, i.e.; inputs that just explore shallow program paths, are created at the first stage, and more distinct test inputs, i.e.; inputs that explore deep program paths, are produced at the second stage. A prototype tool SimFuzz is developed and evaluated on real programs, and the experimental results are promising. © 2011 Elsevier Inc.</v>
      </c>
      <c r="H459" s="8" t="str">
        <f>IFERROR(__xludf.DUMMYFUNCTION("""COMPUTED_VALUE"""),"Fuzzing; Software testing; Software vulnerability")</f>
        <v>Fuzzing; Software testing; Software vulnerability</v>
      </c>
      <c r="I459" s="10" t="b">
        <v>0</v>
      </c>
      <c r="J459" s="10" t="b">
        <v>0</v>
      </c>
      <c r="K459" s="10" t="b">
        <v>0</v>
      </c>
      <c r="L459" s="10" t="b">
        <v>0</v>
      </c>
      <c r="M459" s="10" t="b">
        <v>0</v>
      </c>
      <c r="N459" s="10" t="b">
        <v>0</v>
      </c>
      <c r="O459" s="11" t="b">
        <f t="shared" si="1"/>
        <v>0</v>
      </c>
      <c r="P459" s="16" t="b">
        <v>0</v>
      </c>
      <c r="Q459" s="7"/>
    </row>
    <row r="460">
      <c r="A460" s="5" t="b">
        <v>1</v>
      </c>
      <c r="B460" s="5" t="s">
        <v>501</v>
      </c>
      <c r="C460" s="6" t="str">
        <f>IFERROR(__xludf.DUMMYFUNCTION("""COMPUTED_VALUE"""),"10.1016/j.jss.2007.03.004")</f>
        <v>10.1016/j.jss.2007.03.004</v>
      </c>
      <c r="D460" s="7" t="str">
        <f>IFERROR(__xludf.DUMMYFUNCTION("""COMPUTED_VALUE"""),"Frantzeskou G.; MacDonell S.; Stamatatos E.; Gritzalis S.")</f>
        <v>Frantzeskou G.; MacDonell S.; Stamatatos E.; Gritzalis S.</v>
      </c>
      <c r="E460" s="7" t="str">
        <f>IFERROR(__xludf.DUMMYFUNCTION("""COMPUTED_VALUE"""),"Examining the significance of high-level programming features in source code author classification")</f>
        <v>Examining the significance of high-level programming features in source code author classification</v>
      </c>
      <c r="F460" s="7" t="str">
        <f>IFERROR(__xludf.DUMMYFUNCTION("""COMPUTED_VALUE"""),"JSS")</f>
        <v>JSS</v>
      </c>
      <c r="G460" s="7" t="str">
        <f>IFERROR(__xludf.DUMMYFUNCTION("""COMPUTED_VALUE"""),"The use of Source Code Author Profiles (SCAP) represents a new, highly accurate approach to source code authorship identification that is, unlike previous methods, language independent. While accuracy is clearly a crucial requirement of any author identif"&amp;"ication method, in cases of litigation regarding authorship, plagiarism, and so on, there is also a need to know why it is claimed that a piece of code is written by a particular author. What is it about that piece of code that suggests a particular autho"&amp;"r? What features in the code make one author more likely than another? In this study, we describe a means of identifying the high-level features that contribute to source code authorship identification using as a tool the SCAP method. A variety of feature"&amp;"s are considered for Java and Common Lisp and the importance of each feature in determining authorship is measured through a sequence of experiments in which we remove one feature at a time. The results show that, for these programs, comments, layout feat"&amp;"ures and package-related naming influence classification accuracy whereas user-defined naming, an obvious programmer related feature, does not appear to influence accuracy. A comparison is also made between the relative feature contributions in programs w"&amp;"ritten in the two languages. © 2007 Elsevier Inc. All rights reserved.")</f>
        <v>The use of Source Code Author Profiles (SCAP) represents a new, highly accurate approach to source code authorship identification that is, unlike previous methods, language independent. While accuracy is clearly a crucial requirement of any author identification method, in cases of litigation regarding authorship, plagiarism, and so on, there is also a need to know why it is claimed that a piece of code is written by a particular author. What is it about that piece of code that suggests a particular author? What features in the code make one author more likely than another? In this study, we describe a means of identifying the high-level features that contribute to source code authorship identification using as a tool the SCAP method. A variety of features are considered for Java and Common Lisp and the importance of each feature in determining authorship is measured through a sequence of experiments in which we remove one feature at a time. The results show that, for these programs, comments, layout features and package-related naming influence classification accuracy whereas user-defined naming, an obvious programmer related feature, does not appear to influence accuracy. A comparison is also made between the relative feature contributions in programs written in the two languages. © 2007 Elsevier Inc. All rights reserved.</v>
      </c>
      <c r="H460" s="8" t="str">
        <f>IFERROR(__xludf.DUMMYFUNCTION("""COMPUTED_VALUE"""),"Authorship; Fraud; Program features; Source code")</f>
        <v>Authorship; Fraud; Program features; Source code</v>
      </c>
      <c r="I460" s="10" t="b">
        <v>0</v>
      </c>
      <c r="J460" s="10" t="b">
        <v>0</v>
      </c>
      <c r="K460" s="10" t="b">
        <v>0</v>
      </c>
      <c r="L460" s="10" t="b">
        <v>0</v>
      </c>
      <c r="M460" s="10" t="b">
        <v>0</v>
      </c>
      <c r="N460" s="10" t="b">
        <v>0</v>
      </c>
      <c r="O460" s="11" t="b">
        <f t="shared" si="1"/>
        <v>0</v>
      </c>
      <c r="P460" s="16" t="b">
        <v>0</v>
      </c>
      <c r="Q460" s="7"/>
    </row>
    <row r="461">
      <c r="A461" s="5" t="b">
        <v>1</v>
      </c>
      <c r="B461" s="5" t="s">
        <v>502</v>
      </c>
      <c r="C461" s="6" t="str">
        <f>IFERROR(__xludf.DUMMYFUNCTION("""COMPUTED_VALUE"""),"10.1016/j.jss.2007.05.009")</f>
        <v>10.1016/j.jss.2007.05.009</v>
      </c>
      <c r="D461" s="7" t="str">
        <f>IFERROR(__xludf.DUMMYFUNCTION("""COMPUTED_VALUE"""),"Zheng M.; Alagar V.; Ormandjieva O.")</f>
        <v>Zheng M.; Alagar V.; Ormandjieva O.</v>
      </c>
      <c r="E461" s="7" t="str">
        <f>IFERROR(__xludf.DUMMYFUNCTION("""COMPUTED_VALUE"""),"Automated generation of test suites from formal specifications of real-time reactive systems")</f>
        <v>Automated generation of test suites from formal specifications of real-time reactive systems</v>
      </c>
      <c r="F461" s="7" t="str">
        <f>IFERROR(__xludf.DUMMYFUNCTION("""COMPUTED_VALUE"""),"JSS")</f>
        <v>JSS</v>
      </c>
      <c r="G461" s="7" t="str">
        <f>IFERROR(__xludf.DUMMYFUNCTION("""COMPUTED_VALUE"""),"Real-time reactive systems are among the most difficult systems to test because of their size and complex time-dependent functionality. The number of test experiments for such systems is very large, if not infinite. Often such systems arise in safety-crit"&amp;"ical contexts. Hence, such systems require a rigorous analysis and thorough testing before they are deployed. This paper addresses test case generation methods and a metric-based test case selection algorithm for sufficient testing of real-time reactive s"&amp;"ystems. The methods are rigorous, and based on the formal specifications of the system and its fault models. The test generation and execution of algorithms are implemented in TROMLAB, a formal framework for developing real-time reactive systems. The meth"&amp;"ods are applied to the formal specification of the Train-Gate-Controller (TGC) example, a bench-mark case study in the real-time systems community. A brief description of the experimental results obtained on the case study is given. © 2007 Elsevier Inc. A"&amp;"ll rights reserved.")</f>
        <v>Real-time reactive systems are among the most difficult systems to test because of their size and complex time-dependent functionality. The number of test experiments for such systems is very large, if not infinite. Often such systems arise in safety-critical contexts. Hence, such systems require a rigorous analysis and thorough testing before they are deployed. This paper addresses test case generation methods and a metric-based test case selection algorithm for sufficient testing of real-time reactive systems. The methods are rigorous, and based on the formal specifications of the system and its fault models. The test generation and execution of algorithms are implemented in TROMLAB, a formal framework for developing real-time reactive systems. The methods are applied to the formal specification of the Train-Gate-Controller (TGC) example, a bench-mark case study in the real-time systems community. A brief description of the experimental results obtained on the case study is given. © 2007 Elsevier Inc. All rights reserved.</v>
      </c>
      <c r="H461" s="8" t="str">
        <f>IFERROR(__xludf.DUMMYFUNCTION("""COMPUTED_VALUE"""),"Fault models; Metric-based test selection; Optimal test selection; Real-time reactive systems; Specification-based testing; Test adequacy")</f>
        <v>Fault models; Metric-based test selection; Optimal test selection; Real-time reactive systems; Specification-based testing; Test adequacy</v>
      </c>
      <c r="I461" s="10" t="b">
        <v>0</v>
      </c>
      <c r="J461" s="10" t="b">
        <v>0</v>
      </c>
      <c r="K461" s="10" t="b">
        <v>0</v>
      </c>
      <c r="L461" s="10" t="b">
        <v>0</v>
      </c>
      <c r="M461" s="10" t="b">
        <v>0</v>
      </c>
      <c r="N461" s="10" t="b">
        <v>0</v>
      </c>
      <c r="O461" s="11" t="b">
        <f t="shared" si="1"/>
        <v>0</v>
      </c>
      <c r="P461" s="16" t="b">
        <v>0</v>
      </c>
      <c r="Q461" s="7"/>
    </row>
    <row r="462">
      <c r="A462" s="5" t="b">
        <v>1</v>
      </c>
      <c r="B462" s="5" t="s">
        <v>503</v>
      </c>
      <c r="C462" s="6" t="str">
        <f>IFERROR(__xludf.DUMMYFUNCTION("""COMPUTED_VALUE"""),"10.1016/j.jss.2004.11.022")</f>
        <v>10.1016/j.jss.2004.11.022</v>
      </c>
      <c r="D462" s="7" t="str">
        <f>IFERROR(__xludf.DUMMYFUNCTION("""COMPUTED_VALUE"""),"Otero M.C.; Dolado J.J.")</f>
        <v>Otero M.C.; Dolado J.J.</v>
      </c>
      <c r="E462" s="7" t="str">
        <f>IFERROR(__xludf.DUMMYFUNCTION("""COMPUTED_VALUE"""),"An empirical comparison of the dynamic modeling in OML and UML")</f>
        <v>An empirical comparison of the dynamic modeling in OML and UML</v>
      </c>
      <c r="F462" s="7" t="str">
        <f>IFERROR(__xludf.DUMMYFUNCTION("""COMPUTED_VALUE"""),"JSS")</f>
        <v>JSS</v>
      </c>
      <c r="G462" s="7" t="str">
        <f>IFERROR(__xludf.DUMMYFUNCTION("""COMPUTED_VALUE"""),"This paper presents an empirical research for evaluating the semantic comprehension of two standard languages, UML (Unified Modeling Language) versus OML (OPEN Modeling Language), from the perspective of the dynamic modeling. We carried out two controlled"&amp;" experiments using a 2 × 2 crossover design, where the metrics studied were the comprehension time and the total score. We examined the OML and UML interaction diagrams and the statecharts of each language corresponding to the design of a real-time embedd"&amp;"ed system. The results obtained reveal that the specification of the dynamic behavior using OML is faster to comprehend and easier to interpret than using the UML language, regardless of the dynamic diagram type. © 2004 Elsevier Inc. All rights reserved.")</f>
        <v>This paper presents an empirical research for evaluating the semantic comprehension of two standard languages, UML (Unified Modeling Language) versus OML (OPEN Modeling Language), from the perspective of the dynamic modeling. We carried out two controlled experiments using a 2 × 2 crossover design, where the metrics studied were the comprehension time and the total score. We examined the OML and UML interaction diagrams and the statecharts of each language corresponding to the design of a real-time embedded system. The results obtained reveal that the specification of the dynamic behavior using OML is faster to comprehend and easier to interpret than using the UML language, regardless of the dynamic diagram type. © 2004 Elsevier Inc. All rights reserved.</v>
      </c>
      <c r="H462" s="8" t="str">
        <f>IFERROR(__xludf.DUMMYFUNCTION("""COMPUTED_VALUE"""),"Crossover design; Dynamic modeling; Empirical software engineering; OPEN Modeling Language (OML); Semantic comprehension; Unified Modeling Language (UML)")</f>
        <v>Crossover design; Dynamic modeling; Empirical software engineering; OPEN Modeling Language (OML); Semantic comprehension; Unified Modeling Language (UML)</v>
      </c>
      <c r="I462" s="9" t="b">
        <v>1</v>
      </c>
      <c r="J462" s="9" t="b">
        <v>1</v>
      </c>
      <c r="K462" s="9" t="b">
        <v>1</v>
      </c>
      <c r="L462" s="10" t="b">
        <v>0</v>
      </c>
      <c r="M462" s="10" t="b">
        <v>0</v>
      </c>
      <c r="N462" s="10" t="b">
        <v>0</v>
      </c>
      <c r="O462" s="11" t="b">
        <f t="shared" si="1"/>
        <v>1</v>
      </c>
      <c r="P462" s="16" t="b">
        <v>0</v>
      </c>
      <c r="Q462" s="7"/>
    </row>
    <row r="463">
      <c r="A463" s="5" t="b">
        <v>1</v>
      </c>
      <c r="B463" s="5" t="s">
        <v>504</v>
      </c>
      <c r="C463" s="6" t="str">
        <f>IFERROR(__xludf.DUMMYFUNCTION("""COMPUTED_VALUE"""),"10.1016/S0164-1212(98)10030-4")</f>
        <v>10.1016/S0164-1212(98)10030-4</v>
      </c>
      <c r="D463" s="7" t="str">
        <f>IFERROR(__xludf.DUMMYFUNCTION("""COMPUTED_VALUE"""),"Krovi R.; Chandra A.")</f>
        <v>Krovi R.; Chandra A.</v>
      </c>
      <c r="E463" s="7" t="str">
        <f>IFERROR(__xludf.DUMMYFUNCTION("""COMPUTED_VALUE"""),"User cognitive representations: The case for an object oriented model")</f>
        <v>User cognitive representations: The case for an object oriented model</v>
      </c>
      <c r="F463" s="7" t="str">
        <f>IFERROR(__xludf.DUMMYFUNCTION("""COMPUTED_VALUE"""),"JSS")</f>
        <v>JSS</v>
      </c>
      <c r="G463" s="7" t="str">
        <f>IFERROR(__xludf.DUMMYFUNCTION("""COMPUTED_VALUE"""),"This study empirically investigates the effect on user performance using object oriented cognitive structures. The results indicate improvement in the quality (measured by response time and error rate) of decisions for subjects who were monitored in an ex"&amp;"perimental setting. These findings indicate the presence of object oriented properties in user cognition. Such an inference puts the theorized mechanisms of human information processing such as, cognitive economy, and limited storage space, in proper pers"&amp;"pective. The study discusses implications of these findings for requirements analysis, user-interface design, and training. © 1998 Elsevier Science Inc. All rights reserved.")</f>
        <v>This study empirically investigates the effect on user performance using object oriented cognitive structures. The results indicate improvement in the quality (measured by response time and error rate) of decisions for subjects who were monitored in an experimental setting. These findings indicate the presence of object oriented properties in user cognition. Such an inference puts the theorized mechanisms of human information processing such as, cognitive economy, and limited storage space, in proper perspective. The study discusses implications of these findings for requirements analysis, user-interface design, and training. © 1998 Elsevier Science Inc. All rights reserved.</v>
      </c>
      <c r="H463" s="8"/>
      <c r="I463" s="9" t="b">
        <v>1</v>
      </c>
      <c r="J463" s="10" t="b">
        <v>0</v>
      </c>
      <c r="K463" s="9" t="b">
        <v>1</v>
      </c>
      <c r="L463" s="10" t="b">
        <v>0</v>
      </c>
      <c r="M463" s="10" t="b">
        <v>0</v>
      </c>
      <c r="N463" s="10" t="b">
        <v>0</v>
      </c>
      <c r="O463" s="11" t="b">
        <f t="shared" si="1"/>
        <v>0</v>
      </c>
      <c r="P463" s="16" t="b">
        <v>0</v>
      </c>
      <c r="Q463" s="7"/>
    </row>
    <row r="464">
      <c r="A464" s="5" t="b">
        <v>1</v>
      </c>
      <c r="B464" s="5" t="s">
        <v>505</v>
      </c>
      <c r="C464" s="6" t="str">
        <f>IFERROR(__xludf.DUMMYFUNCTION("""COMPUTED_VALUE"""),"10.1016/S0164-1212(99)00063-1")</f>
        <v>10.1016/S0164-1212(99)00063-1</v>
      </c>
      <c r="D464" s="7" t="str">
        <f>IFERROR(__xludf.DUMMYFUNCTION("""COMPUTED_VALUE"""),"Morisio M.")</f>
        <v>Morisio M.</v>
      </c>
      <c r="E464" s="7" t="str">
        <f>IFERROR(__xludf.DUMMYFUNCTION("""COMPUTED_VALUE"""),"Measurement processes are software, too")</f>
        <v>Measurement processes are software, too</v>
      </c>
      <c r="F464" s="7" t="str">
        <f>IFERROR(__xludf.DUMMYFUNCTION("""COMPUTED_VALUE"""),"JSS")</f>
        <v>JSS</v>
      </c>
      <c r="G464" s="7" t="str">
        <f>IFERROR(__xludf.DUMMYFUNCTION("""COMPUTED_VALUE"""),"Software process improvement and measurement are closely linked: measures are the only way to prove improvements in a process. Despite this link, and the interest in process improvement, measurement is not widely applied in industrial software production."&amp;" This paper describes a method designed to guide the definition, implementation and operation of measurement processes. The method, which builds upon Fenton's measurement framework and GQM, starts from the point that measuring a software process is in its"&amp;" turn a process in the software process. The three basic ideas of the method are derived from this assumption: the measurement process should reuse and suitably adapt the same phases of the software process: requirements definition, design, implementation"&amp;", etc. A descriptive process model should be the essential starting point of a measurement process. Many concepts and tools which derive from the object oriented approach should be effectively used in the measurement process. An experimental application i"&amp;"n an industrial process has shown that building the process model was the hardest part of the measurement process, and that it has improved the quality of measurement by reducing misunderstandings. Object oriented concepts and tools make it possible to au"&amp;"tomate certain tasks (for instance the definition of the schema of the measurement database) and to improve robustness against changes in the measurement process.")</f>
        <v>Software process improvement and measurement are closely linked: measures are the only way to prove improvements in a process. Despite this link, and the interest in process improvement, measurement is not widely applied in industrial software production. This paper describes a method designed to guide the definition, implementation and operation of measurement processes. The method, which builds upon Fenton's measurement framework and GQM, starts from the point that measuring a software process is in its turn a process in the software process. The three basic ideas of the method are derived from this assumption: the measurement process should reuse and suitably adapt the same phases of the software process: requirements definition, design, implementation, etc. A descriptive process model should be the essential starting point of a measurement process. Many concepts and tools which derive from the object oriented approach should be effectively used in the measurement process. An experimental application in an industrial process has shown that building the process model was the hardest part of the measurement process, and that it has improved the quality of measurement by reducing misunderstandings. Object oriented concepts and tools make it possible to automate certain tasks (for instance the definition of the schema of the measurement database) and to improve robustness against changes in the measurement process.</v>
      </c>
      <c r="H464" s="8"/>
      <c r="I464" s="10" t="b">
        <v>0</v>
      </c>
      <c r="J464" s="10" t="b">
        <v>0</v>
      </c>
      <c r="K464" s="10" t="b">
        <v>0</v>
      </c>
      <c r="L464" s="10" t="b">
        <v>0</v>
      </c>
      <c r="M464" s="10" t="b">
        <v>0</v>
      </c>
      <c r="N464" s="10" t="b">
        <v>0</v>
      </c>
      <c r="O464" s="11" t="b">
        <f t="shared" si="1"/>
        <v>0</v>
      </c>
      <c r="P464" s="16" t="b">
        <v>0</v>
      </c>
      <c r="Q464" s="7"/>
    </row>
    <row r="465">
      <c r="A465" s="5" t="b">
        <v>1</v>
      </c>
      <c r="B465" s="5" t="s">
        <v>506</v>
      </c>
      <c r="C465" s="6" t="str">
        <f>IFERROR(__xludf.DUMMYFUNCTION("""COMPUTED_VALUE"""),"10.1016/j.jss.2005.04.009")</f>
        <v>10.1016/j.jss.2005.04.009</v>
      </c>
      <c r="D465" s="7" t="str">
        <f>IFERROR(__xludf.DUMMYFUNCTION("""COMPUTED_VALUE"""),"Della Penna G.; Intrigila B.; Laurenzi A.R.; Orefice S.")</f>
        <v>Della Penna G.; Intrigila B.; Laurenzi A.R.; Orefice S.</v>
      </c>
      <c r="E465" s="7" t="str">
        <f>IFERROR(__xludf.DUMMYFUNCTION("""COMPUTED_VALUE"""),"An XML environment for scenario based requirements engineering")</f>
        <v>An XML environment for scenario based requirements engineering</v>
      </c>
      <c r="F465" s="7" t="str">
        <f>IFERROR(__xludf.DUMMYFUNCTION("""COMPUTED_VALUE"""),"JSS")</f>
        <v>JSS</v>
      </c>
      <c r="G465" s="7" t="str">
        <f>IFERROR(__xludf.DUMMYFUNCTION("""COMPUTED_VALUE"""),"The pervasive use of scenarios in the development of computer systems and software has motivated the need of formalisms and tools for the description and manipulation of scenarios. To this aim, we present SME (Scenario Model Environment), an XML based too"&amp;"l for scenario-based requirements engineering. The tool enables to exploit the emerging XML technologies in order to offer powerful ways to create, maintain, distribute and use scenarios. We have widely experimented SME through several case studies, rangi"&amp;"ng from small examples, like a library system, to complex industrial applications. © 2005 Elsevier Inc. All rights reserved.")</f>
        <v>The pervasive use of scenarios in the development of computer systems and software has motivated the need of formalisms and tools for the description and manipulation of scenarios. To this aim, we present SME (Scenario Model Environment), an XML based tool for scenario-based requirements engineering. The tool enables to exploit the emerging XML technologies in order to offer powerful ways to create, maintain, distribute and use scenarios. We have widely experimented SME through several case studies, ranging from small examples, like a library system, to complex industrial applications. © 2005 Elsevier Inc. All rights reserved.</v>
      </c>
      <c r="H465" s="8" t="str">
        <f>IFERROR(__xludf.DUMMYFUNCTION("""COMPUTED_VALUE"""),"Requirements engineering; Scenarios; Test model generation; Web interfaces; XML technologies")</f>
        <v>Requirements engineering; Scenarios; Test model generation; Web interfaces; XML technologies</v>
      </c>
      <c r="I465" s="10" t="b">
        <v>0</v>
      </c>
      <c r="J465" s="10" t="b">
        <v>0</v>
      </c>
      <c r="K465" s="10" t="b">
        <v>0</v>
      </c>
      <c r="L465" s="10" t="b">
        <v>0</v>
      </c>
      <c r="M465" s="10" t="b">
        <v>0</v>
      </c>
      <c r="N465" s="10" t="b">
        <v>0</v>
      </c>
      <c r="O465" s="11" t="b">
        <f t="shared" si="1"/>
        <v>0</v>
      </c>
      <c r="P465" s="16" t="b">
        <v>0</v>
      </c>
      <c r="Q465" s="7"/>
    </row>
    <row r="466">
      <c r="A466" s="5" t="b">
        <v>1</v>
      </c>
      <c r="B466" s="5" t="s">
        <v>507</v>
      </c>
      <c r="C466" s="6" t="str">
        <f>IFERROR(__xludf.DUMMYFUNCTION("""COMPUTED_VALUE"""),"10.1016/S0164-1212(99)00114-4")</f>
        <v>10.1016/S0164-1212(99)00114-4</v>
      </c>
      <c r="D466" s="7" t="str">
        <f>IFERROR(__xludf.DUMMYFUNCTION("""COMPUTED_VALUE"""),"Bowden P.; Hargreaves M.; Langensiepen C.S.")</f>
        <v>Bowden P.; Hargreaves M.; Langensiepen C.S.</v>
      </c>
      <c r="E466" s="7" t="str">
        <f>IFERROR(__xludf.DUMMYFUNCTION("""COMPUTED_VALUE"""),"Estimation support by lexical analysis of requirements documents")</f>
        <v>Estimation support by lexical analysis of requirements documents</v>
      </c>
      <c r="F466" s="7" t="str">
        <f>IFERROR(__xludf.DUMMYFUNCTION("""COMPUTED_VALUE"""),"JSS")</f>
        <v>JSS</v>
      </c>
      <c r="G466" s="7" t="str">
        <f>IFERROR(__xludf.DUMMYFUNCTION("""COMPUTED_VALUE"""),"Estimation of the effort required for a software project is difficult. Various means are used, but most rely on some expert assessment of the individual requirements and their implications. A method of supporting this assessment for object-oriented develo"&amp;"pments is described. Lexical analysis of a draft requirements specification can be used to identify individual objects which will translate directly into the final implementation. These object counts can then be used to provide 'first-cut' effort estimate"&amp;"s, using historical information from previous projects. Experiments were conducted on a problem implemented by student project teams. The results show that the untrained domain-independent automated noun and technical term finding programs used were no wo"&amp;"rse than the typical student group in deriving problem-space objects, and that these object counts provided a reasonable indicator to the effort required. Further work in this area is discussed.")</f>
        <v>Estimation of the effort required for a software project is difficult. Various means are used, but most rely on some expert assessment of the individual requirements and their implications. A method of supporting this assessment for object-oriented developments is described. Lexical analysis of a draft requirements specification can be used to identify individual objects which will translate directly into the final implementation. These object counts can then be used to provide 'first-cut' effort estimates, using historical information from previous projects. Experiments were conducted on a problem implemented by student project teams. The results show that the untrained domain-independent automated noun and technical term finding programs used were no worse than the typical student group in deriving problem-space objects, and that these object counts provided a reasonable indicator to the effort required. Further work in this area is discussed.</v>
      </c>
      <c r="H466" s="8"/>
      <c r="I466" s="9" t="b">
        <v>1</v>
      </c>
      <c r="J466" s="9" t="b">
        <v>1</v>
      </c>
      <c r="K466" s="9" t="b">
        <v>1</v>
      </c>
      <c r="L466" s="10" t="b">
        <v>0</v>
      </c>
      <c r="M466" s="10" t="b">
        <v>0</v>
      </c>
      <c r="N466" s="10" t="b">
        <v>0</v>
      </c>
      <c r="O466" s="11" t="b">
        <f t="shared" si="1"/>
        <v>1</v>
      </c>
      <c r="P466" s="16" t="b">
        <v>0</v>
      </c>
      <c r="Q466" s="7"/>
    </row>
    <row r="467">
      <c r="A467" s="5" t="b">
        <v>1</v>
      </c>
      <c r="B467" s="5" t="s">
        <v>508</v>
      </c>
      <c r="C467" s="6" t="str">
        <f>IFERROR(__xludf.DUMMYFUNCTION("""COMPUTED_VALUE"""),"10.1016/j.jss.2006.03.045")</f>
        <v>10.1016/j.jss.2006.03.045</v>
      </c>
      <c r="D467" s="7" t="str">
        <f>IFERROR(__xludf.DUMMYFUNCTION("""COMPUTED_VALUE"""),"Chang H.-P.; Chang R.-I.; Shih W.-K.; Chang R.-C.")</f>
        <v>Chang H.-P.; Chang R.-I.; Shih W.-K.; Chang R.-C.</v>
      </c>
      <c r="E467" s="7" t="str">
        <f>IFERROR(__xludf.DUMMYFUNCTION("""COMPUTED_VALUE"""),"GSR: A global seek-optimizing real-time disk-scheduling algorithm")</f>
        <v>GSR: A global seek-optimizing real-time disk-scheduling algorithm</v>
      </c>
      <c r="F467" s="7" t="str">
        <f>IFERROR(__xludf.DUMMYFUNCTION("""COMPUTED_VALUE"""),"JSS")</f>
        <v>JSS</v>
      </c>
      <c r="G467" s="7" t="str">
        <f>IFERROR(__xludf.DUMMYFUNCTION("""COMPUTED_VALUE"""),"Earliest-deadline-first (EDF) is good for scheduling real-time tasks in order to meet timing constraint. However, it is not good enough for scheduling real-time disk tasks to achieve high disk throughput. In contrast, although SCAN can maximize disk throu"&amp;"ghput, its schedule results may violate real-time requirements. Thus, during the past few years, various approaches were proposed to combine EDF and SCAN (e.g., SCAN-EDF and RG-SCAN) to resolve the real-time disk-scheduling problem. However, in previous s"&amp;"chemes, real-time tasks can only be rescheduled by SCAN within a local group. Such restriction limited the obtained data throughput. In this paper, we proposed a new globally rescheduling scheme for real-time disk scheduling. First, we formulate the relat"&amp;"ions between the EDF schedule and the SCAN schedule of input tasks as EDF-to-SCAN mapping (ESM). Then, on the basis of ESM, we propose a new real-time disk-scheduling algorithm: globally seek-optimizing rescheduling (GSR) scheme. Different from previous a"&amp;"pproaches, a task in GSR may be rescheduled to anywhere in the input schedule to optimize data throughput. Owing to such a globally rescheduling characteristic, GSR obtains a higher disk throughput than previous approaches. Furthermore, we also extend the"&amp;" GSR to serve fairly non-real-time tasks. Experiments show that given 15 real-time tasks, our data throughput is 1.1 times that of RG-SCAN. In addition, in a mixed workload, compared with RG-SCAN, our GSR achieves over 7% improvement in data throughput an"&amp;"d 33% improvement in average response time. © 2006 Elsevier Inc. All rights reserved.")</f>
        <v>Earliest-deadline-first (EDF) is good for scheduling real-time tasks in order to meet timing constraint. However, it is not good enough for scheduling real-time disk tasks to achieve high disk throughput. In contrast, although SCAN can maximize disk throughput, its schedule results may violate real-time requirements. Thus, during the past few years, various approaches were proposed to combine EDF and SCAN (e.g., SCAN-EDF and RG-SCAN) to resolve the real-time disk-scheduling problem. However, in previous schemes, real-time tasks can only be rescheduled by SCAN within a local group. Such restriction limited the obtained data throughput. In this paper, we proposed a new globally rescheduling scheme for real-time disk scheduling. First, we formulate the relations between the EDF schedule and the SCAN schedule of input tasks as EDF-to-SCAN mapping (ESM). Then, on the basis of ESM, we propose a new real-time disk-scheduling algorithm: globally seek-optimizing rescheduling (GSR) scheme. Different from previous approaches, a task in GSR may be rescheduled to anywhere in the input schedule to optimize data throughput. Owing to such a globally rescheduling characteristic, GSR obtains a higher disk throughput than previous approaches. Furthermore, we also extend the GSR to serve fairly non-real-time tasks. Experiments show that given 15 real-time tasks, our data throughput is 1.1 times that of RG-SCAN. In addition, in a mixed workload, compared with RG-SCAN, our GSR achieves over 7% improvement in data throughput and 33% improvement in average response time. © 2006 Elsevier Inc. All rights reserved.</v>
      </c>
      <c r="H467" s="8" t="str">
        <f>IFERROR(__xludf.DUMMYFUNCTION("""COMPUTED_VALUE"""),"Disk scheduling; Operating systems; Real-time disk scheduling")</f>
        <v>Disk scheduling; Operating systems; Real-time disk scheduling</v>
      </c>
      <c r="I467" s="10" t="b">
        <v>0</v>
      </c>
      <c r="J467" s="10" t="b">
        <v>0</v>
      </c>
      <c r="K467" s="10" t="b">
        <v>0</v>
      </c>
      <c r="L467" s="10" t="b">
        <v>0</v>
      </c>
      <c r="M467" s="10" t="b">
        <v>0</v>
      </c>
      <c r="N467" s="10" t="b">
        <v>0</v>
      </c>
      <c r="O467" s="11" t="b">
        <f t="shared" si="1"/>
        <v>0</v>
      </c>
      <c r="P467" s="16" t="b">
        <v>0</v>
      </c>
      <c r="Q467" s="7"/>
    </row>
    <row r="468">
      <c r="A468" s="5" t="b">
        <v>1</v>
      </c>
      <c r="B468" s="5" t="s">
        <v>509</v>
      </c>
      <c r="C468" s="6" t="str">
        <f>IFERROR(__xludf.DUMMYFUNCTION("""COMPUTED_VALUE"""),"10.1016/S0164-1212(01)00105-4")</f>
        <v>10.1016/S0164-1212(01)00105-4</v>
      </c>
      <c r="D468" s="7" t="str">
        <f>IFERROR(__xludf.DUMMYFUNCTION("""COMPUTED_VALUE"""),"Park S.; Kim H.-J.")</f>
        <v>Park S.; Kim H.-J.</v>
      </c>
      <c r="E468" s="7" t="str">
        <f>IFERROR(__xludf.DUMMYFUNCTION("""COMPUTED_VALUE"""),"SigDAQ: An enhanced XML query optimization technique")</f>
        <v>SigDAQ: An enhanced XML query optimization technique</v>
      </c>
      <c r="F468" s="7" t="str">
        <f>IFERROR(__xludf.DUMMYFUNCTION("""COMPUTED_VALUE"""),"JSS")</f>
        <v>JSS</v>
      </c>
      <c r="G468" s="7" t="str">
        <f>IFERROR(__xludf.DUMMYFUNCTION("""COMPUTED_VALUE"""),"XML is an emerging standard for data representation and exchange on the Web. XML is represented as a tree and the query as a regular path expression (RPE). The query is evaluated by traversing each node of the tree. Several indexes are proposed for RPEs f"&amp;"or fast retrieval. In some cases these indexes may not cover all possible paths because of storage requirements. In this paper, we propose a signature-based query optimization technique to minimize the number of nodes retrieved from the database when the "&amp;"indexes cannot be used. The signature is a hint attached to each node, and is used to prune unnecessary sub-trees as early as possible when traversing nodes. For this goal, we propose the SigDAQ which is a signature-based DOM (s-DOM) as a storage model an"&amp;"d a signature-based query executor (s-NFA). Our experimental results show that the signature method outperforms the original. © 2002 Elsevier Science Inc. All rights reserved.")</f>
        <v>XML is an emerging standard for data representation and exchange on the Web. XML is represented as a tree and the query as a regular path expression (RPE). The query is evaluated by traversing each node of the tree. Several indexes are proposed for RPEs for fast retrieval. In some cases these indexes may not cover all possible paths because of storage requirements. In this paper, we propose a signature-based query optimization technique to minimize the number of nodes retrieved from the database when the indexes cannot be used. The signature is a hint attached to each node, and is used to prune unnecessary sub-trees as early as possible when traversing nodes. For this goal, we propose the SigDAQ which is a signature-based DOM (s-DOM) as a storage model and a signature-based query executor (s-NFA). Our experimental results show that the signature method outperforms the original. © 2002 Elsevier Science Inc. All rights reserved.</v>
      </c>
      <c r="H468" s="8"/>
      <c r="I468" s="10" t="b">
        <v>0</v>
      </c>
      <c r="J468" s="10" t="b">
        <v>0</v>
      </c>
      <c r="K468" s="10" t="b">
        <v>0</v>
      </c>
      <c r="L468" s="10" t="b">
        <v>0</v>
      </c>
      <c r="M468" s="10" t="b">
        <v>0</v>
      </c>
      <c r="N468" s="10" t="b">
        <v>0</v>
      </c>
      <c r="O468" s="11" t="b">
        <f t="shared" si="1"/>
        <v>0</v>
      </c>
      <c r="P468" s="16" t="b">
        <v>0</v>
      </c>
      <c r="Q468" s="7"/>
    </row>
    <row r="469">
      <c r="A469" s="5" t="b">
        <v>1</v>
      </c>
      <c r="B469" s="5" t="s">
        <v>510</v>
      </c>
      <c r="C469" s="6" t="str">
        <f>IFERROR(__xludf.DUMMYFUNCTION("""COMPUTED_VALUE"""),"10.1016/S0164-1212(03)00004-9")</f>
        <v>10.1016/S0164-1212(03)00004-9</v>
      </c>
      <c r="D469" s="7" t="str">
        <f>IFERROR(__xludf.DUMMYFUNCTION("""COMPUTED_VALUE"""),"Blundo C.; D'Arco P.; De Santis A.; Galdi C.")</f>
        <v>Blundo C.; D'Arco P.; De Santis A.; Galdi C.</v>
      </c>
      <c r="E469" s="7" t="str">
        <f>IFERROR(__xludf.DUMMYFUNCTION("""COMPUTED_VALUE"""),"Hyppocrates: A new proactive password checker")</f>
        <v>Hyppocrates: A new proactive password checker</v>
      </c>
      <c r="F469" s="7" t="str">
        <f>IFERROR(__xludf.DUMMYFUNCTION("""COMPUTED_VALUE"""),"JSS")</f>
        <v>JSS</v>
      </c>
      <c r="G469" s="7" t="str">
        <f>IFERROR(__xludf.DUMMYFUNCTION("""COMPUTED_VALUE"""),"In this paper, we propose a new proactive password checker, a program which prevents the choice of easy-to-guess passwords. The checker uses a decision tree, constructed applying the minimum description length principle and a pessimistic pruning technique"&amp;". Experimental results show a substantial improvement in performance of this checker compared to previous proposals. Moreover, the whole software package we provide has a user-friendly interface, enabling the system administrator to configure an ad hoc pa"&amp;"ssword proactive checker, in order to satisfy certain policy requirements. © 2003 Elsevier Inc. All rights reserved.")</f>
        <v>In this paper, we propose a new proactive password checker, a program which prevents the choice of easy-to-guess passwords. The checker uses a decision tree, constructed applying the minimum description length principle and a pessimistic pruning technique. Experimental results show a substantial improvement in performance of this checker compared to previous proposals. Moreover, the whole software package we provide has a user-friendly interface, enabling the system administrator to configure an ad hoc password proactive checker, in order to satisfy certain policy requirements. © 2003 Elsevier Inc. All rights reserved.</v>
      </c>
      <c r="H469" s="8" t="str">
        <f>IFERROR(__xludf.DUMMYFUNCTION("""COMPUTED_VALUE"""),"Proactive password checking; Tools for computer security")</f>
        <v>Proactive password checking; Tools for computer security</v>
      </c>
      <c r="I469" s="10" t="b">
        <v>0</v>
      </c>
      <c r="J469" s="10" t="b">
        <v>0</v>
      </c>
      <c r="K469" s="10" t="b">
        <v>0</v>
      </c>
      <c r="L469" s="10" t="b">
        <v>0</v>
      </c>
      <c r="M469" s="10" t="b">
        <v>0</v>
      </c>
      <c r="N469" s="10" t="b">
        <v>0</v>
      </c>
      <c r="O469" s="11" t="b">
        <f t="shared" si="1"/>
        <v>0</v>
      </c>
      <c r="P469" s="16" t="b">
        <v>0</v>
      </c>
      <c r="Q469" s="7"/>
    </row>
    <row r="470">
      <c r="A470" s="5" t="b">
        <v>1</v>
      </c>
      <c r="B470" s="5" t="s">
        <v>511</v>
      </c>
      <c r="C470" s="6" t="str">
        <f>IFERROR(__xludf.DUMMYFUNCTION("""COMPUTED_VALUE"""),"10.1016/0164-1212(94)00081-W")</f>
        <v>10.1016/0164-1212(94)00081-W</v>
      </c>
      <c r="D470" s="7" t="str">
        <f>IFERROR(__xludf.DUMMYFUNCTION("""COMPUTED_VALUE"""),"Takahashi K.; Oka A.; Yamamoto S.; Isoda S.")</f>
        <v>Takahashi K.; Oka A.; Yamamoto S.; Isoda S.</v>
      </c>
      <c r="E470" s="7" t="str">
        <f>IFERROR(__xludf.DUMMYFUNCTION("""COMPUTED_VALUE"""),"A comparative study of structured and text-oriented analysis and design methodologies")</f>
        <v>A comparative study of structured and text-oriented analysis and design methodologies</v>
      </c>
      <c r="F470" s="7" t="str">
        <f>IFERROR(__xludf.DUMMYFUNCTION("""COMPUTED_VALUE"""),"JSS")</f>
        <v>JSS</v>
      </c>
      <c r="G470" s="7" t="str">
        <f>IFERROR(__xludf.DUMMYFUNCTION("""COMPUTED_VALUE"""),"Two experiments were conducted to compare the structured analysis and design (SA/SD) methodology with the conventional text-oriented analysis and design method. Two subject groups were involved in the experiments: one used the SA/SD methodology with a CAS"&amp;"E environment, and the other used the text-oriented method without a CASE environment. In the first experiment, subjects were asked to perform the following three tasks - understand requirement specifications, detect specification errors, and identify cha"&amp;"nge influences - to compare the effectiveness of the two methods for these tasks. The experiment showed that subjects using SA documents scored higher for data definition and interface, but they were prone to fail to understand specifications when relevan"&amp;"t constituents were distributed over the documents. In the second experiment, to compare the effectiveness and reliability of the two methods for performing analysis and design, the two subject groups analyzed and designed a small transaction system. This"&amp;" experiment showed that the SA/SD method supported by a CASE environment is more efficient and reliable than the text-oriented method: the SA/SD method allows the subjects to formally specify more detailed requirements with the same effort, and produce le"&amp;"ss-error-prone requirements specification and module design documents. © 1995.")</f>
        <v>Two experiments were conducted to compare the structured analysis and design (SA/SD) methodology with the conventional text-oriented analysis and design method. Two subject groups were involved in the experiments: one used the SA/SD methodology with a CASE environment, and the other used the text-oriented method without a CASE environment. In the first experiment, subjects were asked to perform the following three tasks - understand requirement specifications, detect specification errors, and identify change influences - to compare the effectiveness of the two methods for these tasks. The experiment showed that subjects using SA documents scored higher for data definition and interface, but they were prone to fail to understand specifications when relevant constituents were distributed over the documents. In the second experiment, to compare the effectiveness and reliability of the two methods for performing analysis and design, the two subject groups analyzed and designed a small transaction system. This experiment showed that the SA/SD method supported by a CASE environment is more efficient and reliable than the text-oriented method: the SA/SD method allows the subjects to formally specify more detailed requirements with the same effort, and produce less-error-prone requirements specification and module design documents. © 1995.</v>
      </c>
      <c r="H470" s="8"/>
      <c r="I470" s="9" t="b">
        <v>1</v>
      </c>
      <c r="J470" s="9" t="b">
        <v>1</v>
      </c>
      <c r="K470" s="9" t="b">
        <v>1</v>
      </c>
      <c r="L470" s="10" t="b">
        <v>0</v>
      </c>
      <c r="M470" s="10" t="b">
        <v>0</v>
      </c>
      <c r="N470" s="10" t="b">
        <v>0</v>
      </c>
      <c r="O470" s="11" t="b">
        <f t="shared" si="1"/>
        <v>1</v>
      </c>
      <c r="P470" s="16" t="b">
        <v>0</v>
      </c>
      <c r="Q470" s="13" t="s">
        <v>512</v>
      </c>
    </row>
    <row r="471">
      <c r="A471" s="5" t="b">
        <v>1</v>
      </c>
      <c r="B471" s="5" t="s">
        <v>513</v>
      </c>
      <c r="C471" s="6" t="str">
        <f>IFERROR(__xludf.DUMMYFUNCTION("""COMPUTED_VALUE"""),"10.1016/j.jss.2007.07.031")</f>
        <v>10.1016/j.jss.2007.07.031</v>
      </c>
      <c r="D471" s="7" t="str">
        <f>IFERROR(__xludf.DUMMYFUNCTION("""COMPUTED_VALUE"""),"Sangwan R.; Neill C.; Bass M.; El Houda Z.")</f>
        <v>Sangwan R.; Neill C.; Bass M.; El Houda Z.</v>
      </c>
      <c r="E471" s="7" t="str">
        <f>IFERROR(__xludf.DUMMYFUNCTION("""COMPUTED_VALUE"""),"Integrating a software architecture-centric method into object-oriented analysis and design")</f>
        <v>Integrating a software architecture-centric method into object-oriented analysis and design</v>
      </c>
      <c r="F471" s="7" t="str">
        <f>IFERROR(__xludf.DUMMYFUNCTION("""COMPUTED_VALUE"""),"JSS")</f>
        <v>JSS</v>
      </c>
      <c r="G471" s="7" t="str">
        <f>IFERROR(__xludf.DUMMYFUNCTION("""COMPUTED_VALUE"""),"The choice of methodology for the development of the architecture for software systems has a direct effect on the suitability of that architecture. If the development process is driven by the user's functional requirements, we would expect the architectur"&amp;"e to appropriately reflect those requirements. We would also expect other aspects not captured in the functional specification to be absent from the architecture. The same phenomenon is true in development approaches that stress the importance of systemic"&amp;" quality attributes or other non-functional requirements; those requirements are prominent in the resulting architecture, while other requirement types not stressed by the approach are absent. In other words, the final architecture reflects the focus of t"&amp;"he development approach. An ideal approach, therefore, is one that incorporates all goals, expectations, and requirements: both business and technical. To accomplish this we have incorporated, into a single architectural development process, generalized O"&amp;"bject-Oriented Analysis and Design (OOAD) methodologies with the software architecture-centric method, the Quality Attribute Workshop (QAW) and Attribute Driven Design (ADD). OOAD, while relatively intuitive, focuses heavily on functional requirements and"&amp;" has the benefit of semantic closeness to the problem domain making it an intuitive process with comprehendible results. Architecture-centric approaches, on the other hand, provide explicit and methodical guidance to an architect in creating systems with "&amp;"desirable qualities and goals. They provide minimal guidance in determining fine-grained architecture, however. The integrated approach described in this paper maximizes the benefits of the respective processes while eliminating their flaws and was applie"&amp;"d in a eight university, global development research project with great success. A case study from that experiment is included here to demonstrate the method. © 2007 Elsevier Inc. All rights reserved.")</f>
        <v>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 2007 Elsevier Inc. All rights reserved.</v>
      </c>
      <c r="H471" s="8" t="str">
        <f>IFERROR(__xludf.DUMMYFUNCTION("""COMPUTED_VALUE"""),"Attribute Driven Design (ADD); Object-Oriented Analysis and Design (OOAD); Quality Attribute Workshop (QAW); Software architecture-centric methods")</f>
        <v>Attribute Driven Design (ADD); Object-Oriented Analysis and Design (OOAD); Quality Attribute Workshop (QAW); Software architecture-centric methods</v>
      </c>
      <c r="I471" s="10" t="b">
        <v>0</v>
      </c>
      <c r="J471" s="10" t="b">
        <v>0</v>
      </c>
      <c r="K471" s="10" t="b">
        <v>0</v>
      </c>
      <c r="L471" s="10" t="b">
        <v>0</v>
      </c>
      <c r="M471" s="10" t="b">
        <v>0</v>
      </c>
      <c r="N471" s="10" t="b">
        <v>0</v>
      </c>
      <c r="O471" s="11" t="b">
        <f t="shared" si="1"/>
        <v>0</v>
      </c>
      <c r="P471" s="16" t="b">
        <v>0</v>
      </c>
      <c r="Q471" s="7"/>
    </row>
    <row r="472">
      <c r="A472" s="5" t="b">
        <v>1</v>
      </c>
      <c r="B472" s="5" t="s">
        <v>514</v>
      </c>
      <c r="C472" s="6" t="str">
        <f>IFERROR(__xludf.DUMMYFUNCTION("""COMPUTED_VALUE"""),"10.1016/j.jss.2007.07.036")</f>
        <v>10.1016/j.jss.2007.07.036</v>
      </c>
      <c r="D472" s="7" t="str">
        <f>IFERROR(__xludf.DUMMYFUNCTION("""COMPUTED_VALUE"""),"Chang C.-C.; Lin P.-Y.")</f>
        <v>Chang C.-C.; Lin P.-Y.</v>
      </c>
      <c r="E472" s="7" t="str">
        <f>IFERROR(__xludf.DUMMYFUNCTION("""COMPUTED_VALUE"""),"Adaptive watermark mechanism for rightful ownership protection")</f>
        <v>Adaptive watermark mechanism for rightful ownership protection</v>
      </c>
      <c r="F472" s="7" t="str">
        <f>IFERROR(__xludf.DUMMYFUNCTION("""COMPUTED_VALUE"""),"JSS")</f>
        <v>JSS</v>
      </c>
      <c r="G472" s="7" t="str">
        <f>IFERROR(__xludf.DUMMYFUNCTION("""COMPUTED_VALUE"""),"Watermarking is used to protect the integrity and copyright of images. Conventional copyright protection mechanisms; however, are not robust enough or require complex computations to embed the watermark into the host image. In this article, we propose an "&amp;"adaptive copyright protection scheme without the use of discrete cosine transformation (DCT) and discrete wavelet transformation (DWT). This novel approach allows image owners to adjust the strength of watermarks through a threshold, so that the robustnes"&amp;"s of the watermark can be enhanced. Moreover, our scheme can resist various signal processing operations (such as blurring, JPEG compression, and noising) and geometric transformations (such as cropping, rotation, and scaling). The experimental results sh"&amp;"ow that our scheme outperforms related works in most cases. Specifically, our scheme preserves the data lossless requirement, so it is suitable for medical and artistic images. © 2007 Elsevier Inc. All rights reserved.")</f>
        <v>Watermarking is used to protect the integrity and copyright of images. Conventional copyright protection mechanisms; however, are not robust enough or require complex computations to embed the watermark into the host image. In this article, we propose an adaptive copyright protection scheme without the use of discrete cosine transformation (DCT) and discrete wavelet transformation (DWT). This novel approach allows image owners to adjust the strength of watermarks through a threshold, so that the robustness of the watermark can be enhanced. Moreover, our scheme can resist various signal processing operations (such as blurring, JPEG compression, and noising) and geometric transformations (such as cropping, rotation, and scaling). The experimental results show that our scheme outperforms related works in most cases. Specifically, our scheme preserves the data lossless requirement, so it is suitable for medical and artistic images. © 2007 Elsevier Inc. All rights reserved.</v>
      </c>
      <c r="H472" s="8" t="str">
        <f>IFERROR(__xludf.DUMMYFUNCTION("""COMPUTED_VALUE"""),"Copyright protection; Digital signature; Digital watermarking; Lossless images; Sobel; Torus automorphism")</f>
        <v>Copyright protection; Digital signature; Digital watermarking; Lossless images; Sobel; Torus automorphism</v>
      </c>
      <c r="I472" s="10" t="b">
        <v>0</v>
      </c>
      <c r="J472" s="10" t="b">
        <v>0</v>
      </c>
      <c r="K472" s="10" t="b">
        <v>0</v>
      </c>
      <c r="L472" s="10" t="b">
        <v>0</v>
      </c>
      <c r="M472" s="10" t="b">
        <v>0</v>
      </c>
      <c r="N472" s="10" t="b">
        <v>0</v>
      </c>
      <c r="O472" s="11" t="b">
        <f t="shared" si="1"/>
        <v>0</v>
      </c>
      <c r="P472" s="16" t="b">
        <v>0</v>
      </c>
      <c r="Q472" s="7"/>
    </row>
    <row r="473">
      <c r="A473" s="5" t="b">
        <v>1</v>
      </c>
      <c r="B473" s="5" t="s">
        <v>515</v>
      </c>
      <c r="C473" s="6" t="str">
        <f>IFERROR(__xludf.DUMMYFUNCTION("""COMPUTED_VALUE"""),"10.1016/0164-1212(90)90097-6")</f>
        <v>10.1016/0164-1212(90)90097-6</v>
      </c>
      <c r="D473" s="7" t="str">
        <f>IFERROR(__xludf.DUMMYFUNCTION("""COMPUTED_VALUE"""),"Aguilera C.; Berry D.M.")</f>
        <v>Aguilera C.; Berry D.M.</v>
      </c>
      <c r="E473" s="7" t="str">
        <f>IFERROR(__xludf.DUMMYFUNCTION("""COMPUTED_VALUE"""),"The use of a repeated phrase finder in requirements extraction")</f>
        <v>The use of a repeated phrase finder in requirements extraction</v>
      </c>
      <c r="F473" s="7" t="str">
        <f>IFERROR(__xludf.DUMMYFUNCTION("""COMPUTED_VALUE"""),"JSS")</f>
        <v>JSS</v>
      </c>
      <c r="G473" s="7" t="str">
        <f>IFERROR(__xludf.DUMMYFUNCTION("""COMPUTED_VALUE"""),"A program, findphrases, for finding repeated phrases in an arbitrary text is presented. Its primary intended application is finding the abstractions in problem descriptions. It is hoped that this tool can be used as the basis for an environment to help or"&amp;"ganize the sentences and phrases of a natural language problem description to aid the requirements analyst in the extraction of requirements. Four experiments to confirm its effectiveness are described. These experiments show that the same abstractions ar"&amp;"e found by the tool in the natural language description, the final executable program, and in various versions in between. © 1990.")</f>
        <v>A program, findphrases, for finding repeated phrases in an arbitrary text is presented. Its primary intended application is finding the abstractions in problem descriptions. It is hoped that this tool can be used as the basis for an environment to help organize the sentences and phrases of a natural language problem description to aid the requirements analyst in the extraction of requirements. Four experiments to confirm its effectiveness are described. These experiments show that the same abstractions are found by the tool in the natural language description, the final executable program, and in various versions in between. © 1990.</v>
      </c>
      <c r="H473" s="8"/>
      <c r="I473" s="10" t="b">
        <v>0</v>
      </c>
      <c r="J473" s="10" t="b">
        <v>0</v>
      </c>
      <c r="K473" s="10" t="b">
        <v>0</v>
      </c>
      <c r="L473" s="10" t="b">
        <v>0</v>
      </c>
      <c r="M473" s="10" t="b">
        <v>0</v>
      </c>
      <c r="N473" s="10" t="b">
        <v>0</v>
      </c>
      <c r="O473" s="11" t="b">
        <f t="shared" si="1"/>
        <v>0</v>
      </c>
      <c r="P473" s="16" t="b">
        <v>0</v>
      </c>
      <c r="Q473" s="7"/>
    </row>
    <row r="474">
      <c r="A474" s="5" t="b">
        <v>1</v>
      </c>
      <c r="B474" s="5" t="s">
        <v>516</v>
      </c>
      <c r="C474" s="6" t="str">
        <f>IFERROR(__xludf.DUMMYFUNCTION("""COMPUTED_VALUE"""),"10.1016/0164-1212(96)00024-6")</f>
        <v>10.1016/0164-1212(96)00024-6</v>
      </c>
      <c r="D474" s="7" t="str">
        <f>IFERROR(__xludf.DUMMYFUNCTION("""COMPUTED_VALUE"""),"Carver R.H.")</f>
        <v>Carver R.H.</v>
      </c>
      <c r="E474" s="7" t="str">
        <f>IFERROR(__xludf.DUMMYFUNCTION("""COMPUTED_VALUE"""),"Testing abstract distributed programs and their implementations: A constraint-based approach")</f>
        <v>Testing abstract distributed programs and their implementations: A constraint-based approach</v>
      </c>
      <c r="F474" s="7" t="str">
        <f>IFERROR(__xludf.DUMMYFUNCTION("""COMPUTED_VALUE"""),"JSS")</f>
        <v>JSS</v>
      </c>
      <c r="G474" s="7" t="str">
        <f>IFERROR(__xludf.DUMMYFUNCTION("""COMPUTED_VALUE"""),"An abstract program is a formal specification that models the valid behavior of a concurrent program without describing particular implementation mechanisms that achieve this behavior. Valid behavior can be modeled as the possible sequences of events that"&amp;" may be observed of a conforming concrete implementation of the abstract program. In this article, we address the problem of how to select event sequences from an abstract program to test its concrete implementation. Sequencing constraints make explicit c"&amp;"ertain types of required properties that are expressed only implicitly by the abstract program itself. The sequencing constraints derived from an abstract program can be used to guide the selection of event sequences during testing: sequences are selected"&amp;" to check the implementation for conformance to the required properties. We describe a constraint notation called CSPE and formally define CSPE constraints in the prepositional modal μ-calculus. CSPE constraints can be automatically derived from abstract "&amp;"CCS and Lotos programs, and test sequences can be generated to cover the constraints. We describe a test sequence generation tool that can be used to partially automate this process. The test sequence generator inputs an abstract program and a list of con"&amp;"straints, and outputs a list of test sequences. The test sequence generator was used in an experiment to measure the effectiveness of the test sequences. We created mutations of a nontrivial concurrent Ada program in order to determine the mutation adequa"&amp;"cy of a set of test sequences generated from an abstract program. The abstract program was a specification of the Sliding Window Protocol. The results of the experiment are reported.")</f>
        <v>An abstract program is a formal specification that models the valid behavior of a concurrent program without describing particular implementation mechanisms that achieve this behavior. Valid behavior can be modeled as the possible sequences of events that may be observed of a conforming concrete implementation of the abstract program. In this article, we address the problem of how to select event sequences from an abstract program to test its concrete implementation. Sequencing constraints make explicit certain types of required properties that are expressed only implicitly by the abstract program itself. The sequencing constraints derived from an abstract program can be used to guide the selection of event sequences during testing: sequences are selected to check the implementation for conformance to the required properties. We describe a constraint notation called CSPE and formally define CSPE constraints in the prepositional modal μ-calculus. CSPE constraints can be automatically derived from abstract CCS and Lotos programs, and test sequences can be generated to cover the constraints. We describe a test sequence generation tool that can be used to partially automate this process. The test sequence generator inputs an abstract program and a list of constraints, and outputs a list of test sequences. The test sequence generator was used in an experiment to measure the effectiveness of the test sequences. We created mutations of a nontrivial concurrent Ada program in order to determine the mutation adequacy of a set of test sequences generated from an abstract program. The abstract program was a specification of the Sliding Window Protocol. The results of the experiment are reported.</v>
      </c>
      <c r="H474" s="8"/>
      <c r="I474" s="10" t="b">
        <v>0</v>
      </c>
      <c r="J474" s="10" t="b">
        <v>0</v>
      </c>
      <c r="K474" s="10" t="b">
        <v>0</v>
      </c>
      <c r="L474" s="10" t="b">
        <v>0</v>
      </c>
      <c r="M474" s="10" t="b">
        <v>0</v>
      </c>
      <c r="N474" s="10" t="b">
        <v>0</v>
      </c>
      <c r="O474" s="11" t="b">
        <f t="shared" si="1"/>
        <v>0</v>
      </c>
      <c r="P474" s="16" t="b">
        <v>0</v>
      </c>
      <c r="Q474" s="7"/>
    </row>
    <row r="475">
      <c r="A475" s="5" t="b">
        <v>1</v>
      </c>
      <c r="B475" s="5" t="s">
        <v>517</v>
      </c>
      <c r="C475" s="6" t="str">
        <f>IFERROR(__xludf.DUMMYFUNCTION("""COMPUTED_VALUE"""),"10.1016/S0164-1212(03)00242-5")</f>
        <v>10.1016/S0164-1212(03)00242-5</v>
      </c>
      <c r="D475" s="7" t="str">
        <f>IFERROR(__xludf.DUMMYFUNCTION("""COMPUTED_VALUE"""),"Spanoudakis G.; Zisman A.; Pérez-Miñana E.; Krause P.")</f>
        <v>Spanoudakis G.; Zisman A.; Pérez-Miñana E.; Krause P.</v>
      </c>
      <c r="E475" s="7" t="str">
        <f>IFERROR(__xludf.DUMMYFUNCTION("""COMPUTED_VALUE"""),"Rule-based generation of requirements traceability relations")</f>
        <v>Rule-based generation of requirements traceability relations</v>
      </c>
      <c r="F475" s="7" t="str">
        <f>IFERROR(__xludf.DUMMYFUNCTION("""COMPUTED_VALUE"""),"JSS")</f>
        <v>JSS</v>
      </c>
      <c r="G475" s="7" t="str">
        <f>IFERROR(__xludf.DUMMYFUNCTION("""COMPUTED_VALUE"""),"The support for traceability between requirement specifications has been recognised as an important task in the development life cycle of software systems. In this paper, we present a rule-based approach to support the automatic generation of traceability"&amp;" relations between documents which specify requirement statements and use cases (expressed in structured forms of natural language), and analysis object models for software systems. The generation of such relations is based on traceability rules of two di"&amp;"fferent types. More specifically, we use requirement-to-object-model rules to trace the requirements and use case specification documents to an analysis object model, and inter-requirements traceability rules to trace requirement and use case specificatio"&amp;"n documents to each other. By deploying such rules, our approach can generate four different types of traceability relations. To implement and demonstrate our approach, we have implemented a traceability prototype system. This system assumes requirement a"&amp;"nd use case specification documents and analysis object models represented in XML. It also uses traceability rules which are represented in an XML-based rule mark-up language that we have developed for this purpose. This XML-based representation framework"&amp;" makes it easier to deploy our prototype in settings characterised by the use of heterogeneous software engineering and requirements management tools. The developed prototype has been used in a series of experiments that we have conducted to evaluate our "&amp;"approach. The results of these experiments have provided encouraging initial evidence about the plausibility of our approach and are discussed in the paper. © 2003 Elsevier Inc. All rights reserved.")</f>
        <v>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 2003 Elsevier Inc. All rights reserved.</v>
      </c>
      <c r="H475" s="8" t="str">
        <f>IFERROR(__xludf.DUMMYFUNCTION("""COMPUTED_VALUE"""),"Natural language processing; Requirement traceability; Rule-based traceability reasoning")</f>
        <v>Natural language processing; Requirement traceability; Rule-based traceability reasoning</v>
      </c>
      <c r="I475" s="10" t="b">
        <v>0</v>
      </c>
      <c r="J475" s="10" t="b">
        <v>0</v>
      </c>
      <c r="K475" s="10" t="b">
        <v>0</v>
      </c>
      <c r="L475" s="10" t="b">
        <v>0</v>
      </c>
      <c r="M475" s="10" t="b">
        <v>0</v>
      </c>
      <c r="N475" s="10" t="b">
        <v>0</v>
      </c>
      <c r="O475" s="11" t="b">
        <f t="shared" si="1"/>
        <v>0</v>
      </c>
      <c r="P475" s="16" t="b">
        <v>0</v>
      </c>
      <c r="Q475" s="7"/>
    </row>
    <row r="476">
      <c r="A476" s="5" t="b">
        <v>1</v>
      </c>
      <c r="B476" s="5" t="s">
        <v>518</v>
      </c>
      <c r="C476" s="6" t="str">
        <f>IFERROR(__xludf.DUMMYFUNCTION("""COMPUTED_VALUE"""),"10.1016/S0164-1212(00)00049-2")</f>
        <v>10.1016/S0164-1212(00)00049-2</v>
      </c>
      <c r="D476" s="7" t="str">
        <f>IFERROR(__xludf.DUMMYFUNCTION("""COMPUTED_VALUE"""),"Moynihan T.")</f>
        <v>Moynihan T.</v>
      </c>
      <c r="E476" s="7" t="str">
        <f>IFERROR(__xludf.DUMMYFUNCTION("""COMPUTED_VALUE"""),"Coping with 'requirements-uncertainty': the theories-of-action of experienced IS/software project managers")</f>
        <v>Coping with 'requirements-uncertainty': the theories-of-action of experienced IS/software project managers</v>
      </c>
      <c r="F476" s="7" t="str">
        <f>IFERROR(__xludf.DUMMYFUNCTION("""COMPUTED_VALUE"""),"JSS")</f>
        <v>JSS</v>
      </c>
      <c r="G476" s="7" t="str">
        <f>IFERROR(__xludf.DUMMYFUNCTION("""COMPUTED_VALUE"""),"The notion of 'requirements-uncertainty' has received a lot of attention in the Information Systems (IS) and Software Engineering literature. As the level of uncertainty of user-requirements increases, this literature advises project managers to move away"&amp;" from the traditional waterfall life-cycle model and towards more 'experimental' approaches, such as incremental-delivery and prototyping. But there is evidence from empirical research to show that this advice is not always followed. So, it seems that man"&amp;"aging requirements-uncertainty may be a more complicated matter. In this paper, I identify the strategies that experienced IS project managers espouse for coping with requirements-uncertainty. I show that project managers espouse different strategies for "&amp;"coping with different aspects of requirements-uncertainty. I also show that project managers view prototyping and incremental development as 'broad-spectrum' strategies that are salient for coping with a wide range of project risk-drivers, including aspec"&amp;"ts of requirements-uncertainty. Finally, I conjecture that the notion of 'requirements-uncertainty' may have been over-abstracted in the literature.")</f>
        <v>The notion of 'requirements-uncertainty' has received a lot of attention in the Information Systems (IS) and Software Engineering literature. As the level of uncertainty of user-requirements increases, this literature advises project managers to move away from the traditional waterfall life-cycle model and towards more 'experimental' approaches, such as incremental-delivery and prototyping. But there is evidence from empirical research to show that this advice is not always followed. So, it seems that managing requirements-uncertainty may be a more complicated matter. In this paper, I identify the strategies that experienced IS project managers espouse for coping with requirements-uncertainty. I show that project managers espouse different strategies for coping with different aspects of requirements-uncertainty. I also show that project managers view prototyping and incremental development as 'broad-spectrum' strategies that are salient for coping with a wide range of project risk-drivers, including aspects of requirements-uncertainty. Finally, I conjecture that the notion of 'requirements-uncertainty' may have been over-abstracted in the literature.</v>
      </c>
      <c r="H476" s="8"/>
      <c r="I476" s="10" t="b">
        <v>0</v>
      </c>
      <c r="J476" s="10" t="b">
        <v>0</v>
      </c>
      <c r="K476" s="10" t="b">
        <v>0</v>
      </c>
      <c r="L476" s="10" t="b">
        <v>0</v>
      </c>
      <c r="M476" s="10" t="b">
        <v>0</v>
      </c>
      <c r="N476" s="10" t="b">
        <v>0</v>
      </c>
      <c r="O476" s="11" t="b">
        <f t="shared" si="1"/>
        <v>0</v>
      </c>
      <c r="P476" s="16" t="b">
        <v>0</v>
      </c>
      <c r="Q476" s="7"/>
    </row>
    <row r="477">
      <c r="A477" s="5" t="b">
        <v>1</v>
      </c>
      <c r="B477" s="5" t="s">
        <v>519</v>
      </c>
      <c r="C477" s="6" t="str">
        <f>IFERROR(__xludf.DUMMYFUNCTION("""COMPUTED_VALUE"""),"10.1016/0164-1212(81)90036-4")</f>
        <v>10.1016/0164-1212(81)90036-4</v>
      </c>
      <c r="D477" s="7" t="str">
        <f>IFERROR(__xludf.DUMMYFUNCTION("""COMPUTED_VALUE"""),"Millen J.K.; Drake D.L.")</f>
        <v>Millen J.K.; Drake D.L.</v>
      </c>
      <c r="E477" s="7" t="str">
        <f>IFERROR(__xludf.DUMMYFUNCTION("""COMPUTED_VALUE"""),"An experiment with affirm and HDM")</f>
        <v>An experiment with affirm and HDM</v>
      </c>
      <c r="F477" s="7" t="str">
        <f>IFERROR(__xludf.DUMMYFUNCTION("""COMPUTED_VALUE"""),"JSS")</f>
        <v>JSS</v>
      </c>
      <c r="G477" s="7" t="str">
        <f>IFERROR(__xludf.DUMMYFUNCTION("""COMPUTED_VALUE"""),"Comparing the usefulness of methodologies for software development can be especially difficult when the services offered are based on different philosophies. Two systems, Affirm and HDM, were compared for their application to operation system security ana"&amp;"lysis. The assessment technique was to specify and analyze for security flaws on both systems a miniature example of a security kernel. The specification languages are at the opposite poles of the range from algebraic axioms to transition specifications. "&amp;"The types of security properties that could be verified with the tools available were access policy invariants and information flows. One theorem prover was highly interactive and the other nearly automatic. We found that the example could be specified sa"&amp;"tisfactorily and recognizably on both systems with a comparable amount of effort. The security analyses, on the other hand, led to very different verification tasks and different results. The two results were complementary rather than contradictory, and s"&amp;"ome additional experimentation, guided by theoretical suspicions, showed the exact relationship between them. © 1982.")</f>
        <v>Comparing the usefulness of methodologies for software development can be especially difficult when the services offered are based on different philosophies. Two systems, Affirm and HDM, were compared for their application to operation system security analysis. The assessment technique was to specify and analyze for security flaws on both systems a miniature example of a security kernel. The specification languages are at the opposite poles of the range from algebraic axioms to transition specifications. The types of security properties that could be verified with the tools available were access policy invariants and information flows. One theorem prover was highly interactive and the other nearly automatic. We found that the example could be specified satisfactorily and recognizably on both systems with a comparable amount of effort. The security analyses, on the other hand, led to very different verification tasks and different results. The two results were complementary rather than contradictory, and some additional experimentation, guided by theoretical suspicions, showed the exact relationship between them. © 1982.</v>
      </c>
      <c r="H477" s="8"/>
      <c r="I477" s="10" t="b">
        <v>0</v>
      </c>
      <c r="J477" s="10" t="b">
        <v>0</v>
      </c>
      <c r="K477" s="10" t="b">
        <v>0</v>
      </c>
      <c r="L477" s="10" t="b">
        <v>0</v>
      </c>
      <c r="M477" s="10" t="b">
        <v>0</v>
      </c>
      <c r="N477" s="10" t="b">
        <v>0</v>
      </c>
      <c r="O477" s="11" t="b">
        <f t="shared" si="1"/>
        <v>0</v>
      </c>
      <c r="P477" s="16" t="b">
        <v>0</v>
      </c>
      <c r="Q477" s="7"/>
    </row>
    <row r="478">
      <c r="A478" s="5" t="b">
        <v>1</v>
      </c>
      <c r="B478" s="5" t="s">
        <v>520</v>
      </c>
      <c r="C478" s="6" t="str">
        <f>IFERROR(__xludf.DUMMYFUNCTION("""COMPUTED_VALUE"""),"10.1016/j.jss.2003.11.018")</f>
        <v>10.1016/j.jss.2003.11.018</v>
      </c>
      <c r="D478" s="7" t="str">
        <f>IFERROR(__xludf.DUMMYFUNCTION("""COMPUTED_VALUE"""),"Huang H.; Zhang S.; Cao J.; Duan Y.")</f>
        <v>Huang H.; Zhang S.; Cao J.; Duan Y.</v>
      </c>
      <c r="E478" s="7" t="str">
        <f>IFERROR(__xludf.DUMMYFUNCTION("""COMPUTED_VALUE"""),"A practical pattern recovery approach based on both structural and behavioral analysis")</f>
        <v>A practical pattern recovery approach based on both structural and behavioral analysis</v>
      </c>
      <c r="F478" s="7" t="str">
        <f>IFERROR(__xludf.DUMMYFUNCTION("""COMPUTED_VALUE"""),"JSS")</f>
        <v>JSS</v>
      </c>
      <c r="G478" s="7" t="str">
        <f>IFERROR(__xludf.DUMMYFUNCTION("""COMPUTED_VALUE"""),"While the merit of using design patterns is clear for forward engineering, we could also benefit from design pattern recovery in program understanding and reverse engineering. In this paper, we present a practical approach to enlarge the recoverable scope"&amp;" and improve precision ratio of pattern recovery. To specify both structural aspect and behavioral aspect of design patterns, we introduce traditional predicate logic combined with Allen's interval-based temporal logic as our theory foundation. The formal"&amp;" specifications could be conveniently converted into Prolog representations to support pattern recovery. To illustrate how to specify and recover design patterns in our approach, we take one example for each category of design patterns. Moreover, we give "&amp;"a taxonomy of design patterns based on the analysis in our approach to show its applicable scope. To validate our approach, we have developed a tool named PRAssistor and analyzed two well-known open source frameworks. The experiment results show that most"&amp;" of the patterns addressed in our taxonomy have been recovered. Besides larger recoverable scope, the recovery precision of our approach is much higher than others. Furthermore, we consider that our approach and tool could be promisingly extended to suppo"&amp;"rt ""Debug at Design Level"" and ""Pattern-Driven Refactoring"". © 2003 Published by Elsevier Inc.")</f>
        <v>While the merit of using design patterns is clear for forward engineering, we could also benefit from design pattern recovery in program understanding and reverse engineering. In this paper, we present a practical approach to enlarge the recoverable scope and improve precision ratio of pattern recovery. To specify both structural aspect and behavioral aspect of design patterns, we introduce traditional predicate logic combined with Allen's interval-based temporal logic as our theory foundation. The formal specifications could be conveniently converted into Prolog representations to support pattern recovery. To illustrate how to specify and recover design patterns in our approach, we take one example for each category of design patterns. Moreover, we give a taxonomy of design patterns based on the analysis in our approach to show its applicable scope. To validate our approach, we have developed a tool named PRAssistor and analyzed two well-known open source frameworks. The experiment results show that most of the patterns addressed in our taxonomy have been recovered. Besides larger recoverable scope, the recovery precision of our approach is much higher than others. Furthermore, we consider that our approach and tool could be promisingly extended to support "Debug at Design Level" and "Pattern-Driven Refactoring". © 2003 Published by Elsevier Inc.</v>
      </c>
      <c r="H478" s="8" t="str">
        <f>IFERROR(__xludf.DUMMYFUNCTION("""COMPUTED_VALUE"""),"Design pattern; Pattern recovery; Reverse engineering")</f>
        <v>Design pattern; Pattern recovery; Reverse engineering</v>
      </c>
      <c r="I478" s="10" t="b">
        <v>0</v>
      </c>
      <c r="J478" s="10" t="b">
        <v>0</v>
      </c>
      <c r="K478" s="10" t="b">
        <v>0</v>
      </c>
      <c r="L478" s="10" t="b">
        <v>0</v>
      </c>
      <c r="M478" s="10" t="b">
        <v>0</v>
      </c>
      <c r="N478" s="10" t="b">
        <v>0</v>
      </c>
      <c r="O478" s="11" t="b">
        <f t="shared" si="1"/>
        <v>0</v>
      </c>
      <c r="P478" s="16" t="b">
        <v>0</v>
      </c>
      <c r="Q478" s="7"/>
    </row>
    <row r="479">
      <c r="A479" s="5" t="b">
        <v>1</v>
      </c>
      <c r="B479" s="5" t="s">
        <v>521</v>
      </c>
      <c r="C479" s="6" t="str">
        <f>IFERROR(__xludf.DUMMYFUNCTION("""COMPUTED_VALUE"""),"10.1016/j.jss.2011.09.063")</f>
        <v>10.1016/j.jss.2011.09.063</v>
      </c>
      <c r="D479" s="7" t="str">
        <f>IFERROR(__xludf.DUMMYFUNCTION("""COMPUTED_VALUE"""),"Huang Y.-C.; Peng K.-L.; Huang C.-Y.")</f>
        <v>Huang Y.-C.; Peng K.-L.; Huang C.-Y.</v>
      </c>
      <c r="E479" s="7" t="str">
        <f>IFERROR(__xludf.DUMMYFUNCTION("""COMPUTED_VALUE"""),"A history-based cost-cognizant test case prioritization technique in regression testing")</f>
        <v>A history-based cost-cognizant test case prioritization technique in regression testing</v>
      </c>
      <c r="F479" s="7" t="str">
        <f>IFERROR(__xludf.DUMMYFUNCTION("""COMPUTED_VALUE"""),"JSS")</f>
        <v>JSS</v>
      </c>
      <c r="G479" s="7" t="str">
        <f>IFERROR(__xludf.DUMMYFUNCTION("""COMPUTED_VALUE"""),"Software testing is typically used to verify whether the developed software product meets its requirements. From the result of software testing, developers can make an assessment about the quality or the acceptability of developed software. It is noted th"&amp;"at during testing, the test case is a pair of input and expected output, and a number of test cases will be executed either sequentially or randomly. The techniques of test case prioritization usually schedule test cases for regression testing in an order"&amp;" that attempts to increase the effectiveness. However, the cost of test cases and the severity of faults are usually varied. In this paper, we propose a method of cost-cognizant test case prioritization based on the use of historical records. We gather th"&amp;"e historical records from the latest regression testing and then propose a genetic algorithm to determine the most effective order. Some controlled experiments are performed to evaluate the effectiveness of our proposed method. Evaluation results indicate"&amp;" that our proposed method has improved the fault detection effectiveness. It can also been found that prioritizing test cases based on their historical information can provide high test effectiveness during testing. © 2011 Elsevier Inc. All rights reserve"&amp;"d.")</f>
        <v>Software testing is typically used to verify whether the developed software product meets its requirements. From the result of software testing, developers can make an assessment about the quality or the acceptability of developed software. It is noted that during testing, the test case is a pair of input and expected output, and a number of test cases will be executed either sequentially or randomly. The techniques of test case prioritization usually schedule test cases for regression testing in an order that attempts to increase the effectiveness. However, the cost of test cases and the severity of faults are usually varied. In this paper, we propose a method of cost-cognizant test case prioritization based on the use of historical records. We gather the historical records from the latest regression testing and then propose a genetic algorithm to determine the most effective order. Some controlled experiments are performed to evaluate the effectiveness of our proposed method. Evaluation results indicate that our proposed method has improved the fault detection effectiveness. It can also been found that prioritizing test cases based on their historical information can provide high test effectiveness during testing. © 2011 Elsevier Inc. All rights reserved.</v>
      </c>
      <c r="H479" s="8" t="str">
        <f>IFERROR(__xludf.DUMMYFUNCTION("""COMPUTED_VALUE"""),"Fault severity; Regression testing; Software development life cycle; Software testing; Test case prioritization")</f>
        <v>Fault severity; Regression testing; Software development life cycle; Software testing; Test case prioritization</v>
      </c>
      <c r="I479" s="10" t="b">
        <v>0</v>
      </c>
      <c r="J479" s="10" t="b">
        <v>0</v>
      </c>
      <c r="K479" s="9" t="b">
        <v>1</v>
      </c>
      <c r="L479" s="10" t="b">
        <v>0</v>
      </c>
      <c r="M479" s="10" t="b">
        <v>0</v>
      </c>
      <c r="N479" s="10" t="b">
        <v>0</v>
      </c>
      <c r="O479" s="11" t="b">
        <f t="shared" si="1"/>
        <v>0</v>
      </c>
      <c r="P479" s="16" t="b">
        <v>0</v>
      </c>
      <c r="Q479" s="7"/>
    </row>
    <row r="480">
      <c r="A480" s="5" t="b">
        <v>1</v>
      </c>
      <c r="B480" s="5" t="s">
        <v>522</v>
      </c>
      <c r="C480" s="6" t="str">
        <f>IFERROR(__xludf.DUMMYFUNCTION("""COMPUTED_VALUE"""),"10.1016/j.jss.2006.08.016")</f>
        <v>10.1016/j.jss.2006.08.016</v>
      </c>
      <c r="D480" s="7" t="str">
        <f>IFERROR(__xludf.DUMMYFUNCTION("""COMPUTED_VALUE"""),"Åkerholm M.; Carlson J.; Fredriksson J.; Hansson H.; Håkansson J.; Möller A.; Pettersson P.; Tivoli M.")</f>
        <v>Åkerholm M.; Carlson J.; Fredriksson J.; Hansson H.; Håkansson J.; Möller A.; Pettersson P.; Tivoli M.</v>
      </c>
      <c r="E480" s="7" t="str">
        <f>IFERROR(__xludf.DUMMYFUNCTION("""COMPUTED_VALUE"""),"The SAVE approach to component-based development of vehicular systems")</f>
        <v>The SAVE approach to component-based development of vehicular systems</v>
      </c>
      <c r="F480" s="7" t="str">
        <f>IFERROR(__xludf.DUMMYFUNCTION("""COMPUTED_VALUE"""),"JSS")</f>
        <v>JSS</v>
      </c>
      <c r="G480" s="7" t="str">
        <f>IFERROR(__xludf.DUMMYFUNCTION("""COMPUTED_VALUE"""),"The component-based strategy aims at managing complexity, shortening time-to-market, and reducing maintenance requirements by building systems with existing components. The full potential of this strategy has not yet been demonstrated for embedded softwar"&amp;"e, mainly because of specific requirements in the domain, e.g., those related to timing, dependability, and resource consumption. We present SaveCCT - a component technology intended for vehicular systems, show the applicability of SaveCCT in the engineer"&amp;"ing process, and demonstrate its suitability for vehicular systems in an industrial case-study. Our experiments indicate that SaveCCT provides appropriate expressiveness, resource efficiency, analysis and verification support for component-based developme"&amp;"nt of vehicular software. © 2006 Elsevier Inc. All rights reserved.")</f>
        <v>The component-based strategy aims at managing complexity, shortening time-to-market, and reducing maintenance requirements by building systems with existing components. The full potential of this strategy has not yet been demonstrated for embedded software, mainly because of specific requirements in the domain, e.g., those related to timing, dependability, and resource consumption. We present SaveCCT - a component technology intended for vehicular systems, show the applicability of SaveCCT in the engineering process, and demonstrate its suitability for vehicular systems in an industrial case-study. Our experiments indicate that SaveCCT provides appropriate expressiveness, resource efficiency, analysis and verification support for component-based development of vehicular software. © 2006 Elsevier Inc. All rights reserved.</v>
      </c>
      <c r="H480" s="8" t="str">
        <f>IFERROR(__xludf.DUMMYFUNCTION("""COMPUTED_VALUE"""),"Component based software engineering; Component technology; Embedded systems; Vehicular systems")</f>
        <v>Component based software engineering; Component technology; Embedded systems; Vehicular systems</v>
      </c>
      <c r="I480" s="10" t="b">
        <v>0</v>
      </c>
      <c r="J480" s="10" t="b">
        <v>0</v>
      </c>
      <c r="K480" s="10" t="b">
        <v>0</v>
      </c>
      <c r="L480" s="10" t="b">
        <v>0</v>
      </c>
      <c r="M480" s="10" t="b">
        <v>0</v>
      </c>
      <c r="N480" s="10" t="b">
        <v>0</v>
      </c>
      <c r="O480" s="11" t="b">
        <f t="shared" si="1"/>
        <v>0</v>
      </c>
      <c r="P480" s="16" t="b">
        <v>0</v>
      </c>
      <c r="Q480" s="7"/>
    </row>
    <row r="481">
      <c r="A481" s="5" t="b">
        <v>1</v>
      </c>
      <c r="B481" s="5" t="s">
        <v>523</v>
      </c>
      <c r="C481" s="6" t="str">
        <f>IFERROR(__xludf.DUMMYFUNCTION("""COMPUTED_VALUE"""),"10.1016/j.jss.2010.11.927")</f>
        <v>10.1016/j.jss.2010.11.927</v>
      </c>
      <c r="D481" s="7" t="str">
        <f>IFERROR(__xludf.DUMMYFUNCTION("""COMPUTED_VALUE"""),"Liu X.; Ni Z.; Yuan D.; Jiang Y.; Wu Z.; Chen J.; Yang Y.")</f>
        <v>Liu X.; Ni Z.; Yuan D.; Jiang Y.; Wu Z.; Chen J.; Yang Y.</v>
      </c>
      <c r="E481" s="7" t="str">
        <f>IFERROR(__xludf.DUMMYFUNCTION("""COMPUTED_VALUE"""),"A novel statistical time-series pattern based interval forecasting strategy for activity durations in workflow systems")</f>
        <v>A novel statistical time-series pattern based interval forecasting strategy for activity durations in workflow systems</v>
      </c>
      <c r="F481" s="7" t="str">
        <f>IFERROR(__xludf.DUMMYFUNCTION("""COMPUTED_VALUE"""),"JSS")</f>
        <v>JSS</v>
      </c>
      <c r="G481" s="7" t="str">
        <f>IFERROR(__xludf.DUMMYFUNCTION("""COMPUTED_VALUE"""),"Forecasting workflow activity durations is of great importance to support satisfactory QoS in workflow systems. Traditionally, a workflow system is often designed to facilitate the process automation in a specific application domain where activities are o"&amp;"f the similar nature. Hence, a particular forecasting strategy is employed by a workflow system and applied uniformly to all its workflow activities. However, with newly emerging requirement to serve as a type of middleware services for high performance c"&amp;"omputing infrastructures such as grid and cloud computing, more and more workflow systems are designed to be general purpose to support workflow applications from many different domains. Due to such a problem, the forecasting strategies in workflow system"&amp;"s must adapt to different workflow applications which are normally executed repeatedly such as data/computation intensive scientific applications (mainly with long-duration activities) and instance intensive business applications (mainly with short-durati"&amp;"on activities). In this paper, with a systematic analysis of the above issues, we propose a novel statistical time-series pattern based interval forecasting strategy which has two different versions, a complex version for long-duration activities and a si"&amp;"mple version for short-duration activities. The strategy consists of four major functional components: duration series building, duration pattern recognition, duration pattern matching and duration interval forecasting. Specifically, a novel hybrid non-li"&amp;"near time-series segmentation algorithm is designed to facilitate the discovery of duration-series patterns. The experimental results on real world examples and simulated test cases demonstrate the excellent performance of our strategy in the forecasting "&amp;"of activity duration intervals for both long-duration and short-duration activities in comparison to some representative time-series forecasting strategies in traditional workflow systems. © 2010 Elsevier Inc. All rights reserved.")</f>
        <v>Forecasting workflow activity durations is of great importance to support satisfactory QoS in workflow systems. Traditionally, a workflow system is often designed to facilitate the process automation in a specific application domain where activities are of the similar nature. Hence, a particular forecasting strategy is employed by a workflow system and applied uniformly to all its workflow activities. However, with newly emerging requirement to serve as a type of middleware services for high performance computing infrastructures such as grid and cloud computing, more and more workflow systems are designed to be general purpose to support workflow applications from many different domains. Due to such a problem, the forecasting strategies in workflow systems must adapt to different workflow applications which are normally executed repeatedly such as data/computation intensive scientific applications (mainly with long-duration activities) and instance intensive business applications (mainly with short-duration activities). In this paper, with a systematic analysis of the above issues, we propose a novel statistical time-series pattern based interval forecasting strategy which has two different versions, a complex version for long-duration activities and a simple version for short-duration activities. The strategy consists of four major functional components: duration series building, duration pattern recognition, duration pattern matching and duration interval forecasting. Specifically, a novel hybrid non-linear time-series segmentation algorithm is designed to facilitate the discovery of duration-series patterns. The experimental results on real world examples and simulated test cases demonstrate the excellent performance of our strategy in the forecasting of activity duration intervals for both long-duration and short-duration activities in comparison to some representative time-series forecasting strategies in traditional workflow systems. © 2010 Elsevier Inc. All rights reserved.</v>
      </c>
      <c r="H481" s="8" t="str">
        <f>IFERROR(__xludf.DUMMYFUNCTION("""COMPUTED_VALUE"""),"Activity duration; Interval forecasting; Statistical time series; Time-series patterns; Workflow system")</f>
        <v>Activity duration; Interval forecasting; Statistical time series; Time-series patterns; Workflow system</v>
      </c>
      <c r="I481" s="10" t="b">
        <v>0</v>
      </c>
      <c r="J481" s="10" t="b">
        <v>0</v>
      </c>
      <c r="K481" s="10" t="b">
        <v>0</v>
      </c>
      <c r="L481" s="10" t="b">
        <v>0</v>
      </c>
      <c r="M481" s="10" t="b">
        <v>0</v>
      </c>
      <c r="N481" s="10" t="b">
        <v>0</v>
      </c>
      <c r="O481" s="11" t="b">
        <f t="shared" si="1"/>
        <v>0</v>
      </c>
      <c r="P481" s="16" t="b">
        <v>0</v>
      </c>
      <c r="Q481" s="7"/>
    </row>
    <row r="482">
      <c r="A482" s="5" t="b">
        <v>1</v>
      </c>
      <c r="B482" s="5" t="s">
        <v>524</v>
      </c>
      <c r="C482" s="6" t="str">
        <f>IFERROR(__xludf.DUMMYFUNCTION("""COMPUTED_VALUE"""),"10.1016/j.jss.2007.05.006")</f>
        <v>10.1016/j.jss.2007.05.006</v>
      </c>
      <c r="D482" s="7" t="str">
        <f>IFERROR(__xludf.DUMMYFUNCTION("""COMPUTED_VALUE"""),"Jeffrey D.; Gupta N.")</f>
        <v>Jeffrey D.; Gupta N.</v>
      </c>
      <c r="E482" s="7" t="str">
        <f>IFERROR(__xludf.DUMMYFUNCTION("""COMPUTED_VALUE"""),"Experiments with test case prioritization using relevant slices")</f>
        <v>Experiments with test case prioritization using relevant slices</v>
      </c>
      <c r="F482" s="7" t="str">
        <f>IFERROR(__xludf.DUMMYFUNCTION("""COMPUTED_VALUE"""),"JSS")</f>
        <v>JSS</v>
      </c>
      <c r="G482" s="7" t="str">
        <f>IFERROR(__xludf.DUMMYFUNCTION("""COMPUTED_VALUE"""),"Software testing and retesting occurs continuously during the software development lifecycle to detect errors as early as possible and to gain confidence that changes to software do not introduce defects. Once developed, test suites are reused and updated"&amp;" frequently, and their sizes grow as software evolves. Due to time and resource constraints, an important goal during regression testing of software is to prioritize the execution of test cases in a suite so as to improve the chances of increasing the rat"&amp;"e of fault detection. Prior techniques for test case prioritization are based on the total number of coverage requirements exercised by the test cases. In this paper, we present a new approach to prioritize test cases that takes into account the coverage "&amp;"requirements present in the relevant slices of the outputs of test cases. We have implemented three different heuristics based on our relevant slicing based approach to prioritize test cases and conducted experiments to compare the effectiveness of our te"&amp;"chniques with those of the traditional techniques that only account for the total requirement coverage. Our detailed experimental study and results provide interesting insights into the effectiveness of using relevant slices for test case prioritization i"&amp;"n terms of ability to achieve high rate of fault detection.")</f>
        <v>Software testing and retesting occurs continuously during the software development lifecycle to detect errors as early as possible and to gain confidence that changes to software do not introduce defects. Once developed, test suites are reused and updated frequently, and their sizes grow as software evolves. Due to time and resource constraints, an important goal during regression testing of software is to prioritize the execution of test cases in a suite so as to improve the chances of increasing the rate of fault detection. Prior techniques for test case prioritization are based on the total number of coverage requirements exercised by the test cases. In this paper, we present a new approach to prioritize test cases that takes into account the coverage requirements present in the relevant slices of the outputs of test cases. We have implemented three different heuristics based on our relevant slicing based approach to prioritize test cases and conducted experiments to compare the effectiveness of our techniques with those of the traditional techniques that only account for the total requirement coverage. Our detailed experimental study and results provide interesting insights into the effectiveness of using relevant slices for test case prioritization in terms of ability to achieve high rate of fault detection.</v>
      </c>
      <c r="H482" s="8" t="str">
        <f>IFERROR(__xludf.DUMMYFUNCTION("""COMPUTED_VALUE"""),"Experimental studies; Relevant slices based model; Test case prioritization; Test suite management")</f>
        <v>Experimental studies; Relevant slices based model; Test case prioritization; Test suite management</v>
      </c>
      <c r="I482" s="10" t="b">
        <v>0</v>
      </c>
      <c r="J482" s="10" t="b">
        <v>0</v>
      </c>
      <c r="K482" s="10" t="b">
        <v>0</v>
      </c>
      <c r="L482" s="10" t="b">
        <v>0</v>
      </c>
      <c r="M482" s="10" t="b">
        <v>0</v>
      </c>
      <c r="N482" s="10" t="b">
        <v>0</v>
      </c>
      <c r="O482" s="11" t="b">
        <f t="shared" si="1"/>
        <v>0</v>
      </c>
      <c r="P482" s="16" t="b">
        <v>0</v>
      </c>
      <c r="Q482" s="7"/>
    </row>
    <row r="483">
      <c r="A483" s="5" t="b">
        <v>1</v>
      </c>
      <c r="B483" s="5" t="s">
        <v>525</v>
      </c>
      <c r="C483" s="6" t="str">
        <f>IFERROR(__xludf.DUMMYFUNCTION("""COMPUTED_VALUE"""),"10.1016/j.jss.2007.07.026")</f>
        <v>10.1016/j.jss.2007.07.026</v>
      </c>
      <c r="D483" s="7" t="str">
        <f>IFERROR(__xludf.DUMMYFUNCTION("""COMPUTED_VALUE"""),"Chu C.-J.; Tseng V.S.; Liang T.")</f>
        <v>Chu C.-J.; Tseng V.S.; Liang T.</v>
      </c>
      <c r="E483" s="7" t="str">
        <f>IFERROR(__xludf.DUMMYFUNCTION("""COMPUTED_VALUE"""),"An efficient algorithm for mining temporal high utility itemsets from data streams")</f>
        <v>An efficient algorithm for mining temporal high utility itemsets from data streams</v>
      </c>
      <c r="F483" s="7" t="str">
        <f>IFERROR(__xludf.DUMMYFUNCTION("""COMPUTED_VALUE"""),"JSS")</f>
        <v>JSS</v>
      </c>
      <c r="G483" s="7" t="str">
        <f>IFERROR(__xludf.DUMMYFUNCTION("""COMPUTED_VALUE"""),"Utility of an itemset is considered as the value of this itemset, and utility mining aims at identifying the itemsets with high utilities. The temporal high utility itemsets are the itemsets whose support is larger than a pre-specified threshold in curren"&amp;"t time window of the data stream. Discovery of temporal high utility itemsets is an important process for mining interesting patterns like association rules from data streams. In this paper, we propose a novel method, namely THUI (Temporal High Utility It"&amp;"emsets)-Mine, for mining temporal high utility itemsets from data streams efficiently and effectively. To the best of our knowledge, this is the first work on mining temporal high utility itemsets from data streams. The novel contribution of THUI-Mine is "&amp;"that it can effectively identify the temporal high utility itemsets by generating fewer candidate itemsets such that the execution time can be reduced substantially in mining all high utility itemsets in data streams. In this way, the process of discoveri"&amp;"ng all temporal high utility itemsets under all time windows of data streams can be achieved effectively with less memory space and execution time. This meets the critical requirements on time and space efficiency for mining data streams. Through experime"&amp;"ntal evaluation, THUI-Mine is shown to significantly outperform other existing methods like Two-Phase algorithm under various experimental conditions. © 2007 Elsevier Inc. All rights reserved.")</f>
        <v>Utility of an itemset is considered as the value of this itemset, and utility mining aims at identifying the itemsets with high utilities. The temporal high utility itemsets are the itemsets whose support is larger than a pre-specified threshold in current time window of the data stream. Discovery of temporal high utility itemsets is an important process for mining interesting patterns like association rules from data streams. In this paper, we propose a novel method, namely THUI (Temporal High Utility Itemsets)-Mine, for mining temporal high utility itemsets from data streams efficiently and effectively. To the best of our knowledge, this is the first work on mining temporal high utility itemsets from data streams. The novel contribution of THUI-Mine is that it can effectively identify the temporal high utility itemsets by generating fewer candidate itemsets such that the execution time can be reduced substantially in mining all high utility itemsets in data streams. In this way, the process of discovering all temporal high utility itemsets under all time windows of data streams can be achieved effectively with less memory space and execution time. This meets the critical requirements on time and space efficiency for mining data streams. Through experimental evaluation, THUI-Mine is shown to significantly outperform other existing methods like Two-Phase algorithm under various experimental conditions. © 2007 Elsevier Inc. All rights reserved.</v>
      </c>
      <c r="H483" s="8" t="str">
        <f>IFERROR(__xludf.DUMMYFUNCTION("""COMPUTED_VALUE"""),"Association rules; Data stream mining; Temporal high utility itemsets; Utility mining")</f>
        <v>Association rules; Data stream mining; Temporal high utility itemsets; Utility mining</v>
      </c>
      <c r="I483" s="10" t="b">
        <v>0</v>
      </c>
      <c r="J483" s="10" t="b">
        <v>0</v>
      </c>
      <c r="K483" s="10" t="b">
        <v>0</v>
      </c>
      <c r="L483" s="10" t="b">
        <v>0</v>
      </c>
      <c r="M483" s="10" t="b">
        <v>0</v>
      </c>
      <c r="N483" s="10" t="b">
        <v>0</v>
      </c>
      <c r="O483" s="11" t="b">
        <f t="shared" si="1"/>
        <v>0</v>
      </c>
      <c r="P483" s="16" t="b">
        <v>0</v>
      </c>
      <c r="Q483" s="7"/>
    </row>
    <row r="484">
      <c r="A484" s="5" t="b">
        <v>1</v>
      </c>
      <c r="B484" s="5" t="s">
        <v>526</v>
      </c>
      <c r="C484" s="6" t="str">
        <f>IFERROR(__xludf.DUMMYFUNCTION("""COMPUTED_VALUE"""),"10.1016/j.jss.2010.11.905")</f>
        <v>10.1016/j.jss.2010.11.905</v>
      </c>
      <c r="D484" s="7" t="str">
        <f>IFERROR(__xludf.DUMMYFUNCTION("""COMPUTED_VALUE"""),"Mei L.; Chan W.K.; Tse T.H.; Merkel R.G.")</f>
        <v>Mei L.; Chan W.K.; Tse T.H.; Merkel R.G.</v>
      </c>
      <c r="E484" s="7" t="str">
        <f>IFERROR(__xludf.DUMMYFUNCTION("""COMPUTED_VALUE"""),"XML-manipulating test case prioritization for XML-manipulating services")</f>
        <v>XML-manipulating test case prioritization for XML-manipulating services</v>
      </c>
      <c r="F484" s="7" t="str">
        <f>IFERROR(__xludf.DUMMYFUNCTION("""COMPUTED_VALUE"""),"JSS")</f>
        <v>JSS</v>
      </c>
      <c r="G484" s="7" t="str">
        <f>IFERROR(__xludf.DUMMYFUNCTION("""COMPUTED_VALUE"""),"A web service may evolve autonomously, making peer web services in the same service composition uncertain as to whether the evolved behaviors are compatible with its original collaborative agreement. Although peer services may wish to conduct regression t"&amp;"esting to verify the agreed collaboration, the source code of the former service may be inaccessible to them. Owing to the black-box nature of peer services, traditional code-based approaches to regression testing are inapplicable. In addition, traditiona"&amp;"l techniques assume that a regression test suite for verifying a web service is available. The location to store a regression test suite is also a problem. On the other hand, we note that the rich interface specifications of a web service provide peer ser"&amp;"vices with a means to formulate black-box testing strategies. In this paper, we provide a strategy for black-box service-oriented testing. We also formulate new test case prioritization strategies using tags embedded in XML messages to reorder regression "&amp;"test cases, and reveal how the test cases use the interface specifications of web services. We experimentally evaluate the effectiveness of these black-box strategies in revealing regression faults in modified WS-BPEL programs. The results show that the n"&amp;"ew techniques can have a high chance of outperforming random ordering. Moreover, our experiment shows that prioritizing test cases based on WSDL tag coverage can achieve a smaller variance than that based on the number of tags in XML messages in regressio"&amp;"n test cases, even though their overall fault detection rates are similar. © 2010 Elsevier Inc. All rights reserved.")</f>
        <v>A web service may evolve autonomously, making peer web services in the same service composition uncertain as to whether the evolved behaviors are compatible with its original collaborative agreement. Although peer services may wish to conduct regression testing to verify the agreed collaboration, the source code of the former service may be inaccessible to them. Owing to the black-box nature of peer services, traditional code-based approaches to regression testing are inapplicable. In addition, traditional techniques assume that a regression test suite for verifying a web service is available. The location to store a regression test suite is also a problem. On the other hand, we note that the rich interface specifications of a web service provide peer services with a means to formulate black-box testing strategies. In this paper, we provide a strategy for black-box service-oriented testing. We also formulate new test case prioritization strategies using tags embedded in XML messages to reorder regression test cases, and reveal how the test cases use the interface specifications of web services. We experimentally evaluate the effectiveness of these black-box strategies in revealing regression faults in modified WS-BPEL programs. The results show that the new techniques can have a high chance of outperforming random ordering. Moreover, our experiment shows that prioritizing test cases based on WSDL tag coverage can achieve a smaller variance than that based on the number of tags in XML messages in regression test cases, even though their overall fault detection rates are similar. © 2010 Elsevier Inc. All rights reserved.</v>
      </c>
      <c r="H484" s="8" t="str">
        <f>IFERROR(__xludf.DUMMYFUNCTION("""COMPUTED_VALUE"""),"Black-box regression testing; Service testing; Service-oriented testing; Test case prioritization; WS-BPEL")</f>
        <v>Black-box regression testing; Service testing; Service-oriented testing; Test case prioritization; WS-BPEL</v>
      </c>
      <c r="I484" s="10" t="b">
        <v>0</v>
      </c>
      <c r="J484" s="10" t="b">
        <v>0</v>
      </c>
      <c r="K484" s="10" t="b">
        <v>0</v>
      </c>
      <c r="L484" s="10" t="b">
        <v>0</v>
      </c>
      <c r="M484" s="10" t="b">
        <v>0</v>
      </c>
      <c r="N484" s="10" t="b">
        <v>0</v>
      </c>
      <c r="O484" s="11" t="b">
        <f t="shared" si="1"/>
        <v>0</v>
      </c>
      <c r="P484" s="16" t="b">
        <v>0</v>
      </c>
      <c r="Q484" s="7"/>
    </row>
    <row r="485">
      <c r="A485" s="5" t="b">
        <v>1</v>
      </c>
      <c r="B485" s="5" t="s">
        <v>527</v>
      </c>
      <c r="C485" s="6" t="str">
        <f>IFERROR(__xludf.DUMMYFUNCTION("""COMPUTED_VALUE"""),"10.1016/0164-1212(91)90093-L")</f>
        <v>10.1016/0164-1212(91)90093-L</v>
      </c>
      <c r="D485" s="7" t="str">
        <f>IFERROR(__xludf.DUMMYFUNCTION("""COMPUTED_VALUE"""),"Cioch F.A.")</f>
        <v>Cioch F.A.</v>
      </c>
      <c r="E485" s="7" t="str">
        <f>IFERROR(__xludf.DUMMYFUNCTION("""COMPUTED_VALUE"""),"Measuring software misinterpretation")</f>
        <v>Measuring software misinterpretation</v>
      </c>
      <c r="F485" s="7" t="str">
        <f>IFERROR(__xludf.DUMMYFUNCTION("""COMPUTED_VALUE"""),"JSS")</f>
        <v>JSS</v>
      </c>
      <c r="G485" s="7" t="str">
        <f>IFERROR(__xludf.DUMMYFUNCTION("""COMPUTED_VALUE"""),"In practice, when assessing the understandability of a software-related product, one is often concerned not only with the degree to which the information is comprehended but also with the degree to which it is misinterpreted. For example, because requirem"&amp;"ents specifications are used during the planning phase of the software life-cycle, how much the specification is misinterpreted is often as important as how much of it is comprehended. Low comprehension can be recognized before design proceeds. However, m"&amp;"isinterpretations can easily go unnoticed until later in the life-cycle, when they are more expensive to resolve. This distinction between comprehension and misinterpretation is difficult to address experimentally because of measurement difficulties. Cons"&amp;"truction of an operational definition of the degree to which information is misinterpreted is difficult to achieve using traditional methods. In this paper a technique is described that can be used to measure both software misinterpretation and comprehens"&amp;"ion. The results of an experiment are presented in which the measurement technique was used to assess misinterpretation and comprehension of requirements specifications. The impact of specification language on misinterpretation was different from its impa"&amp;"ct on comprehension in the experiment, underscoring the value of measuring both misinterpretation and comprehension. © 1991.")</f>
        <v>In practice, when assessing the understandability of a software-related product, one is often concerned not only with the degree to which the information is comprehended but also with the degree to which it is misinterpreted. For example, because requirements specifications are used during the planning phase of the software life-cycle, how much the specification is misinterpreted is often as important as how much of it is comprehended. Low comprehension can be recognized before design proceeds. However, misinterpretations can easily go unnoticed until later in the life-cycle, when they are more expensive to resolve. This distinction between comprehension and misinterpretation is difficult to address experimentally because of measurement difficulties. Construction of an operational definition of the degree to which information is misinterpreted is difficult to achieve using traditional methods. In this paper a technique is described that can be used to measure both software misinterpretation and comprehension. The results of an experiment are presented in which the measurement technique was used to assess misinterpretation and comprehension of requirements specifications. The impact of specification language on misinterpretation was different from its impact on comprehension in the experiment, underscoring the value of measuring both misinterpretation and comprehension. © 1991.</v>
      </c>
      <c r="H485" s="8"/>
      <c r="I485" s="9" t="b">
        <v>1</v>
      </c>
      <c r="J485" s="9" t="b">
        <v>1</v>
      </c>
      <c r="K485" s="9" t="b">
        <v>1</v>
      </c>
      <c r="L485" s="10" t="b">
        <v>0</v>
      </c>
      <c r="M485" s="10" t="b">
        <v>0</v>
      </c>
      <c r="N485" s="10" t="b">
        <v>0</v>
      </c>
      <c r="O485" s="11" t="b">
        <f t="shared" si="1"/>
        <v>1</v>
      </c>
      <c r="P485" s="16" t="b">
        <v>0</v>
      </c>
      <c r="Q485" s="7"/>
    </row>
    <row r="486">
      <c r="A486" s="5" t="b">
        <v>1</v>
      </c>
      <c r="B486" s="5" t="s">
        <v>528</v>
      </c>
      <c r="C486" s="6" t="str">
        <f>IFERROR(__xludf.DUMMYFUNCTION("""COMPUTED_VALUE"""),"10.1016/0164-1212(88)90040-4")</f>
        <v>10.1016/0164-1212(88)90040-4</v>
      </c>
      <c r="D486" s="7" t="str">
        <f>IFERROR(__xludf.DUMMYFUNCTION("""COMPUTED_VALUE"""),"Henry S.")</f>
        <v>Henry S.</v>
      </c>
      <c r="E486" s="7" t="str">
        <f>IFERROR(__xludf.DUMMYFUNCTION("""COMPUTED_VALUE"""),"A technique for hiding proprietary details while providing sufficient information for researchers; or, do you recognize this well-known algorithm?")</f>
        <v>A technique for hiding proprietary details while providing sufficient information for researchers; or, do you recognize this well-known algorithm?</v>
      </c>
      <c r="F486" s="7" t="str">
        <f>IFERROR(__xludf.DUMMYFUNCTION("""COMPUTED_VALUE"""),"JSS")</f>
        <v>JSS</v>
      </c>
      <c r="G486" s="7" t="str">
        <f>IFERROR(__xludf.DUMMYFUNCTION("""COMPUTED_VALUE"""),"A major problem facing software engineering researchers is the difficulty of performing validation experiments requiring ""real-world"" data. These data may be composed of the requirements document, design descriptions, source code, test plans, and/or err"&amp;"or histories. Most major software organizations object to giving this usually proprietary data to researchers. This objection is understandable since these organizations do not desire their proprietary source code or error history to be made public. This "&amp;"paper describes a technique to translate source code into a metalanguage that will maintain the proprietary nature of the original source code by hiding the algorithms and data structures employed in the source code. This technique, however, preserves suf"&amp;"ficient data for validation experiments to be performed by some software engineering researchers, particularly those researchers in the software quality metrics community. © 1988.")</f>
        <v>A major problem facing software engineering researchers is the difficulty of performing validation experiments requiring "real-world" data. These data may be composed of the requirements document, design descriptions, source code, test plans, and/or error histories. Most major software organizations object to giving this usually proprietary data to researchers. This objection is understandable since these organizations do not desire their proprietary source code or error history to be made public. This paper describes a technique to translate source code into a metalanguage that will maintain the proprietary nature of the original source code by hiding the algorithms and data structures employed in the source code. This technique, however, preserves sufficient data for validation experiments to be performed by some software engineering researchers, particularly those researchers in the software quality metrics community. © 1988.</v>
      </c>
      <c r="H486" s="8"/>
      <c r="I486" s="10" t="b">
        <v>0</v>
      </c>
      <c r="J486" s="10" t="b">
        <v>0</v>
      </c>
      <c r="K486" s="10" t="b">
        <v>0</v>
      </c>
      <c r="L486" s="10" t="b">
        <v>0</v>
      </c>
      <c r="M486" s="10" t="b">
        <v>0</v>
      </c>
      <c r="N486" s="10" t="b">
        <v>0</v>
      </c>
      <c r="O486" s="11" t="b">
        <f t="shared" si="1"/>
        <v>0</v>
      </c>
      <c r="P486" s="16" t="b">
        <v>0</v>
      </c>
      <c r="Q486" s="7"/>
    </row>
    <row r="487">
      <c r="A487" s="5" t="b">
        <v>1</v>
      </c>
      <c r="B487" s="5" t="s">
        <v>529</v>
      </c>
      <c r="C487" s="6" t="str">
        <f>IFERROR(__xludf.DUMMYFUNCTION("""COMPUTED_VALUE"""),"10.1016/j.jss.2005.11.577")</f>
        <v>10.1016/j.jss.2005.11.577</v>
      </c>
      <c r="D487" s="7" t="str">
        <f>IFERROR(__xludf.DUMMYFUNCTION("""COMPUTED_VALUE"""),"Hsu C.-S.; Hou Y.-C.")</f>
        <v>Hsu C.-S.; Hou Y.-C.</v>
      </c>
      <c r="E487" s="7" t="str">
        <f>IFERROR(__xludf.DUMMYFUNCTION("""COMPUTED_VALUE"""),"An image size unconstrained ownership identification scheme for gray-level and color ownership statements based on sampling methods")</f>
        <v>An image size unconstrained ownership identification scheme for gray-level and color ownership statements based on sampling methods</v>
      </c>
      <c r="F487" s="7" t="str">
        <f>IFERROR(__xludf.DUMMYFUNCTION("""COMPUTED_VALUE"""),"JSS")</f>
        <v>JSS</v>
      </c>
      <c r="G487" s="7" t="str">
        <f>IFERROR(__xludf.DUMMYFUNCTION("""COMPUTED_VALUE"""),"This paper describes an ownership identification method with gray-level or color ownership statements. The proposed scheme uses the theories and properties of sampling distribution of means to achieve the requirements of robustness and security. Besides, "&amp;"the sampling method also provides that the ownership statements can be of any size regardless of the size of the original image. Since our method does not really insert the ownership statements into the host image, the original image will not be altered a"&amp;"nd the rightful ownership can be identified without resorting to the original image. Moreover, our method also allows plural ownership statements to be registered for a single host image without causing any damage to other hidden ownership statements. Fin"&amp;"ally, experimental results will show the robustness of our scheme for gray-level and color ownership statements against several common attacks. © 2005 Elsevier Inc. All rights reserved.")</f>
        <v>This paper describes an ownership identification method with gray-level or color ownership statements. The proposed scheme uses the theories and properties of sampling distribution of means to achieve the requirements of robustness and security. Besides, the sampling method also provides that the ownership statements can be of any size regardless of the size of the original image. Since our method does not really insert the ownership statements into the host image, the original image will not be altered and the rightful ownership can be identified without resorting to the original image. Moreover, our method also allows plural ownership statements to be registered for a single host image without causing any damage to other hidden ownership statements. Finally, experimental results will show the robustness of our scheme for gray-level and color ownership statements against several common attacks. © 2005 Elsevier Inc. All rights reserved.</v>
      </c>
      <c r="H487" s="8" t="str">
        <f>IFERROR(__xludf.DUMMYFUNCTION("""COMPUTED_VALUE"""),"Copyright protection; Digital watermarking; Ownership identification; Sampling distribution")</f>
        <v>Copyright protection; Digital watermarking; Ownership identification; Sampling distribution</v>
      </c>
      <c r="I487" s="10" t="b">
        <v>0</v>
      </c>
      <c r="J487" s="10" t="b">
        <v>0</v>
      </c>
      <c r="K487" s="10" t="b">
        <v>0</v>
      </c>
      <c r="L487" s="10" t="b">
        <v>0</v>
      </c>
      <c r="M487" s="10" t="b">
        <v>0</v>
      </c>
      <c r="N487" s="10" t="b">
        <v>0</v>
      </c>
      <c r="O487" s="11" t="b">
        <f t="shared" si="1"/>
        <v>0</v>
      </c>
      <c r="P487" s="16" t="b">
        <v>0</v>
      </c>
      <c r="Q487" s="7"/>
    </row>
    <row r="488">
      <c r="A488" s="5" t="b">
        <v>1</v>
      </c>
      <c r="B488" s="5" t="s">
        <v>530</v>
      </c>
      <c r="C488" s="6" t="str">
        <f>IFERROR(__xludf.DUMMYFUNCTION("""COMPUTED_VALUE"""),"10.1016/j.jss.2007.07.030")</f>
        <v>10.1016/j.jss.2007.07.030</v>
      </c>
      <c r="D488" s="7" t="str">
        <f>IFERROR(__xludf.DUMMYFUNCTION("""COMPUTED_VALUE"""),"Mokhtar S.B.; Preuveneers D.; Georgantas N.; Issarny V.; Berbers Y.")</f>
        <v>Mokhtar S.B.; Preuveneers D.; Georgantas N.; Issarny V.; Berbers Y.</v>
      </c>
      <c r="E488" s="7" t="str">
        <f>IFERROR(__xludf.DUMMYFUNCTION("""COMPUTED_VALUE"""),"EASY: Efficient semAntic Service discoverY in pervasive computing environments with QoS and context support")</f>
        <v>EASY: Efficient semAntic Service discoverY in pervasive computing environments with QoS and context support</v>
      </c>
      <c r="F488" s="7" t="str">
        <f>IFERROR(__xludf.DUMMYFUNCTION("""COMPUTED_VALUE"""),"JSS")</f>
        <v>JSS</v>
      </c>
      <c r="G488" s="7" t="str">
        <f>IFERROR(__xludf.DUMMYFUNCTION("""COMPUTED_VALUE"""),"Pervasive computing environments are populated with networked software and hardware resources providing various functionalities that are abstracted, thanks to the Service Oriented Architecture paradigm, as services. Within these environments, service disc"&amp;"overy enabled by service discovery protocols (SDPs) is a critical functionality for establishing ad hoc associations between service providers and service requesters. Furthermore, the dynamics, the openness and the user-centric vision aimed at by the perv"&amp;"asive computing paradigm call for solutions that enable rich, semantic, context- and QoS-aware service discovery. Although the semantic Web paradigm envisions to achieve such support, current solutions are hardly deployable in the pervasive environment du"&amp;"e to the costly underlying semantic reasoning with ontologies. In this article, we present EASY to support efficient, semantic, context- and QoS-aware service discovery on top of existing SDPs. EASY provides EASY-L, a language for semantic specification o"&amp;"f functional and non-functional service properties, as well as EASY-M, a corresponding set of conformance relations. Furthermore, EASY provides solutions to efficiently assess conformance between service capabilities. These solutions are based on an effic"&amp;"ient encoding technique, as well as on an efficient organization of service repositories (caches), which enables both fast service advertising and discovery. Experimental results show that the deployment of EASY on top of an existing SDP, namely Ariadne, "&amp;"enhancing it only with slight changes to EASY-Ariadne, enables rich semantic, context- and QoS-aware service discovery, which furthermore performs better than the classical, rigid, syntactic matching, and improves the scalability of Ariadne. © 2007 Elsevi"&amp;"er Inc. All rights reserved.")</f>
        <v>Pervasive computing environments are populated with networked software and hardware resources providing various functionalities that are abstracted, thanks to the Service Oriented Architecture paradigm, as services. Within these environments, service discovery enabled by service discovery protocols (SDPs) is a critical functionality for establishing ad hoc associations between service providers and service requesters. Furthermore, the dynamics, the openness and the user-centric vision aimed at by the pervasive computing paradigm call for solutions that enable rich, semantic, context- and QoS-aware service discovery. Although the semantic Web paradigm envisions to achieve such support, current solutions are hardly deployable in the pervasive environment due to the costly underlying semantic reasoning with ontologies. In this article, we present EASY to support efficient, semantic, context- and QoS-aware service discovery on top of existing SDPs. EASY provides EASY-L, a language for semantic specification of functional and non-functional service properties, as well as EASY-M, a corresponding set of conformance relations. Furthermore, EASY provides solutions to efficiently assess conformance between service capabilities. These solutions are based on an efficient encoding technique, as well as on an efficient organization of service repositories (caches), which enables both fast service advertising and discovery. Experimental results show that the deployment of EASY on top of an existing SDP, namely Ariadne, enhancing it only with slight changes to EASY-Ariadne, enables rich semantic, context- and QoS-aware service discovery, which furthermore performs better than the classical, rigid, syntactic matching, and improves the scalability of Ariadne. © 2007 Elsevier Inc. All rights reserved.</v>
      </c>
      <c r="H488" s="8" t="str">
        <f>IFERROR(__xludf.DUMMYFUNCTION("""COMPUTED_VALUE"""),"Context-awareness; Efficient semantic service discovery; Pervasive computing; QoS-awareness; Semantic Web; Service oriented architectures")</f>
        <v>Context-awareness; Efficient semantic service discovery; Pervasive computing; QoS-awareness; Semantic Web; Service oriented architectures</v>
      </c>
      <c r="I488" s="10" t="b">
        <v>0</v>
      </c>
      <c r="J488" s="10" t="b">
        <v>0</v>
      </c>
      <c r="K488" s="10" t="b">
        <v>0</v>
      </c>
      <c r="L488" s="10" t="b">
        <v>0</v>
      </c>
      <c r="M488" s="10" t="b">
        <v>0</v>
      </c>
      <c r="N488" s="10" t="b">
        <v>0</v>
      </c>
      <c r="O488" s="11" t="b">
        <f t="shared" si="1"/>
        <v>0</v>
      </c>
      <c r="P488" s="16" t="b">
        <v>0</v>
      </c>
      <c r="Q488" s="7"/>
    </row>
    <row r="489">
      <c r="A489" s="5" t="b">
        <v>1</v>
      </c>
      <c r="B489" s="5" t="s">
        <v>531</v>
      </c>
      <c r="C489" s="6" t="str">
        <f>IFERROR(__xludf.DUMMYFUNCTION("""COMPUTED_VALUE"""),"10.1016/j.jss.2007.03.005")</f>
        <v>10.1016/j.jss.2007.03.005</v>
      </c>
      <c r="D489" s="7" t="str">
        <f>IFERROR(__xludf.DUMMYFUNCTION("""COMPUTED_VALUE"""),"Dong J.; Alencar P.S.C.; Cowan D.D.; Yang S.")</f>
        <v>Dong J.; Alencar P.S.C.; Cowan D.D.; Yang S.</v>
      </c>
      <c r="E489" s="7" t="str">
        <f>IFERROR(__xludf.DUMMYFUNCTION("""COMPUTED_VALUE"""),"Composing pattern-based components and verifying correctness")</f>
        <v>Composing pattern-based components and verifying correctness</v>
      </c>
      <c r="F489" s="7" t="str">
        <f>IFERROR(__xludf.DUMMYFUNCTION("""COMPUTED_VALUE"""),"JSS")</f>
        <v>JSS</v>
      </c>
      <c r="G489" s="7" t="str">
        <f>IFERROR(__xludf.DUMMYFUNCTION("""COMPUTED_VALUE"""),"Designing large software systems out of reusable components has become increasingly popular. Although liberal composition of reusable components saves time and expense, many experiments indicate that people will pay for this (liberal composition) sooner o"&amp;"r later, sometimes paying even a higher price than the savings obtained from reusing components. Thus, we advocate that more rigorous analysis methods to check the correctness of component composition would allow combination problems to be detected early "&amp;"in the development process so that people can save the considerable effort of fixing errors downstream. In this paper we describe a rigorous method for component composition that can be used to solve combination and integration problems at the (architectu"&amp;"ral) design phase of the software development lifecycle. In addition, we introduce the notion of composition pattern in order to promote the reuse of composition solutions to solve routine component composition problems. Once a composition pattern is prov"&amp;"en correct, its instances can be used in a particular application without further proof. In this way, our proposed method involves reusing compositions as well as reusing components. We illustrate our approach through an example related to the composition"&amp;" of design patterns as design components. Structural and behavioral correctness proofs about the composition of design patterns are provided. Case studies are also presented to show the applications of the composition patterns. © 2007 Elsevier Inc. All ri"&amp;"ghts reserved.")</f>
        <v>Designing large software systems out of reusable components has become increasingly popular. Although liberal composition of reusable components saves time and expense, many experiments indicate that people will pay for this (liberal composition) sooner or later, sometimes paying even a higher price than the savings obtained from reusing components. Thus, we advocate that more rigorous analysis methods to check the correctness of component composition would allow combination problems to be detected early in the development process so that people can save the considerable effort of fixing errors downstream. In this paper we describe a rigorous method for component composition that can be used to solve combination and integration problems at the (architectural) design phase of the software development lifecycle. In addition, we introduce the notion of composition pattern in order to promote the reuse of composition solutions to solve routine component composition problems. Once a composition pattern is proven correct, its instances can be used in a particular application without further proof. In this way, our proposed method involves reusing compositions as well as reusing components. We illustrate our approach through an example related to the composition of design patterns as design components. Structural and behavioral correctness proofs about the composition of design patterns are provided. Case studies are also presented to show the applications of the composition patterns. © 2007 Elsevier Inc. All rights reserved.</v>
      </c>
      <c r="H489" s="8" t="str">
        <f>IFERROR(__xludf.DUMMYFUNCTION("""COMPUTED_VALUE"""),"Composition pattern; Design component; Design pattern; Formal specification and verification; Integration; Modeling; Object-Z; Temporal logic")</f>
        <v>Composition pattern; Design component; Design pattern; Formal specification and verification; Integration; Modeling; Object-Z; Temporal logic</v>
      </c>
      <c r="I489" s="10" t="b">
        <v>0</v>
      </c>
      <c r="J489" s="10" t="b">
        <v>0</v>
      </c>
      <c r="K489" s="10" t="b">
        <v>0</v>
      </c>
      <c r="L489" s="10" t="b">
        <v>0</v>
      </c>
      <c r="M489" s="10" t="b">
        <v>0</v>
      </c>
      <c r="N489" s="10" t="b">
        <v>0</v>
      </c>
      <c r="O489" s="11" t="b">
        <f t="shared" si="1"/>
        <v>0</v>
      </c>
      <c r="P489" s="16" t="b">
        <v>0</v>
      </c>
      <c r="Q489" s="7"/>
    </row>
    <row r="490">
      <c r="A490" s="5" t="b">
        <v>1</v>
      </c>
      <c r="B490" s="5" t="s">
        <v>532</v>
      </c>
      <c r="C490" s="6" t="str">
        <f>IFERROR(__xludf.DUMMYFUNCTION("""COMPUTED_VALUE"""),"10.1016/j.jss.2011.04.067")</f>
        <v>10.1016/j.jss.2011.04.067</v>
      </c>
      <c r="D490" s="7" t="str">
        <f>IFERROR(__xludf.DUMMYFUNCTION("""COMPUTED_VALUE"""),"Zhu X.; He C.; Ge R.; Lu P.")</f>
        <v>Zhu X.; He C.; Ge R.; Lu P.</v>
      </c>
      <c r="E490" s="7" t="str">
        <f>IFERROR(__xludf.DUMMYFUNCTION("""COMPUTED_VALUE"""),"Boosting adaptivity of fault-tolerant scheduling for real-time tasks with service requirements on clusters")</f>
        <v>Boosting adaptivity of fault-tolerant scheduling for real-time tasks with service requirements on clusters</v>
      </c>
      <c r="F490" s="7" t="str">
        <f>IFERROR(__xludf.DUMMYFUNCTION("""COMPUTED_VALUE"""),"JSS")</f>
        <v>JSS</v>
      </c>
      <c r="G490" s="7" t="str">
        <f>IFERROR(__xludf.DUMMYFUNCTION("""COMPUTED_VALUE"""),"Thank to the excellent extensibility and usability, computer clusters have become the dominating platform for parallel computing. Fault-tolerance is mandatory for safety-critical applications running on clusters. In this paper we propose a service-aware a"&amp;"nd adaptive fault-tolerant scheduling algorithm using overlapping technologies (SAO in short) that can tolerate a node's permanent failure at any time instant for real-time tasks with service requirements in heterogeneous clusters. SAO adopts the primary/"&amp;"backup model and considers the timing constraints, service requirements, and system resource utilization. To improve system resource utilization, we employ backup-backup (BB in short) and primary-backup (PB in short) overlapping technologies and analyze t"&amp;"he overlapping constraints. In addition, SAO has high system adaptivity by dynamically adjusting the service levels of tasks based on system load. Furthermore, to improve resource utilization and schedulability, SAO makes backup copies adopt passive execu"&amp;"tion scheme or decrease the overlapping execution time of the primary copy and backup copy of a task as much as possible. Compared with a baseline algorithm SAWO (a service-aware and adaptive fault-tolerant scheduling algorithm without using overlapping t"&amp;"echnologies) and an existing algorithm DYFARS with simulation experiments, SAO achieves an average of 51.25% improvement in performability. © 2011 Elsevier Inc.")</f>
        <v>Thank to the excellent extensibility and usability, computer clusters have become the dominating platform for parallel computing. Fault-tolerance is mandatory for safety-critical applications running on clusters. In this paper we propose a service-aware and adaptive fault-tolerant scheduling algorithm using overlapping technologies (SAO in short) that can tolerate a node's permanent failure at any time instant for real-time tasks with service requirements in heterogeneous clusters. SAO adopts the primary/backup model and considers the timing constraints, service requirements, and system resource utilization. To improve system resource utilization, we employ backup-backup (BB in short) and primary-backup (PB in short) overlapping technologies and analyze the overlapping constraints. In addition, SAO has high system adaptivity by dynamically adjusting the service levels of tasks based on system load. Furthermore, to improve resource utilization and schedulability, SAO makes backup copies adopt passive execution scheme or decrease the overlapping execution time of the primary copy and backup copy of a task as much as possible. Compared with a baseline algorithm SAWO (a service-aware and adaptive fault-tolerant scheduling algorithm without using overlapping technologies) and an existing algorithm DYFARS with simulation experiments, SAO achieves an average of 51.25% improvement in performability. © 2011 Elsevier Inc.</v>
      </c>
      <c r="H490" s="8" t="str">
        <f>IFERROR(__xludf.DUMMYFUNCTION("""COMPUTED_VALUE"""),"Adaptivity; Cluster; Fault-tolerance; Real-time; Scheduling")</f>
        <v>Adaptivity; Cluster; Fault-tolerance; Real-time; Scheduling</v>
      </c>
      <c r="I490" s="10" t="b">
        <v>0</v>
      </c>
      <c r="J490" s="10" t="b">
        <v>0</v>
      </c>
      <c r="K490" s="10" t="b">
        <v>0</v>
      </c>
      <c r="L490" s="10" t="b">
        <v>0</v>
      </c>
      <c r="M490" s="10" t="b">
        <v>0</v>
      </c>
      <c r="N490" s="10" t="b">
        <v>0</v>
      </c>
      <c r="O490" s="11" t="b">
        <f t="shared" si="1"/>
        <v>0</v>
      </c>
      <c r="P490" s="16" t="b">
        <v>0</v>
      </c>
      <c r="Q490" s="7"/>
    </row>
    <row r="491">
      <c r="A491" s="5" t="b">
        <v>1</v>
      </c>
      <c r="B491" s="5" t="s">
        <v>533</v>
      </c>
      <c r="C491" s="6" t="str">
        <f>IFERROR(__xludf.DUMMYFUNCTION("""COMPUTED_VALUE"""),"10.1016/S0164-1212(00)00025-X")</f>
        <v>10.1016/S0164-1212(00)00025-X</v>
      </c>
      <c r="D491" s="7" t="str">
        <f>IFERROR(__xludf.DUMMYFUNCTION("""COMPUTED_VALUE"""),"Ng J.K.-Y.; Lee V.C.-S.")</f>
        <v>Ng J.K.-Y.; Lee V.C.-S.</v>
      </c>
      <c r="E491" s="7" t="str">
        <f>IFERROR(__xludf.DUMMYFUNCTION("""COMPUTED_VALUE"""),"Performance evaluation of transmission schemes for real-time traffic in a high-speed timed-token MAC network")</f>
        <v>Performance evaluation of transmission schemes for real-time traffic in a high-speed timed-token MAC network</v>
      </c>
      <c r="F491" s="7" t="str">
        <f>IFERROR(__xludf.DUMMYFUNCTION("""COMPUTED_VALUE"""),"JSS")</f>
        <v>JSS</v>
      </c>
      <c r="G491" s="7" t="str">
        <f>IFERROR(__xludf.DUMMYFUNCTION("""COMPUTED_VALUE"""),"The fast development of high-speed networks makes many real-time multimedia applications possible. These applications usually involve the transmission of massive amounts of digital video data, which requires the application of video image compression tech"&amp;"nology, under a stringent timing constraint. As a result, the transmission of the variable bit rate (VBR) traffic generated by the compression algorithms plays a very important role in meeting the real-time requirement of the applications. In this paper, "&amp;"we analyze the characteristics of the real-time traffic generated by Moving Pictures Experts Group (MPEG), which is one of the most notable video image compression standards, and evaluate four different transmission schemes for the real-time VBR traffic. "&amp;"In order to have a deterministic behavior and bounded message delays, we choose the timed token medium access control (MAC) protocol for the evaluation of our transmission schemes. Judging from our maximum bandwidth demand analysis, and after a series of "&amp;"intensive simulation experiments, the results reveal that in our best scenario, the performance improvement (PI) can be as high as 422% over the original default transmission scheme in terms of the number of video streams that can be supported in the netw"&amp;"ork.")</f>
        <v>The fast development of high-speed networks makes many real-time multimedia applications possible. These applications usually involve the transmission of massive amounts of digital video data, which requires the application of video image compression technology, under a stringent timing constraint. As a result, the transmission of the variable bit rate (VBR) traffic generated by the compression algorithms plays a very important role in meeting the real-time requirement of the applications. In this paper, we analyze the characteristics of the real-time traffic generated by Moving Pictures Experts Group (MPEG), which is one of the most notable video image compression standards, and evaluate four different transmission schemes for the real-time VBR traffic. In order to have a deterministic behavior and bounded message delays, we choose the timed token medium access control (MAC) protocol for the evaluation of our transmission schemes. Judging from our maximum bandwidth demand analysis, and after a series of intensive simulation experiments, the results reveal that in our best scenario, the performance improvement (PI) can be as high as 422% over the original default transmission scheme in terms of the number of video streams that can be supported in the network.</v>
      </c>
      <c r="H491" s="8"/>
      <c r="I491" s="10" t="b">
        <v>0</v>
      </c>
      <c r="J491" s="10" t="b">
        <v>0</v>
      </c>
      <c r="K491" s="10" t="b">
        <v>0</v>
      </c>
      <c r="L491" s="10" t="b">
        <v>0</v>
      </c>
      <c r="M491" s="10" t="b">
        <v>0</v>
      </c>
      <c r="N491" s="10" t="b">
        <v>0</v>
      </c>
      <c r="O491" s="11" t="b">
        <f t="shared" si="1"/>
        <v>0</v>
      </c>
      <c r="P491" s="16" t="b">
        <v>0</v>
      </c>
      <c r="Q491" s="7"/>
    </row>
    <row r="492">
      <c r="A492" s="5" t="b">
        <v>1</v>
      </c>
      <c r="B492" s="5" t="s">
        <v>534</v>
      </c>
      <c r="C492" s="6" t="str">
        <f>IFERROR(__xludf.DUMMYFUNCTION("""COMPUTED_VALUE"""),"10.1016/j.jss.2010.02.041")</f>
        <v>10.1016/j.jss.2010.02.041</v>
      </c>
      <c r="D492" s="7" t="str">
        <f>IFERROR(__xludf.DUMMYFUNCTION("""COMPUTED_VALUE"""),"Pazzi R.W.; Zhang Z.; Boukerche A.")</f>
        <v>Pazzi R.W.; Zhang Z.; Boukerche A.</v>
      </c>
      <c r="E492" s="7" t="str">
        <f>IFERROR(__xludf.DUMMYFUNCTION("""COMPUTED_VALUE"""),"Design and evaluation of a novel MAC layer handoff protocol for IEEE 802.11 wireless networks")</f>
        <v>Design and evaluation of a novel MAC layer handoff protocol for IEEE 802.11 wireless networks</v>
      </c>
      <c r="F492" s="7" t="str">
        <f>IFERROR(__xludf.DUMMYFUNCTION("""COMPUTED_VALUE"""),"JSS")</f>
        <v>JSS</v>
      </c>
      <c r="G492" s="7" t="str">
        <f>IFERROR(__xludf.DUMMYFUNCTION("""COMPUTED_VALUE"""),"In recent years, the IEEE 802.11 wireless network family has become one of the most important set of standards in the wireless communications industry. IEEE 802.11 compliant devices are inexpensive and easier to configure and deploy than other wireless te"&amp;"chnologies. In an IEEE 802.11 wireless network, wireless terminals can move freely. As a result, when the wireless terminal moves away from its current access point, it must switch to another access point to maintain the active connection. This is known a"&amp;"s the MAC layer handoff process. MAC layer handoff latency should be minimized to support real-time applications and to provide mobile devices with seamless roaming in IEEE 802.11 wireless networks. This paper proposes a novel MAC layer handoff protocol o"&amp;"ver IEEE 802.11 wireless networks by introducing advertisement messages sent from other mobile nodes and from which wireless terminals are able to receive the information of access points in their neighborhood. A mobile node can try to associate with acce"&amp;"ss points based on the prediction before starting the probe process. The experimental results demonstrate that our solution can reduce MAC layer handoff latency to meet the requirements of real-time applications. © 2010 Elsevier Inc. All rights reserved.")</f>
        <v>In recent years, the IEEE 802.11 wireless network family has become one of the most important set of standards in the wireless communications industry. IEEE 802.11 compliant devices are inexpensive and easier to configure and deploy than other wireless technologies. In an IEEE 802.11 wireless network, wireless terminals can move freely. As a result, when the wireless terminal moves away from its current access point, it must switch to another access point to maintain the active connection. This is known as the MAC layer handoff process. MAC layer handoff latency should be minimized to support real-time applications and to provide mobile devices with seamless roaming in IEEE 802.11 wireless networks. This paper proposes a novel MAC layer handoff protocol over IEEE 802.11 wireless networks by introducing advertisement messages sent from other mobile nodes and from which wireless terminals are able to receive the information of access points in their neighborhood. A mobile node can try to associate with access points based on the prediction before starting the probe process. The experimental results demonstrate that our solution can reduce MAC layer handoff latency to meet the requirements of real-time applications. © 2010 Elsevier Inc. All rights reserved.</v>
      </c>
      <c r="H492" s="8" t="str">
        <f>IFERROR(__xludf.DUMMYFUNCTION("""COMPUTED_VALUE"""),"Handoff; IEEE 802.11; MAC layer")</f>
        <v>Handoff; IEEE 802.11; MAC layer</v>
      </c>
      <c r="I492" s="10" t="b">
        <v>0</v>
      </c>
      <c r="J492" s="10" t="b">
        <v>0</v>
      </c>
      <c r="K492" s="10" t="b">
        <v>0</v>
      </c>
      <c r="L492" s="10" t="b">
        <v>0</v>
      </c>
      <c r="M492" s="10" t="b">
        <v>0</v>
      </c>
      <c r="N492" s="10" t="b">
        <v>0</v>
      </c>
      <c r="O492" s="11" t="b">
        <f t="shared" si="1"/>
        <v>0</v>
      </c>
      <c r="P492" s="16" t="b">
        <v>0</v>
      </c>
      <c r="Q492" s="7"/>
    </row>
    <row r="493">
      <c r="A493" s="5" t="b">
        <v>1</v>
      </c>
      <c r="B493" s="5" t="s">
        <v>535</v>
      </c>
      <c r="C493" s="6" t="str">
        <f>IFERROR(__xludf.DUMMYFUNCTION("""COMPUTED_VALUE"""),"10.1016/S0164-1212(96)00154-9")</f>
        <v>10.1016/S0164-1212(96)00154-9</v>
      </c>
      <c r="D493" s="7" t="str">
        <f>IFERROR(__xludf.DUMMYFUNCTION("""COMPUTED_VALUE"""),"Frankl P.G.; Weiss S.N.; Hu C.")</f>
        <v>Frankl P.G.; Weiss S.N.; Hu C.</v>
      </c>
      <c r="E493" s="7" t="str">
        <f>IFERROR(__xludf.DUMMYFUNCTION("""COMPUTED_VALUE"""),"All-uses vs mutation testing: An experimental comparison of effectiveness")</f>
        <v>All-uses vs mutation testing: An experimental comparison of effectiveness</v>
      </c>
      <c r="F493" s="7" t="str">
        <f>IFERROR(__xludf.DUMMYFUNCTION("""COMPUTED_VALUE"""),"JSS")</f>
        <v>JSS</v>
      </c>
      <c r="G493" s="7" t="str">
        <f>IFERROR(__xludf.DUMMYFUNCTION("""COMPUTED_VALUE"""),"The effectiveness of a test data adequacy criterion for a given program and specification is the probability that a test set satisfying the criterion will expose a fault. Experiments were performed to compare the effectiveness of the mutation testing and "&amp;"all-uses test data adequacy criteria at various coverage levels, for randomly generated test sets. Large numbers of test sets were generated and executed, and for each, the proportion of mutants killed or def-use associations covered was measured. This da"&amp;"ta was used to estimate and compare the effectiveness of the criteria. The results were mixed: at the highest coverage levels considered, mutation was more effective than all-uses for five of the nine subjects, all-uses was more effective than mutation fo"&amp;"r two subjects, and there was no clear winner for two subjects. However, mutation testing was much more expensive than all-uses. The relationship between coverage and effectiveness for fixed-sized test sets was also explored and was found to be nonlinear "&amp;"and, in many cases, nonmonotonic. © 1997 Elsevier Science Inc.")</f>
        <v>The effectiveness of a test data adequacy criterion for a given program and specification is the probability that a test set satisfying the criterion will expose a fault. Experiments were performed to compare the effectiveness of the mutation testing and all-uses test data adequacy criteria at various coverage levels, for randomly generated test sets. Large numbers of test sets were generated and executed, and for each, the proportion of mutants killed or def-use associations covered was measured. This data was used to estimate and compare the effectiveness of the criteria. The results were mixed: at the highest coverage levels considered, mutation was more effective than all-uses for five of the nine subjects, all-uses was more effective than mutation for two subjects, and there was no clear winner for two subjects. However, mutation testing was much more expensive than all-uses. The relationship between coverage and effectiveness for fixed-sized test sets was also explored and was found to be nonlinear and, in many cases, nonmonotonic. © 1997 Elsevier Science Inc.</v>
      </c>
      <c r="H493" s="8"/>
      <c r="I493" s="10" t="b">
        <v>0</v>
      </c>
      <c r="J493" s="10" t="b">
        <v>0</v>
      </c>
      <c r="K493" s="10" t="b">
        <v>0</v>
      </c>
      <c r="L493" s="10" t="b">
        <v>0</v>
      </c>
      <c r="M493" s="10" t="b">
        <v>0</v>
      </c>
      <c r="N493" s="10" t="b">
        <v>0</v>
      </c>
      <c r="O493" s="11" t="b">
        <f t="shared" si="1"/>
        <v>0</v>
      </c>
      <c r="P493" s="16" t="b">
        <v>0</v>
      </c>
      <c r="Q493" s="7"/>
    </row>
    <row r="494">
      <c r="A494" s="5" t="b">
        <v>1</v>
      </c>
      <c r="B494" s="5" t="s">
        <v>536</v>
      </c>
      <c r="C494" s="6" t="str">
        <f>IFERROR(__xludf.DUMMYFUNCTION("""COMPUTED_VALUE"""),"10.1016/j.jss.2007.05.036")</f>
        <v>10.1016/j.jss.2007.05.036</v>
      </c>
      <c r="D494" s="7" t="str">
        <f>IFERROR(__xludf.DUMMYFUNCTION("""COMPUTED_VALUE"""),"Liu S.; Chen Y.")</f>
        <v>Liu S.; Chen Y.</v>
      </c>
      <c r="E494" s="7" t="str">
        <f>IFERROR(__xludf.DUMMYFUNCTION("""COMPUTED_VALUE"""),"A relation-based method combining functional and structural testing for test case generation")</f>
        <v>A relation-based method combining functional and structural testing for test case generation</v>
      </c>
      <c r="F494" s="7" t="str">
        <f>IFERROR(__xludf.DUMMYFUNCTION("""COMPUTED_VALUE"""),"JSS")</f>
        <v>JSS</v>
      </c>
      <c r="G494" s="7" t="str">
        <f>IFERROR(__xludf.DUMMYFUNCTION("""COMPUTED_VALUE"""),"Specification-based (or functional) testing enables us to detect errors in the implementation of functions defined in specifications, but since specifications are often incomplete in practice for some reasons (e.g., lack of ideas, no time to write), it is"&amp;" unlikely to be sufficient for testing all parts of corresponding programs. On the other hand, implementation-based (or structural) testing focuses on the examination of program structures, which allows us to test all parts of the programs, but may not be"&amp;" effective to show whether the programs properly implement the corresponding specifications. To perform a comprehensive testing of a program in practice, it is important to adopt both specification-based and implementation-based testing. In this paper we "&amp;"describe a relation-based test method that combines the specification-based and the implementation-based testing approaches. We establish a set of relations for test case generation, illustrate how the method is used with an example, and investigate the e"&amp;"ffectiveness and weakness of the method through an experiment on testing a software tool system. © 2007 Elsevier Inc. All rights reserved.")</f>
        <v>Specification-based (or functional) testing enables us to detect errors in the implementation of functions defined in specifications, but since specifications are often incomplete in practice for some reasons (e.g., lack of ideas, no time to write), it is unlikely to be sufficient for testing all parts of corresponding programs. On the other hand, implementation-based (or structural) testing focuses on the examination of program structures, which allows us to test all parts of the programs, but may not be effective to show whether the programs properly implement the corresponding specifications. To perform a comprehensive testing of a program in practice, it is important to adopt both specification-based and implementation-based testing. In this paper we describe a relation-based test method that combines the specification-based and the implementation-based testing approaches. We establish a set of relations for test case generation, illustrate how the method is used with an example, and investigate the effectiveness and weakness of the method through an experiment on testing a software tool system. © 2007 Elsevier Inc. All rights reserved.</v>
      </c>
      <c r="H494" s="8" t="str">
        <f>IFERROR(__xludf.DUMMYFUNCTION("""COMPUTED_VALUE"""),"Relationship-based testing; Software testing; Specification-based testing")</f>
        <v>Relationship-based testing; Software testing; Specification-based testing</v>
      </c>
      <c r="I494" s="9" t="b">
        <v>1</v>
      </c>
      <c r="J494" s="9" t="b">
        <v>1</v>
      </c>
      <c r="K494" s="9" t="b">
        <v>1</v>
      </c>
      <c r="L494" s="10" t="b">
        <v>0</v>
      </c>
      <c r="M494" s="10" t="b">
        <v>0</v>
      </c>
      <c r="N494" s="10" t="b">
        <v>0</v>
      </c>
      <c r="O494" s="11" t="b">
        <f t="shared" si="1"/>
        <v>1</v>
      </c>
      <c r="P494" s="12" t="b">
        <v>0</v>
      </c>
      <c r="Q494" s="13"/>
    </row>
    <row r="495">
      <c r="A495" s="5" t="b">
        <v>1</v>
      </c>
      <c r="B495" s="5" t="s">
        <v>537</v>
      </c>
      <c r="C495" s="6" t="str">
        <f>IFERROR(__xludf.DUMMYFUNCTION("""COMPUTED_VALUE"""),"10.1016/j.jss.2005.06.043")</f>
        <v>10.1016/j.jss.2005.06.043</v>
      </c>
      <c r="D495" s="7" t="str">
        <f>IFERROR(__xludf.DUMMYFUNCTION("""COMPUTED_VALUE"""),"Babar M.A.; Kitchenham B.; Zhu L.; Gorton I.; Jeffery R.")</f>
        <v>Babar M.A.; Kitchenham B.; Zhu L.; Gorton I.; Jeffery R.</v>
      </c>
      <c r="E495" s="7" t="str">
        <f>IFERROR(__xludf.DUMMYFUNCTION("""COMPUTED_VALUE"""),"An empirical study of groupware support for distributed software architecture evaluation process")</f>
        <v>An empirical study of groupware support for distributed software architecture evaluation process</v>
      </c>
      <c r="F495" s="7" t="str">
        <f>IFERROR(__xludf.DUMMYFUNCTION("""COMPUTED_VALUE"""),"JSS")</f>
        <v>JSS</v>
      </c>
      <c r="G495" s="7" t="str">
        <f>IFERROR(__xludf.DUMMYFUNCTION("""COMPUTED_VALUE"""),"Software architecture evaluation is an effective means of addressing quality related issues early in the software development lifecycle. Scenario-based approaches to evaluate architecture usually involve a large number of stakeholders, who need to be coll"&amp;"ocated for face-to-face evaluation meetings. Collocating a large number of stakeholders is an expensive and time-consuming exercise, which may prove to be a hurdle in the wide-spread adoption of disciplined architectural evaluation practices. Drawing upon"&amp;" the successful introduction of groupware applications to support geographically distributed teams in software inspection, and requirements engineering disciplines, we propose the concept of distributed architectural evaluation using Internet-based collab"&amp;"orative technologies. This paper presents a pilot study used to assess the viability of a larger experiment intended to investigate the feasibility of groupware support for distributed software architecture evaluation. In addition, the results of the pilo"&amp;"t study provide some preliminary findings on the viability of groupware-supported software architectural evaluation process. © 2005 Elsevier Inc. All rights reserved.")</f>
        <v>Software architecture evaluation is an effective means of addressing quality related issues early in the software development lifecycle. Scenario-based approaches to evaluate architecture usually involve a large number of stakeholders, who need to be collocated for face-to-face evaluation meetings. Collocating a large number of stakeholders is an expensive and time-consuming exercise, which may prove to be a hurdle in the wide-spread adoption of disciplined architectural evaluation practices. Drawing upon the successful introduction of groupware applications to support geographically distributed teams in software inspection, and requirements engineering disciplines, we propose the concept of distributed architectural evaluation using Internet-based collaborative technologies. This paper presents a pilot study used to assess the viability of a larger experiment intended to investigate the feasibility of groupware support for distributed software architecture evaluation. In addition, the results of the pilot study provide some preliminary findings on the viability of groupware-supported software architectural evaluation process. © 2005 Elsevier Inc. All rights reserved.</v>
      </c>
      <c r="H495" s="8" t="str">
        <f>IFERROR(__xludf.DUMMYFUNCTION("""COMPUTED_VALUE"""),"Distributed software development; Empirical software engineering; Groupware systems; Software architecture evaluation; Software process improvement")</f>
        <v>Distributed software development; Empirical software engineering; Groupware systems; Software architecture evaluation; Software process improvement</v>
      </c>
      <c r="I495" s="10" t="b">
        <v>0</v>
      </c>
      <c r="J495" s="10" t="b">
        <v>0</v>
      </c>
      <c r="K495" s="10" t="b">
        <v>0</v>
      </c>
      <c r="L495" s="10" t="b">
        <v>0</v>
      </c>
      <c r="M495" s="10" t="b">
        <v>0</v>
      </c>
      <c r="N495" s="10" t="b">
        <v>0</v>
      </c>
      <c r="O495" s="11" t="b">
        <f t="shared" si="1"/>
        <v>0</v>
      </c>
      <c r="P495" s="16" t="b">
        <v>0</v>
      </c>
      <c r="Q495" s="7"/>
    </row>
    <row r="496">
      <c r="A496" s="5" t="b">
        <v>1</v>
      </c>
      <c r="B496" s="5" t="s">
        <v>538</v>
      </c>
      <c r="C496" s="6" t="str">
        <f>IFERROR(__xludf.DUMMYFUNCTION("""COMPUTED_VALUE"""),"10.1016/0164-1212(89)90017-4")</f>
        <v>10.1016/0164-1212(89)90017-4</v>
      </c>
      <c r="D496" s="7" t="str">
        <f>IFERROR(__xludf.DUMMYFUNCTION("""COMPUTED_VALUE"""),"McGarry F.E.; Agresti W.W.")</f>
        <v>McGarry F.E.; Agresti W.W.</v>
      </c>
      <c r="E496" s="7" t="str">
        <f>IFERROR(__xludf.DUMMYFUNCTION("""COMPUTED_VALUE"""),"Measuring Ada for software development in the Software Engineering Laboratory")</f>
        <v>Measuring Ada for software development in the Software Engineering Laboratory</v>
      </c>
      <c r="F496" s="7" t="str">
        <f>IFERROR(__xludf.DUMMYFUNCTION("""COMPUTED_VALUE"""),"JSS")</f>
        <v>JSS</v>
      </c>
      <c r="G496" s="7" t="str">
        <f>IFERROR(__xludf.DUMMYFUNCTION("""COMPUTED_VALUE"""),"The Ada development language and its implied methodologies have the potential to improve significantly the general software development process and the resulting product. At the National Aeronautics and Space Administration (NASA)/ Goddard Space Flight Ce"&amp;"nter (GSFC), the Software Engineering Laboratory (SEL) has been conducting studies and experiments with the Ada development language. One such study is the parallel development of a production flight dynamics system by two teams of professional programmer"&amp;"s. Both teams worked from the same set of requirements, with one team required to use the normal development process (Fortran), while the second team used the Ada development language. Detailed data were collected during the development phases to support "&amp;"the analysis. A discussion of the experimental approach and some of the key results from early, completed studies are presented. © 1989.")</f>
        <v>The Ada development language and its implied methodologies have the potential to improve significantly the general software development process and the resulting product. At the National Aeronautics and Space Administration (NASA)/ Goddard Space Flight Center (GSFC), the Software Engineering Laboratory (SEL) has been conducting studies and experiments with the Ada development language. One such study is the parallel development of a production flight dynamics system by two teams of professional programmers. Both teams worked from the same set of requirements, with one team required to use the normal development process (Fortran), while the second team used the Ada development language. Detailed data were collected during the development phases to support the analysis. A discussion of the experimental approach and some of the key results from early, completed studies are presented. © 1989.</v>
      </c>
      <c r="H496" s="8"/>
      <c r="I496" s="9" t="b">
        <v>1</v>
      </c>
      <c r="J496" s="9" t="b">
        <v>1</v>
      </c>
      <c r="K496" s="9" t="b">
        <v>1</v>
      </c>
      <c r="L496" s="10" t="b">
        <v>0</v>
      </c>
      <c r="M496" s="10" t="b">
        <v>0</v>
      </c>
      <c r="N496" s="10" t="b">
        <v>0</v>
      </c>
      <c r="O496" s="11" t="b">
        <f t="shared" si="1"/>
        <v>1</v>
      </c>
      <c r="P496" s="16" t="b">
        <v>0</v>
      </c>
      <c r="Q496" s="7"/>
    </row>
    <row r="497">
      <c r="A497" s="5" t="b">
        <v>1</v>
      </c>
      <c r="B497" s="5" t="s">
        <v>539</v>
      </c>
      <c r="C497" s="6" t="str">
        <f>IFERROR(__xludf.DUMMYFUNCTION("""COMPUTED_VALUE"""),"10.1016/j.jss.2008.12.039")</f>
        <v>10.1016/j.jss.2008.12.039</v>
      </c>
      <c r="D497" s="7" t="str">
        <f>IFERROR(__xludf.DUMMYFUNCTION("""COMPUTED_VALUE"""),"Ras E.; Rech J.")</f>
        <v>Ras E.; Rech J.</v>
      </c>
      <c r="E497" s="7" t="str">
        <f>IFERROR(__xludf.DUMMYFUNCTION("""COMPUTED_VALUE"""),"Using Wikis to support the Net Generation in improving knowledge acquisition in capstone projects")</f>
        <v>Using Wikis to support the Net Generation in improving knowledge acquisition in capstone projects</v>
      </c>
      <c r="F497" s="7" t="str">
        <f>IFERROR(__xludf.DUMMYFUNCTION("""COMPUTED_VALUE"""),"JSS")</f>
        <v>JSS</v>
      </c>
      <c r="G497" s="7" t="str">
        <f>IFERROR(__xludf.DUMMYFUNCTION("""COMPUTED_VALUE"""),"Students have to cope with new technologies, changing environments, and conflicting changes in capstone projects. They often lack practical experience, which might lead to failing to achieve a project's learning goals. In addition, the Net Generation stud"&amp;"ents put new requirements upon software engineering education because they are digitally literate, always connected to the Internet and their social networks. They react fast and multitask, prefer an experimental working approach, are communicative, and n"&amp;"eed personalized learning and working environments. Reusing experiences from other students provides a first step towards building up practical knowledge and implementing experiential learning in higher education. In order to further improve knowledge acq"&amp;"uisition during experience reuse, we present an approach based on Web 2.0 technologies that generates so-called learning spaces. This approach automatically enriches experiences with additional learning content and contextual information. To evaluate our "&amp;"approach, we conducted a controlled experiment, which showed a statistically significant improvement for knowledge acquisition of 204% compared to conventional experience descriptions. From a technical perspective, the approach provides a good basis for f"&amp;"uture applications that support learning at the workplace in academia and industry for the Net Generation. © 2009 Elsevier Inc. All rights reserved.")</f>
        <v>Students have to cope with new technologies, changing environments, and conflicting changes in capstone projects. They often lack practical experience, which might lead to failing to achieve a project's learning goals. In addition, the Net Generation students put new requirements upon software engineering education because they are digitally literate, always connected to the Internet and their social networks. They react fast and multitask, prefer an experimental working approach, are communicative, and need personalized learning and working environments. Reusing experiences from other students provides a first step towards building up practical knowledge and implementing experiential learning in higher education. In order to further improve knowledge acquisition during experience reuse, we present an approach based on Web 2.0 technologies that generates so-called learning spaces. This approach automatically enriches experiences with additional learning content and contextual information. To evaluate our approach, we conducted a controlled experiment, which showed a statistically significant improvement for knowledge acquisition of 204% compared to conventional experience descriptions. From a technical perspective, the approach provides a good basis for future applications that support learning at the workplace in academia and industry for the Net Generation. © 2009 Elsevier Inc. All rights reserved.</v>
      </c>
      <c r="H497" s="8" t="str">
        <f>IFERROR(__xludf.DUMMYFUNCTION("""COMPUTED_VALUE"""),"Capstone project; Knowledge acquisition; Learning space; Net Generation; Software engineering education; Web 2.0")</f>
        <v>Capstone project; Knowledge acquisition; Learning space; Net Generation; Software engineering education; Web 2.0</v>
      </c>
      <c r="I497" s="9" t="b">
        <v>1</v>
      </c>
      <c r="J497" s="10" t="b">
        <v>0</v>
      </c>
      <c r="K497" s="9" t="b">
        <v>0</v>
      </c>
      <c r="L497" s="10" t="b">
        <v>0</v>
      </c>
      <c r="M497" s="10" t="b">
        <v>0</v>
      </c>
      <c r="N497" s="10" t="b">
        <v>0</v>
      </c>
      <c r="O497" s="11" t="b">
        <f t="shared" si="1"/>
        <v>0</v>
      </c>
      <c r="P497" s="16" t="b">
        <v>0</v>
      </c>
      <c r="Q497" s="7"/>
    </row>
    <row r="498">
      <c r="A498" s="5" t="b">
        <v>1</v>
      </c>
      <c r="B498" s="5" t="s">
        <v>540</v>
      </c>
      <c r="C498" s="6" t="str">
        <f>IFERROR(__xludf.DUMMYFUNCTION("""COMPUTED_VALUE"""),"10.1016/j.jss.2011.02.047")</f>
        <v>10.1016/j.jss.2011.02.047</v>
      </c>
      <c r="D498" s="7" t="str">
        <f>IFERROR(__xludf.DUMMYFUNCTION("""COMPUTED_VALUE"""),"Zhao Y.; Cao J.; Zhang C.; Zhang S.")</f>
        <v>Zhao Y.; Cao J.; Zhang C.; Zhang S.</v>
      </c>
      <c r="E498" s="7" t="str">
        <f>IFERROR(__xludf.DUMMYFUNCTION("""COMPUTED_VALUE"""),"Enhancing grid-density based clustering for high dimensional data")</f>
        <v>Enhancing grid-density based clustering for high dimensional data</v>
      </c>
      <c r="F498" s="7" t="str">
        <f>IFERROR(__xludf.DUMMYFUNCTION("""COMPUTED_VALUE"""),"JSS")</f>
        <v>JSS</v>
      </c>
      <c r="G498" s="7" t="str">
        <f>IFERROR(__xludf.DUMMYFUNCTION("""COMPUTED_VALUE"""),"We propose an enhanced grid-density based approach for clustering high dimensional data. Our technique takes objects (or points) as atomic units in which the size requirement to cells is waived without losing clustering accuracy. For efficiency, a new par"&amp;"titioning is developed to make the number of cells smoothly adjustable; a concept of the ith-order neighbors is defined for avoiding considering the exponential number of neighboring cells; and a novel density compensation is proposed for improving the cl"&amp;"ustering accuracy and quality. We experimentally evaluate our approach and demonstrate that our algorithm significantly improves the clustering accuracy and quality. © 2011 Elsevier Inc. All rights reserved.")</f>
        <v>We propose an enhanced grid-density based approach for clustering high dimensional data. Our technique takes objects (or points) as atomic units in which the size requirement to cells is waived without losing clustering accuracy. For efficiency, a new partitioning is developed to make the number of cells smoothly adjustable; a concept of the ith-order neighbors is defined for avoiding considering the exponential number of neighboring cells; and a novel density compensation is proposed for improving the clustering accuracy and quality. We experimentally evaluate our approach and demonstrate that our algorithm significantly improves the clustering accuracy and quality. © 2011 Elsevier Inc. All rights reserved.</v>
      </c>
      <c r="H498" s="8" t="str">
        <f>IFERROR(__xludf.DUMMYFUNCTION("""COMPUTED_VALUE"""),"Clustering; High dimensional data; Subspace clustering")</f>
        <v>Clustering; High dimensional data; Subspace clustering</v>
      </c>
      <c r="I498" s="10" t="b">
        <v>0</v>
      </c>
      <c r="J498" s="10" t="b">
        <v>0</v>
      </c>
      <c r="K498" s="10" t="b">
        <v>0</v>
      </c>
      <c r="L498" s="10" t="b">
        <v>0</v>
      </c>
      <c r="M498" s="10" t="b">
        <v>0</v>
      </c>
      <c r="N498" s="10" t="b">
        <v>0</v>
      </c>
      <c r="O498" s="11" t="b">
        <f t="shared" si="1"/>
        <v>0</v>
      </c>
      <c r="P498" s="16" t="b">
        <v>0</v>
      </c>
      <c r="Q498" s="7"/>
    </row>
    <row r="499">
      <c r="A499" s="5" t="b">
        <v>1</v>
      </c>
      <c r="B499" s="5" t="s">
        <v>541</v>
      </c>
      <c r="C499" s="6" t="str">
        <f>IFERROR(__xludf.DUMMYFUNCTION("""COMPUTED_VALUE"""),"10.1016/S0164-1212(98)10003-1")</f>
        <v>10.1016/S0164-1212(98)10003-1</v>
      </c>
      <c r="D499" s="7" t="str">
        <f>IFERROR(__xludf.DUMMYFUNCTION("""COMPUTED_VALUE"""),"Robertson D.")</f>
        <v>Robertson D.</v>
      </c>
      <c r="E499" s="7" t="str">
        <f>IFERROR(__xludf.DUMMYFUNCTION("""COMPUTED_VALUE"""),"An empirical study of the LSS specification toolkit in use")</f>
        <v>An empirical study of the LSS specification toolkit in use</v>
      </c>
      <c r="F499" s="7" t="str">
        <f>IFERROR(__xludf.DUMMYFUNCTION("""COMPUTED_VALUE"""),"JSS")</f>
        <v>JSS</v>
      </c>
      <c r="G499" s="7" t="str">
        <f>IFERROR(__xludf.DUMMYFUNCTION("""COMPUTED_VALUE"""),"The Lightweight Specification System (LSS) toolkit assists in the development of logic programs, using a variety of high level specification methods. Many other high level specification systems impose a single, uniform view of how specification should pro"&amp;"ceed. In practice, there is normally no single understanding of how to describe specifications - there are instead a variety of different forms of description which have evolved from the work practices of various domains. Any attempt to disturb these work"&amp;" practices in a radical way will, naturally, meet with resistance unless those who must be educated in new methods can see clearly that they will benefit (soon) from their efforts. LSS addresses this problem by providing a collection of comparatively simp"&amp;"le independent tools, each of which is directed at a particular community of users who might reasonably be expected to adjust to the tool without excessive effort. In this sense, LSS is lightweight - it is intended to be easy to pick up. Communication bet"&amp;"ween LSS tools is achieved by using Horn Clause logic as a standard language, although users of some of the tools are buffered from the logical details by interfaces targeted at the appropriate group of users. This allows the products of specification fro"&amp;"m some of the tools to be used as the basis for more detailed specification (perhaps by other people) using other tools. This paper summarises the current LSS system and describes the results of an experiment in applying it to a substantial software engin"&amp;"eering task: the specification of one of its own tools. © 1998 Elsevier Science Inc. All rights reserved.")</f>
        <v>The Lightweight Specification System (LSS) toolkit assists in the development of logic programs, using a variety of high level specification methods. Many other high level specification systems impose a single, uniform view of how specification should proceed. In practice, there is normally no single understanding of how to describe specifications - there are instead a variety of different forms of description which have evolved from the work practices of various domains. Any attempt to disturb these work practices in a radical way will, naturally, meet with resistance unless those who must be educated in new methods can see clearly that they will benefit (soon) from their efforts. LSS addresses this problem by providing a collection of comparatively simple independent tools, each of which is directed at a particular community of users who might reasonably be expected to adjust to the tool without excessive effort. In this sense, LSS is lightweight - it is intended to be easy to pick up. Communication between LSS tools is achieved by using Horn Clause logic as a standard language, although users of some of the tools are buffered from the logical details by interfaces targeted at the appropriate group of users. This allows the products of specification from some of the tools to be used as the basis for more detailed specification (perhaps by other people) using other tools. This paper summarises the current LSS system and describes the results of an experiment in applying it to a substantial software engineering task: the specification of one of its own tools. © 1998 Elsevier Science Inc. All rights reserved.</v>
      </c>
      <c r="H499" s="8"/>
      <c r="I499" s="10" t="b">
        <v>0</v>
      </c>
      <c r="J499" s="9" t="b">
        <v>0</v>
      </c>
      <c r="K499" s="9" t="b">
        <v>1</v>
      </c>
      <c r="L499" s="10" t="b">
        <v>0</v>
      </c>
      <c r="M499" s="10" t="b">
        <v>0</v>
      </c>
      <c r="N499" s="10" t="b">
        <v>0</v>
      </c>
      <c r="O499" s="11" t="b">
        <f t="shared" si="1"/>
        <v>0</v>
      </c>
      <c r="P499" s="12" t="b">
        <v>0</v>
      </c>
      <c r="Q499" s="13"/>
    </row>
    <row r="500">
      <c r="A500" s="5" t="b">
        <v>1</v>
      </c>
      <c r="B500" s="5" t="s">
        <v>542</v>
      </c>
      <c r="C500" s="6" t="str">
        <f>IFERROR(__xludf.DUMMYFUNCTION("""COMPUTED_VALUE"""),"10.1016/S0164-1212(98)00003-X")</f>
        <v>10.1016/S0164-1212(98)00003-X</v>
      </c>
      <c r="D500" s="7" t="str">
        <f>IFERROR(__xludf.DUMMYFUNCTION("""COMPUTED_VALUE"""),"Finney K.; Rennolls K.; Fedorec A.")</f>
        <v>Finney K.; Rennolls K.; Fedorec A.</v>
      </c>
      <c r="E500" s="7" t="str">
        <f>IFERROR(__xludf.DUMMYFUNCTION("""COMPUTED_VALUE"""),"Measuring the comprehensibility of Z specifications")</f>
        <v>Measuring the comprehensibility of Z specifications</v>
      </c>
      <c r="F500" s="7" t="str">
        <f>IFERROR(__xludf.DUMMYFUNCTION("""COMPUTED_VALUE"""),"JSS")</f>
        <v>JSS</v>
      </c>
      <c r="G500" s="7" t="str">
        <f>IFERROR(__xludf.DUMMYFUNCTION("""COMPUTED_VALUE"""),"The effects of natural language comments, meaningful variable names, and structure on the comprehensibility of Z specifications are investigated through a designed experiment conducted with a range of undergraduate and post-graduate student subjects. The "&amp;"times taken on three assessment questions are analysed and related to the abilities of the students as indicated by their total score, with the result that stronger students need less time than weaker students to complete the assessment. Individual questi"&amp;"on scores, and total score, are then analysed and the influence of comments, naming, structure and level of student's class are determined. In the whole experimental group, only meaningful naming significantly enhances comprehension. In contrast, for thos"&amp;"e obtaining the best score of 3/3 the only significant factor is commenting. Finally, the subjects' ratings of the five specifications used in the study in terms of their perceived comprehensibility have been analysed. Comments, naming and structure are a"&amp;"gain found to be of importance in the group when analysed as a whole, but in the sub-group of best performing subjects only the comments had an effect on perceived comprehensibility. © 1998 Elsevier Science Inc. All rights reserved.")</f>
        <v>The effects of natural language comments, meaningful variable names, and structure on the comprehensibility of Z specifications are investigated through a designed experiment conducted with a range of undergraduate and post-graduate student subjects. The times taken on three assessment questions are analysed and related to the abilities of the students as indicated by their total score, with the result that stronger students need less time than weaker students to complete the assessment. Individual question scores, and total score, are then analysed and the influence of comments, naming, structure and level of student's class are determined. In the whole experimental group, only meaningful naming significantly enhances comprehension. In contrast, for those obtaining the best score of 3/3 the only significant factor is commenting. Finally, the subjects' ratings of the five specifications used in the study in terms of their perceived comprehensibility have been analysed. Comments, naming and structure are again found to be of importance in the group when analysed as a whole, but in the sub-group of best performing subjects only the comments had an effect on perceived comprehensibility. © 1998 Elsevier Science Inc. All rights reserved.</v>
      </c>
      <c r="H500" s="8"/>
      <c r="I500" s="9" t="b">
        <v>1</v>
      </c>
      <c r="J500" s="9" t="b">
        <v>1</v>
      </c>
      <c r="K500" s="9" t="b">
        <v>1</v>
      </c>
      <c r="L500" s="10" t="b">
        <v>0</v>
      </c>
      <c r="M500" s="10" t="b">
        <v>0</v>
      </c>
      <c r="N500" s="10" t="b">
        <v>0</v>
      </c>
      <c r="O500" s="11" t="b">
        <f t="shared" si="1"/>
        <v>1</v>
      </c>
      <c r="P500" s="12" t="b">
        <v>0</v>
      </c>
      <c r="Q500" s="7"/>
    </row>
    <row r="501">
      <c r="A501" s="5" t="b">
        <v>1</v>
      </c>
      <c r="B501" s="5" t="s">
        <v>543</v>
      </c>
      <c r="C501" s="6" t="str">
        <f>IFERROR(__xludf.DUMMYFUNCTION("""COMPUTED_VALUE"""),"10.1016/0164-1212(89)90015-0")</f>
        <v>10.1016/0164-1212(89)90015-0</v>
      </c>
      <c r="D501" s="7" t="str">
        <f>IFERROR(__xludf.DUMMYFUNCTION("""COMPUTED_VALUE"""),"Kudo H.; Sugiyama Y.; Fujii M.; Torii K.")</f>
        <v>Kudo H.; Sugiyama Y.; Fujii M.; Torii K.</v>
      </c>
      <c r="E501" s="7" t="str">
        <f>IFERROR(__xludf.DUMMYFUNCTION("""COMPUTED_VALUE"""),"Quantifying a design process based on experiments")</f>
        <v>Quantifying a design process based on experiments</v>
      </c>
      <c r="F501" s="7" t="str">
        <f>IFERROR(__xludf.DUMMYFUNCTION("""COMPUTED_VALUE"""),"JSS")</f>
        <v>JSS</v>
      </c>
      <c r="G501" s="7" t="str">
        <f>IFERROR(__xludf.DUMMYFUNCTION("""COMPUTED_VALUE"""),"There have been many studies involving quantitative measurement of software projects whose objects have been to quantify either software products or software development process. Our goal in this paper is to identify important factors that quantify softwa"&amp;"re design process by which we mean phase of software development that spans the specification and coding. Through two experiments using student subjects we have identified the quality of specification and programmer effort as important factors. © 1989.")</f>
        <v>There have been many studies involving quantitative measurement of software projects whose objects have been to quantify either software products or software development process. Our goal in this paper is to identify important factors that quantify software design process by which we mean phase of software development that spans the specification and coding. Through two experiments using student subjects we have identified the quality of specification and programmer effort as important factors. © 1989.</v>
      </c>
      <c r="H501" s="8"/>
      <c r="I501" s="9" t="b">
        <v>1</v>
      </c>
      <c r="J501" s="9" t="b">
        <v>0</v>
      </c>
      <c r="K501" s="9" t="b">
        <v>1</v>
      </c>
      <c r="L501" s="10" t="b">
        <v>0</v>
      </c>
      <c r="M501" s="9" t="b">
        <v>1</v>
      </c>
      <c r="N501" s="10" t="b">
        <v>0</v>
      </c>
      <c r="O501" s="11" t="b">
        <f t="shared" si="1"/>
        <v>0</v>
      </c>
      <c r="P501" s="12" t="b">
        <v>0</v>
      </c>
      <c r="Q501" s="7"/>
    </row>
    <row r="502">
      <c r="A502" s="5" t="b">
        <v>1</v>
      </c>
      <c r="B502" s="5" t="s">
        <v>544</v>
      </c>
      <c r="C502" s="6" t="str">
        <f>IFERROR(__xludf.DUMMYFUNCTION("""COMPUTED_VALUE"""),"10.1016/j.jss.2010.06.013")</f>
        <v>10.1016/j.jss.2010.06.013</v>
      </c>
      <c r="D502" s="7" t="str">
        <f>IFERROR(__xludf.DUMMYFUNCTION("""COMPUTED_VALUE"""),"Caballé S.; Xhafa F.")</f>
        <v>Caballé S.; Xhafa F.</v>
      </c>
      <c r="E502" s="7" t="str">
        <f>IFERROR(__xludf.DUMMYFUNCTION("""COMPUTED_VALUE"""),"CLPL: Providing software infrastructure for the systematic and effective construction of complex collaborative learning systems")</f>
        <v>CLPL: Providing software infrastructure for the systematic and effective construction of complex collaborative learning systems</v>
      </c>
      <c r="F502" s="7" t="str">
        <f>IFERROR(__xludf.DUMMYFUNCTION("""COMPUTED_VALUE"""),"JSS")</f>
        <v>JSS</v>
      </c>
      <c r="G502" s="7" t="str">
        <f>IFERROR(__xludf.DUMMYFUNCTION("""COMPUTED_VALUE"""),"Over the last decade, e-Learning and in particular Computer-Supported Collaborative Learning (CSCL) needs have been evolving accordingly with more and more demanding pedagogical and technological requirements. As a result, high customization and flexibili"&amp;"ty are a must in this context, meaning that collaborative learning practices need to be continuously adapted, adjusted, and personalized to each specific target learning group. These very demanding needs of the CSCL domain represent a great challenge for "&amp;"the research community on software development to satisfy. This contribution presents and evaluates a previous research effort in the form of a generic software infrastructure called Collaborative Learning Purpose Library (CLPL) with the aim of meeting th"&amp;"e current and demanding needs found in the CSCL domain. To this end, we experiment with the CLPL in order to offer an advanced reuse-based service-oriented software engineering methodology for developing CSCL applications in an effective and timely fashio"&amp;"n. A validation process is provided by reporting on the use of the CLPL platform as the primary resource for the Master's thesis courses at the Open University of Catalonia when developing complex software applications in the CSCL domain. The ultimate aim"&amp;" of the whole research is to yield effective CSCL software systems capable of supporting and enhancing the current on-line collaborative learning practices. © 2010 Elsevier Inc. All rights reserved.")</f>
        <v>Over the last decade, e-Learning and in particular Computer-Supported Collaborative Learning (CSCL) needs have been evolving accordingly with more and more demanding pedagogical and technological requirements. As a result, high customization and flexibility are a must in this context, meaning that collaborative learning practices need to be continuously adapted, adjusted, and personalized to each specific target learning group. These very demanding needs of the CSCL domain represent a great challenge for the research community on software development to satisfy. This contribution presents and evaluates a previous research effort in the form of a generic software infrastructure called Collaborative Learning Purpose Library (CLPL) with the aim of meeting the current and demanding needs found in the CSCL domain. To this end, we experiment with the CLPL in order to offer an advanced reuse-based service-oriented software engineering methodology for developing CSCL applications in an effective and timely fashion. A validation process is provided by reporting on the use of the CLPL platform as the primary resource for the Master's thesis courses at the Open University of Catalonia when developing complex software applications in the CSCL domain. The ultimate aim of the whole research is to yield effective CSCL software systems capable of supporting and enhancing the current on-line collaborative learning practices. © 2010 Elsevier Inc. All rights reserved.</v>
      </c>
      <c r="H502" s="8" t="str">
        <f>IFERROR(__xludf.DUMMYFUNCTION("""COMPUTED_VALUE"""),"Component-based software engineering; Computer-supported collaborative learning; E-learning; Model-driven engineering; Service orientation; SOA; Software and systems education; Software architecture and design; Software engineering methods; Software reuse")</f>
        <v>Component-based software engineering; Computer-supported collaborative learning; E-learning; Model-driven engineering; Service orientation; SOA; Software and systems education; Software architecture and design; Software engineering methods; Software reuse</v>
      </c>
      <c r="I502" s="10" t="b">
        <v>0</v>
      </c>
      <c r="J502" s="10" t="b">
        <v>0</v>
      </c>
      <c r="K502" s="10" t="b">
        <v>0</v>
      </c>
      <c r="L502" s="10" t="b">
        <v>0</v>
      </c>
      <c r="M502" s="10" t="b">
        <v>0</v>
      </c>
      <c r="N502" s="10" t="b">
        <v>0</v>
      </c>
      <c r="O502" s="11" t="b">
        <f t="shared" si="1"/>
        <v>0</v>
      </c>
      <c r="P502" s="16" t="b">
        <v>0</v>
      </c>
      <c r="Q502" s="7"/>
    </row>
    <row r="503">
      <c r="A503" s="5" t="b">
        <v>1</v>
      </c>
      <c r="B503" s="5" t="s">
        <v>545</v>
      </c>
      <c r="C503" s="6" t="str">
        <f>IFERROR(__xludf.DUMMYFUNCTION("""COMPUTED_VALUE"""),"10.1016/j.jss.2005.08.010")</f>
        <v>10.1016/j.jss.2005.08.010</v>
      </c>
      <c r="D503" s="7" t="str">
        <f>IFERROR(__xludf.DUMMYFUNCTION("""COMPUTED_VALUE"""),"Manvi S.S.; Venkataram P.")</f>
        <v>Manvi S.S.; Venkataram P.</v>
      </c>
      <c r="E503" s="7" t="str">
        <f>IFERROR(__xludf.DUMMYFUNCTION("""COMPUTED_VALUE"""),"An agent based synchronization scheme for multimedia applications")</f>
        <v>An agent based synchronization scheme for multimedia applications</v>
      </c>
      <c r="F503" s="7" t="str">
        <f>IFERROR(__xludf.DUMMYFUNCTION("""COMPUTED_VALUE"""),"JSS")</f>
        <v>JSS</v>
      </c>
      <c r="G503" s="7" t="str">
        <f>IFERROR(__xludf.DUMMYFUNCTION("""COMPUTED_VALUE"""),"Synchronization of multimedia streams is one of the important issue in multimedia communications. In this paper, we propose an adaptive synchronization agency for synchronization of streams by using an agent based approach. The synchronization agency trig"&amp;"gers one of the three synchronization mechanisms, point synchronization or real-time continuous or adaptive synchronization in order to adapt to the run-time and life-time presentation requirements of an application. The scheme or agency employs static an"&amp;"d mobile agents for the following purpose: to estimate the network delays in real-time based on sustainable stream loss, to compute the skew, to monitor the loss and estimate the playout times of the presentation units. We have experimentally evaluated th"&amp;"e scheme by using IBM Aglets and verified its functioning in terms of synchronization loss and mean buffering delays. The benefits of this agent based scheme are: asynchronous and autonomous delay estimation, flexibility, adaptability, software re-usabili"&amp;"ty and maintainability. © 2005 Elsevier Inc. All rights reserved.")</f>
        <v>Synchronization of multimedia streams is one of the important issue in multimedia communications. In this paper, we propose an adaptive synchronization agency for synchronization of streams by using an agent based approach. The synchronization agency triggers one of the three synchronization mechanisms, point synchronization or real-time continuous or adaptive synchronization in order to adapt to the run-time and life-time presentation requirements of an application. The scheme or agency employs static and mobile agents for the following purpose: to estimate the network delays in real-time based on sustainable stream loss, to compute the skew, to monitor the loss and estimate the playout times of the presentation units. We have experimentally evaluated the scheme by using IBM Aglets and verified its functioning in terms of synchronization loss and mean buffering delays. The benefits of this agent based scheme are: asynchronous and autonomous delay estimation, flexibility, adaptability, software re-usability and maintainability. © 2005 Elsevier Inc. All rights reserved.</v>
      </c>
      <c r="H503" s="8" t="str">
        <f>IFERROR(__xludf.DUMMYFUNCTION("""COMPUTED_VALUE"""),"Agents; Delay estimation; IBM Aglets; Multimedia; Playout; Stream synchronization")</f>
        <v>Agents; Delay estimation; IBM Aglets; Multimedia; Playout; Stream synchronization</v>
      </c>
      <c r="I503" s="10" t="b">
        <v>0</v>
      </c>
      <c r="J503" s="10" t="b">
        <v>0</v>
      </c>
      <c r="K503" s="10" t="b">
        <v>0</v>
      </c>
      <c r="L503" s="10" t="b">
        <v>0</v>
      </c>
      <c r="M503" s="10" t="b">
        <v>0</v>
      </c>
      <c r="N503" s="10" t="b">
        <v>0</v>
      </c>
      <c r="O503" s="11" t="b">
        <f t="shared" si="1"/>
        <v>0</v>
      </c>
      <c r="P503" s="16" t="b">
        <v>0</v>
      </c>
      <c r="Q503" s="7"/>
    </row>
    <row r="504">
      <c r="A504" s="5" t="b">
        <v>1</v>
      </c>
      <c r="B504" s="5" t="s">
        <v>546</v>
      </c>
      <c r="C504" s="6" t="str">
        <f>IFERROR(__xludf.DUMMYFUNCTION("""COMPUTED_VALUE"""),"10.1016/j.jss.2009.12.018")</f>
        <v>10.1016/j.jss.2009.12.018</v>
      </c>
      <c r="D504" s="7" t="str">
        <f>IFERROR(__xludf.DUMMYFUNCTION("""COMPUTED_VALUE"""),"Lee C.-F.; Chen H.-L.")</f>
        <v>Lee C.-F.; Chen H.-L.</v>
      </c>
      <c r="E504" s="7" t="str">
        <f>IFERROR(__xludf.DUMMYFUNCTION("""COMPUTED_VALUE"""),"A novel data hiding scheme based on modulus function")</f>
        <v>A novel data hiding scheme based on modulus function</v>
      </c>
      <c r="F504" s="7" t="str">
        <f>IFERROR(__xludf.DUMMYFUNCTION("""COMPUTED_VALUE"""),"JSS")</f>
        <v>JSS</v>
      </c>
      <c r="G504" s="7" t="str">
        <f>IFERROR(__xludf.DUMMYFUNCTION("""COMPUTED_VALUE"""),"Four criteria are generally used to evaluate the performance of data hiding scheme: the embedding capacity, the visual quality of the stego-image, the security, and the complexity of the data-embedding algorithm. However, data hiding schemes seldom take a"&amp;"ll these factors into consideration. This paper proposes a novel data hiding scheme that uses a simple modulus function to address all the performance criteria listed above. According to the input secret keys, the encoder and decoder use the same set-gene"&amp;"ration functions Hr() and Hc() to first generate two sets Kr and Kc. A variant Cartesian product is then created using Kr and Kc. Each cover pixel then forms a pixel group with its neighboring pixels by exploiting an efficient modulus function; the secret"&amp;" data are then embedded or extracted via a mapping process between the variant of the Cartesian product and each pixel group. The proposed scheme offers several advantages, namely (1) the embedding capacity can be scaled, (2) a good visual quality of the "&amp;"stego-image can be achieved, (3) the computational cost of embedding or extracting the secret data is low and requires little memory space, (4) secret keys are used to protect the secret data and (5) the problem of overflow or underflow does not occur, re"&amp;"gardless of the nature of the cover pixels. We tested the performance of the proposed scheme by comparing it with Mielikainen's and Zhang and Wang's schemes for gray-scale images. The experimental results showed that our proposed scheme outperforms Mielik"&amp;"ainen's in three respects, namely scalable embedding capacity, embedding rate, and level of security. Our data hiding scheme also achieved a higher embedding capacity than Zhang and Wang's. The proposed scheme can easily be applied to both gray-scale and "&amp;"color images. Analyses of its performance showed that our proposed scheme outperforms Tsai and Wang's in terms of its time complexity and memory space requirement. © 2009 Elsevier Inc.")</f>
        <v>Four criteria are generally used to evaluate the performance of data hiding scheme: the embedding capacity, the visual quality of the stego-image, the security, and the complexity of the data-embedding algorithm. However, data hiding schemes seldom take all these factors into consideration. This paper proposes a novel data hiding scheme that uses a simple modulus function to address all the performance criteria listed above. According to the input secret keys, the encoder and decoder use the same set-generation functions Hr() and Hc() to first generate two sets Kr and Kc. A variant Cartesian product is then created using Kr and Kc. Each cover pixel then forms a pixel group with its neighboring pixels by exploiting an efficient modulus function; the secret data are then embedded or extracted via a mapping process between the variant of the Cartesian product and each pixel group. The proposed scheme offers several advantages, namely (1) the embedding capacity can be scaled, (2) a good visual quality of the stego-image can be achieved, (3) the computational cost of embedding or extracting the secret data is low and requires little memory space, (4) secret keys are used to protect the secret data and (5) the problem of overflow or underflow does not occur, regardless of the nature of the cover pixels. We tested the performance of the proposed scheme by comparing it with Mielikainen's and Zhang and Wang's schemes for gray-scale images. The experimental results showed that our proposed scheme outperforms Mielikainen's in three respects, namely scalable embedding capacity, embedding rate, and level of security. Our data hiding scheme also achieved a higher embedding capacity than Zhang and Wang's. The proposed scheme can easily be applied to both gray-scale and color images. Analyses of its performance showed that our proposed scheme outperforms Tsai and Wang's in terms of its time complexity and memory space requirement. © 2009 Elsevier Inc.</v>
      </c>
      <c r="H504" s="8" t="str">
        <f>IFERROR(__xludf.DUMMYFUNCTION("""COMPUTED_VALUE"""),"Data hiding; Modulus operation; Steganography")</f>
        <v>Data hiding; Modulus operation; Steganography</v>
      </c>
      <c r="I504" s="10" t="b">
        <v>0</v>
      </c>
      <c r="J504" s="10" t="b">
        <v>0</v>
      </c>
      <c r="K504" s="10" t="b">
        <v>0</v>
      </c>
      <c r="L504" s="10" t="b">
        <v>0</v>
      </c>
      <c r="M504" s="10" t="b">
        <v>0</v>
      </c>
      <c r="N504" s="10" t="b">
        <v>0</v>
      </c>
      <c r="O504" s="11" t="b">
        <f t="shared" si="1"/>
        <v>0</v>
      </c>
      <c r="P504" s="16" t="b">
        <v>0</v>
      </c>
      <c r="Q504" s="7"/>
    </row>
    <row r="505">
      <c r="A505" s="5" t="b">
        <v>1</v>
      </c>
      <c r="B505" s="5" t="s">
        <v>547</v>
      </c>
      <c r="C505" s="6" t="str">
        <f>IFERROR(__xludf.DUMMYFUNCTION("""COMPUTED_VALUE"""),"10.1016/S0164-1212(99)00137-5")</f>
        <v>10.1016/S0164-1212(99)00137-5</v>
      </c>
      <c r="D505" s="7" t="str">
        <f>IFERROR(__xludf.DUMMYFUNCTION("""COMPUTED_VALUE"""),"Höst M.; Johansson C.")</f>
        <v>Höst M.; Johansson C.</v>
      </c>
      <c r="E505" s="7" t="str">
        <f>IFERROR(__xludf.DUMMYFUNCTION("""COMPUTED_VALUE"""),"Evaluation of code review methods through interviews and experimentation")</f>
        <v>Evaluation of code review methods through interviews and experimentation</v>
      </c>
      <c r="F505" s="7" t="str">
        <f>IFERROR(__xludf.DUMMYFUNCTION("""COMPUTED_VALUE"""),"JSS")</f>
        <v>JSS</v>
      </c>
      <c r="G505" s="7" t="str">
        <f>IFERROR(__xludf.DUMMYFUNCTION("""COMPUTED_VALUE"""),"This paper presents the results of a study where the effects of introducing code reviews in an organisational unit have been evaluated. The study was performed in an ongoing commercial project, mainly through interviews with developers and an experiment w"&amp;"here the effects of introducing code reviews were measured. Two different checklist-based review methods have been evaluated. The objectives of the study are to analyse the effects of introducing code reviews in the organisational unit and to compare the "&amp;"two methods. The results indicate that many of the faults that normally are found in later test phases or operation are instead found in code reviews, but no difference could be found between the two methods. The results of the study are considered positi"&amp;"ve and the organisational unit has continued to work with code reviews.")</f>
        <v>This paper presents the results of a study where the effects of introducing code reviews in an organisational unit have been evaluated. The study was performed in an ongoing commercial project, mainly through interviews with developers and an experiment where the effects of introducing code reviews were measured. Two different checklist-based review methods have been evaluated. The objectives of the study are to analyse the effects of introducing code reviews in the organisational unit and to compare the two methods. The results indicate that many of the faults that normally are found in later test phases or operation are instead found in code reviews, but no difference could be found between the two methods. The results of the study are considered positive and the organisational unit has continued to work with code reviews.</v>
      </c>
      <c r="H505" s="8"/>
      <c r="I505" s="9" t="b">
        <v>1</v>
      </c>
      <c r="J505" s="10" t="b">
        <v>0</v>
      </c>
      <c r="K505" s="9" t="b">
        <v>1</v>
      </c>
      <c r="L505" s="10" t="b">
        <v>0</v>
      </c>
      <c r="M505" s="10" t="b">
        <v>0</v>
      </c>
      <c r="N505" s="10" t="b">
        <v>0</v>
      </c>
      <c r="O505" s="11" t="b">
        <f t="shared" si="1"/>
        <v>0</v>
      </c>
      <c r="P505" s="16" t="b">
        <v>0</v>
      </c>
      <c r="Q505" s="7"/>
    </row>
    <row r="506">
      <c r="A506" s="5" t="b">
        <v>1</v>
      </c>
      <c r="B506" s="5" t="s">
        <v>548</v>
      </c>
      <c r="C506" s="6" t="str">
        <f>IFERROR(__xludf.DUMMYFUNCTION("""COMPUTED_VALUE"""),"10.1016/S0164-1212(01)00127-3")</f>
        <v>10.1016/S0164-1212(01)00127-3</v>
      </c>
      <c r="D506" s="7" t="str">
        <f>IFERROR(__xludf.DUMMYFUNCTION("""COMPUTED_VALUE"""),"Yoo C.S.; Seong P.H.")</f>
        <v>Yoo C.S.; Seong P.H.</v>
      </c>
      <c r="E506" s="7" t="str">
        <f>IFERROR(__xludf.DUMMYFUNCTION("""COMPUTED_VALUE"""),"Experimental analysis of specification language diversity impact on NPP software diversity")</f>
        <v>Experimental analysis of specification language diversity impact on NPP software diversity</v>
      </c>
      <c r="F506" s="7" t="str">
        <f>IFERROR(__xludf.DUMMYFUNCTION("""COMPUTED_VALUE"""),"JSS")</f>
        <v>JSS</v>
      </c>
      <c r="G506" s="7" t="str">
        <f>IFERROR(__xludf.DUMMYFUNCTION("""COMPUTED_VALUE"""),"In order to increase computer system reliability, software fault tolerance methods have been adopted to some safety critical systems including nuclear power plants (NPPs). Prevention of software common mode failures is a crucial problem in software fault "&amp;"tolerance, but an effective method to solve this problem has not yet been found. Our research, to find an effective method to prevent software common mode failure s experimentally examined the impact of specification language diversity on NPP software div"&amp;"ersity. Three specification languages were used to compose three requirements specifications, and programmers made 12 product codes from the specifications. From the product codes analysis using fault diversity criteria, we concluded that a diverse specif"&amp;"ication language method would enhance program diversity through diversification of requirements specification imperfections. © 2001 Elsevier Science Inc. All rights reserved.")</f>
        <v>In order to increase computer system reliability, software fault tolerance methods have been adopted to some safety critical systems including nuclear power plants (NPPs). Prevention of software common mode failures is a crucial problem in software fault tolerance, but an effective method to solve this problem has not yet been found. Our research, to find an effective method to prevent software common mode failure s experimentally examined the impact of specification language diversity on NPP software diversity. Three specification languages were used to compose three requirements specifications, and programmers made 12 product codes from the specifications. From the product codes analysis using fault diversity criteria, we concluded that a diverse specification language method would enhance program diversity through diversification of requirements specification imperfections. © 2001 Elsevier Science Inc. All rights reserved.</v>
      </c>
      <c r="H506" s="8" t="str">
        <f>IFERROR(__xludf.DUMMYFUNCTION("""COMPUTED_VALUE"""),"N-version programming; NPP software; Software common mode failures; Software diversity; Software fault-tolerance; Specification language")</f>
        <v>N-version programming; NPP software; Software common mode failures; Software diversity; Software fault-tolerance; Specification language</v>
      </c>
      <c r="I506" s="10" t="b">
        <v>0</v>
      </c>
      <c r="J506" s="10" t="b">
        <v>0</v>
      </c>
      <c r="K506" s="10" t="b">
        <v>0</v>
      </c>
      <c r="L506" s="10" t="b">
        <v>0</v>
      </c>
      <c r="M506" s="10" t="b">
        <v>0</v>
      </c>
      <c r="N506" s="10" t="b">
        <v>0</v>
      </c>
      <c r="O506" s="11" t="b">
        <f t="shared" si="1"/>
        <v>0</v>
      </c>
      <c r="P506" s="16" t="b">
        <v>0</v>
      </c>
      <c r="Q506" s="7"/>
    </row>
    <row r="507">
      <c r="A507" s="5" t="b">
        <v>1</v>
      </c>
      <c r="B507" s="5" t="s">
        <v>549</v>
      </c>
      <c r="C507" s="6" t="str">
        <f>IFERROR(__xludf.DUMMYFUNCTION("""COMPUTED_VALUE"""),"10.1016/j.jss.2004.06.026")</f>
        <v>10.1016/j.jss.2004.06.026</v>
      </c>
      <c r="D507" s="7" t="str">
        <f>IFERROR(__xludf.DUMMYFUNCTION("""COMPUTED_VALUE"""),"Wong W.E.; Sugeta T.; Qi Yu.; Maldonado J.C.")</f>
        <v>Wong W.E.; Sugeta T.; Qi Yu.; Maldonado J.C.</v>
      </c>
      <c r="E507" s="7" t="str">
        <f>IFERROR(__xludf.DUMMYFUNCTION("""COMPUTED_VALUE"""),"Smart debugging software architectural design in SDL")</f>
        <v>Smart debugging software architectural design in SDL</v>
      </c>
      <c r="F507" s="7" t="str">
        <f>IFERROR(__xludf.DUMMYFUNCTION("""COMPUTED_VALUE"""),"JSS")</f>
        <v>JSS</v>
      </c>
      <c r="G507" s="7" t="str">
        <f>IFERROR(__xludf.DUMMYFUNCTION("""COMPUTED_VALUE"""),"Statistical data show that it is much cheaper to fix software bugs at the early design stage than the late stage of the development process where the final system has already been implemented and integrated together. The use of slicing and execution histo"&amp;"ries as an aid in software debugging is well established for programming languages like C and C++; however, it is rarely applied in the field of software specification for designs. We propose a solution by applying the technology at source code level to d"&amp;"ebugging software designs represented in a high-level specification and description language such as SDL. More specifically, we extend execution slice-based heuristics from source code-based debugging to the software design specification level. Suspicious"&amp;" locations in an SDL specification are prioritized based on their likelihood of containing faults. Locations with a higher priority should be examined first rather than those with a lower priority as the former are more suspicious than the latter, i.e., m"&amp;"ore likely to contain the faults. A debugging tool, SmartDSDL. with user-friendly interfaces was developed to support our method. An experiment is reported to demonstrate the feasibility of using our method to effectively debug an architectural design. © "&amp;"2004 Elsevier Inc. All rights reserved.")</f>
        <v>Statistical data show that it is much cheaper to fix software bugs at the early design stage than the late stage of the development process where the final system has already been implemented and integrated together. The use of slicing and execution histories as an aid in software debugging is well established for programming languages like C and C++; however, it is rarely applied in the field of software specification for designs. We propose a solution by applying the technology at source code level to debugging software designs represented in a high-level specification and description language such as SDL. More specifically, we extend execution slice-based heuristics from source code-based debugging to the software design specification level. Suspicious locations in an SDL specification are prioritized based on their likelihood of containing faults. Locations with a higher priority should be examined first rather than those with a lower priority as the former are more suspicious than the latter, i.e., more likely to contain the faults. A debugging tool, SmartDSDL. with user-friendly interfaces was developed to support our method. An experiment is reported to demonstrate the feasibility of using our method to effectively debug an architectural design. © 2004 Elsevier Inc. All rights reserved.</v>
      </c>
      <c r="H507" s="8" t="str">
        <f>IFERROR(__xludf.DUMMYFUNCTION("""COMPUTED_VALUE"""),"Architectural design; Debugging; Execution slice; Fault detection; SDL; Testing")</f>
        <v>Architectural design; Debugging; Execution slice; Fault detection; SDL; Testing</v>
      </c>
      <c r="I507" s="10" t="b">
        <v>0</v>
      </c>
      <c r="J507" s="10" t="b">
        <v>0</v>
      </c>
      <c r="K507" s="10" t="b">
        <v>0</v>
      </c>
      <c r="L507" s="10" t="b">
        <v>0</v>
      </c>
      <c r="M507" s="10" t="b">
        <v>0</v>
      </c>
      <c r="N507" s="10" t="b">
        <v>0</v>
      </c>
      <c r="O507" s="11" t="b">
        <f t="shared" si="1"/>
        <v>0</v>
      </c>
      <c r="P507" s="16" t="b">
        <v>0</v>
      </c>
      <c r="Q507" s="7"/>
    </row>
    <row r="508">
      <c r="A508" s="5" t="b">
        <v>1</v>
      </c>
      <c r="B508" s="5" t="s">
        <v>550</v>
      </c>
      <c r="C508" s="6" t="str">
        <f>IFERROR(__xludf.DUMMYFUNCTION("""COMPUTED_VALUE"""),"10.1016/S0164-1212(02)00025-0")</f>
        <v>10.1016/S0164-1212(02)00025-0</v>
      </c>
      <c r="D508" s="7" t="str">
        <f>IFERROR(__xludf.DUMMYFUNCTION("""COMPUTED_VALUE"""),"Biffl S.")</f>
        <v>Biffl S.</v>
      </c>
      <c r="E508" s="7" t="str">
        <f>IFERROR(__xludf.DUMMYFUNCTION("""COMPUTED_VALUE"""),"Evaluating defect estimation models with major defects")</f>
        <v>Evaluating defect estimation models with major defects</v>
      </c>
      <c r="F508" s="7" t="str">
        <f>IFERROR(__xludf.DUMMYFUNCTION("""COMPUTED_VALUE"""),"JSS")</f>
        <v>JSS</v>
      </c>
      <c r="G508" s="7" t="str">
        <f>IFERROR(__xludf.DUMMYFUNCTION("""COMPUTED_VALUE"""),"Based on defect data from an inspection the number of defects present in a software product can be estimated to decide on further development or quality assurance activities. Project managers are primarily interested to determine the number of major defec"&amp;"ts in the product, which may have a strong impact on product quality as well as on project schedule and cost, if they go undetected. In this work we focus on the estimation of major defects in a software requirements document. We compare the performance o"&amp;"f objective and subjective defect content estimation techniques. For validation of the techniques we conducted a controlled experiment with 31 inspection teams which consisted of 4-6 persons. Main findings of the experiment are: (a) Objective estimation m"&amp;"odels estimated major and all defects with similar accuracy. (b) The best subjective estimations models performed for major defects comparable to the best objective estimation models. (c) The defect detection technique used influenced the set of defects f"&amp;"ound in the team, but did not make a significant difference for the accuracy of defect estimation. (d) The second inspection cycle significantly improved the estimation accuracy for all but one estimation models. © 2002 Elsevier Science Inc. All rights re"&amp;"served.")</f>
        <v>Based on defect data from an inspection the number of defects present in a software product can be estimated to decide on further development or quality assurance activities. Project managers are primarily interested to determine the number of major defects in the product, which may have a strong impact on product quality as well as on project schedule and cost, if they go undetected. In this work we focus on the estimation of major defects in a software requirements document. We compare the performance of objective and subjective defect content estimation techniques. For validation of the techniques we conducted a controlled experiment with 31 inspection teams which consisted of 4-6 persons. Main findings of the experiment are: (a) Objective estimation models estimated major and all defects with similar accuracy. (b) The best subjective estimations models performed for major defects comparable to the best objective estimation models. (c) The defect detection technique used influenced the set of defects found in the team, but did not make a significant difference for the accuracy of defect estimation. (d) The second inspection cycle significantly improved the estimation accuracy for all but one estimation models. © 2002 Elsevier Science Inc. All rights reserved.</v>
      </c>
      <c r="H508" s="8" t="str">
        <f>IFERROR(__xludf.DUMMYFUNCTION("""COMPUTED_VALUE"""),"Capture-recapture models; Defect content estimation techniques; Detection profile method; Project management; Quality management; Software inspection; Subjective team estimation models")</f>
        <v>Capture-recapture models; Defect content estimation techniques; Detection profile method; Project management; Quality management; Software inspection; Subjective team estimation models</v>
      </c>
      <c r="I508" s="9" t="b">
        <v>1</v>
      </c>
      <c r="J508" s="9" t="b">
        <v>1</v>
      </c>
      <c r="K508" s="10" t="b">
        <v>0</v>
      </c>
      <c r="L508" s="10" t="b">
        <v>0</v>
      </c>
      <c r="M508" s="10" t="b">
        <v>0</v>
      </c>
      <c r="N508" s="10" t="b">
        <v>0</v>
      </c>
      <c r="O508" s="11" t="b">
        <f t="shared" si="1"/>
        <v>0</v>
      </c>
      <c r="P508" s="16" t="b">
        <v>0</v>
      </c>
      <c r="Q508" s="7"/>
    </row>
    <row r="509">
      <c r="A509" s="5" t="b">
        <v>1</v>
      </c>
      <c r="B509" s="5" t="s">
        <v>551</v>
      </c>
      <c r="C509" s="6" t="str">
        <f>IFERROR(__xludf.DUMMYFUNCTION("""COMPUTED_VALUE"""),"10.1016/S0164-1212(00)00052-2")</f>
        <v>10.1016/S0164-1212(00)00052-2</v>
      </c>
      <c r="D509" s="7" t="str">
        <f>IFERROR(__xludf.DUMMYFUNCTION("""COMPUTED_VALUE"""),"Laitenberger O.; Atkinson C.; Schlich M.; El Emam K.")</f>
        <v>Laitenberger O.; Atkinson C.; Schlich M.; El Emam K.</v>
      </c>
      <c r="E509" s="7" t="str">
        <f>IFERROR(__xludf.DUMMYFUNCTION("""COMPUTED_VALUE"""),"Experimental comparison of reading techniques for defect detection in UML design documents")</f>
        <v>Experimental comparison of reading techniques for defect detection in UML design documents</v>
      </c>
      <c r="F509" s="7" t="str">
        <f>IFERROR(__xludf.DUMMYFUNCTION("""COMPUTED_VALUE"""),"JSS")</f>
        <v>JSS</v>
      </c>
      <c r="G509" s="7" t="str">
        <f>IFERROR(__xludf.DUMMYFUNCTION("""COMPUTED_VALUE"""),"The basic motivation for software inspections is to detect and remove defects before they propagate to subsequent development phases where their detection and removal become more expensive. To maximize this potential, the examination of the artefact under"&amp;" inspection must be as thorough and detailed as possible. This implies the need for systematic reading techniques that tell inspection participants what to look for and, more importantly, how to scrutinize a software document. Recent research efforts have"&amp;" investigated the benefits of scenario-based reading techniques for defect detection in functional requirements and functional code documents. A major finding has been that these techniques help inspection teams find more defects than existing state-of-th"&amp;"e-art approaches, such as, ad hoc or checklist-based reading (CBR). In this paper, we describe and experimentally compare one scenario-based reading technique, namely perspective-based reading (PBR), for defect detection in object-oriented design document"&amp;"s using the notation of the unified modeling language (UML) to the more traditional CBR approach. The comparison was performed in a controlled experiment with 18 practitioners as subjects. Our results indicate that PBR teams discovered, on average, 58% of"&amp;" the defects and had an average cost per defect ratio of 56 min per defect. In this way, PBR is more effective than CBR (i.e., it resulted in inspection teams detecting, on average, 41% more unique defects than CBR). Moreover, the cost of defect detection"&amp;" using PBR is significantly lower than CBR (i.e., PBR exhibits, on average, a 58% cost per defect improvement over CBR). This study therefore provides evidence demonstrating the efficacy of PBR scenarios for defect detection in UML design documents. In ad"&amp;"dition, it demonstrates that a PBR inspection is a promising approach for improving the quality of models developed using the UML notation.")</f>
        <v>The basic motivation for software inspections is to detect and remove defects before they propagate to subsequent development phases where their detection and removal become more expensive. To maximize this potential, the examination of the artefact under inspection must be as thorough and detailed as possible. This implies the need for systematic reading techniques that tell inspection participants what to look for and, more importantly, how to scrutinize a software document. Recent research efforts have investigated the benefits of scenario-based reading techniques for defect detection in functional requirements and functional code documents. A major finding has been that these techniques help inspection teams find more defects than existing state-of-the-art approaches, such as, ad hoc or checklist-based reading (CBR). In this paper, we describe and experimentally compare one scenario-based reading technique, namely perspective-based reading (PBR), for defect detection in object-oriented design documents using the notation of the unified modeling language (UML) to the more traditional CBR approach. The comparison was performed in a controlled experiment with 18 practitioners as subjects. Our results indicate that PBR teams discovered, on average, 58% of the defects and had an average cost per defect ratio of 56 min per defect. In this way, PBR is more effective than CBR (i.e., it resulted in inspection teams detecting, on average, 41% more unique defects than CBR). Moreover, the cost of defect detection using PBR is significantly lower than CBR (i.e., PBR exhibits, on average, a 58% cost per defect improvement over CBR). This study therefore provides evidence demonstrating the efficacy of PBR scenarios for defect detection in UML design documents. In addition, it demonstrates that a PBR inspection is a promising approach for improving the quality of models developed using the UML notation.</v>
      </c>
      <c r="H509" s="8"/>
      <c r="I509" s="9" t="b">
        <v>1</v>
      </c>
      <c r="J509" s="9" t="b">
        <v>1</v>
      </c>
      <c r="K509" s="10" t="b">
        <v>0</v>
      </c>
      <c r="L509" s="10" t="b">
        <v>0</v>
      </c>
      <c r="M509" s="10" t="b">
        <v>0</v>
      </c>
      <c r="N509" s="10" t="b">
        <v>0</v>
      </c>
      <c r="O509" s="11" t="b">
        <f t="shared" si="1"/>
        <v>0</v>
      </c>
      <c r="P509" s="16" t="b">
        <v>0</v>
      </c>
      <c r="Q509" s="7"/>
    </row>
    <row r="510">
      <c r="A510" s="5" t="b">
        <v>1</v>
      </c>
      <c r="B510" s="5" t="s">
        <v>552</v>
      </c>
      <c r="C510" s="6" t="str">
        <f>IFERROR(__xludf.DUMMYFUNCTION("""COMPUTED_VALUE"""),"10.1016/0164-1212(90)90082-W")</f>
        <v>10.1016/0164-1212(90)90082-W</v>
      </c>
      <c r="D510" s="7" t="str">
        <f>IFERROR(__xludf.DUMMYFUNCTION("""COMPUTED_VALUE"""),"Reifer D.J.")</f>
        <v>Reifer D.J.</v>
      </c>
      <c r="E510" s="7" t="str">
        <f>IFERROR(__xludf.DUMMYFUNCTION("""COMPUTED_VALUE"""),"Asset-R: A function point sizing tool for scientific and real-time systems")</f>
        <v>Asset-R: A function point sizing tool for scientific and real-time systems</v>
      </c>
      <c r="F510" s="7" t="str">
        <f>IFERROR(__xludf.DUMMYFUNCTION("""COMPUTED_VALUE"""),"JSS")</f>
        <v>JSS</v>
      </c>
      <c r="G510" s="7" t="str">
        <f>IFERROR(__xludf.DUMMYFUNCTION("""COMPUTED_VALUE"""),"This paper presents the results of experiments conducted over the past three years to empirically validate extensions made to enable function point theory to handle scientific and real-time systems. Function points are a specification-based measure of sof"&amp;"tware size that do not depend on lines of code estimates. The paper begins by presenting necessary background information on the theory of function points and the fundamental mathematics upon which it is premised. It then summarizes the strengths and weak"&amp;"nesses of the technique and describes how they were handled as the Analytical Software Size Estimation Technique (ASSET) was formulated and validated statistically. The paper next reports the results of experiments conducted during the past three years to"&amp;" further validate the methodology. The fidelity of these predictions were measured by comparing the size estimates developed from requirements specifications to actuals realized on variety of data processing, scientific, and real-time systems. The paper c"&amp;"ontinues by describing the Analytical Software Size Estimation Technique-Real-Time (ASSET-R) package and shows how it effectively uses expert system concepts to let users access its knowledge base of counting conventions and complexity bounding rules. Fin"&amp;"ally, the paper concludes by discussing how function points can be used in the future to improve estimating and control of software projects. © 1990.")</f>
        <v>This paper presents the results of experiments conducted over the past three years to empirically validate extensions made to enable function point theory to handle scientific and real-time systems. Function points are a specification-based measure of software size that do not depend on lines of code estimates. The paper begins by presenting necessary background information on the theory of function points and the fundamental mathematics upon which it is premised. It then summarizes the strengths and weaknesses of the technique and describes how they were handled as the Analytical Software Size Estimation Technique (ASSET) was formulated and validated statistically. The paper next reports the results of experiments conducted during the past three years to further validate the methodology. The fidelity of these predictions were measured by comparing the size estimates developed from requirements specifications to actuals realized on variety of data processing, scientific, and real-time systems. The paper continues by describing the Analytical Software Size Estimation Technique-Real-Time (ASSET-R) package and shows how it effectively uses expert system concepts to let users access its knowledge base of counting conventions and complexity bounding rules. Finally, the paper concludes by discussing how function points can be used in the future to improve estimating and control of software projects. © 1990.</v>
      </c>
      <c r="H510" s="8"/>
      <c r="I510" s="9" t="b">
        <v>1</v>
      </c>
      <c r="J510" s="9" t="b">
        <v>0</v>
      </c>
      <c r="K510" s="9" t="b">
        <v>1</v>
      </c>
      <c r="L510" s="10" t="b">
        <v>0</v>
      </c>
      <c r="M510" s="9" t="b">
        <v>1</v>
      </c>
      <c r="N510" s="10" t="b">
        <v>0</v>
      </c>
      <c r="O510" s="11" t="b">
        <f t="shared" si="1"/>
        <v>0</v>
      </c>
      <c r="P510" s="12" t="b">
        <v>0</v>
      </c>
      <c r="Q510" s="13"/>
    </row>
    <row r="511">
      <c r="A511" s="5" t="b">
        <v>1</v>
      </c>
      <c r="B511" s="5" t="s">
        <v>553</v>
      </c>
      <c r="C511" s="6" t="str">
        <f>IFERROR(__xludf.DUMMYFUNCTION("""COMPUTED_VALUE"""),"10.1016/j.jss.2008.07.048")</f>
        <v>10.1016/j.jss.2008.07.048</v>
      </c>
      <c r="D511" s="7" t="str">
        <f>IFERROR(__xludf.DUMMYFUNCTION("""COMPUTED_VALUE"""),"Nou R.; Kounev S.; Julià F.; Torres J.")</f>
        <v>Nou R.; Kounev S.; Julià F.; Torres J.</v>
      </c>
      <c r="E511" s="7" t="str">
        <f>IFERROR(__xludf.DUMMYFUNCTION("""COMPUTED_VALUE"""),"Autonomic QoS control in enterprise Grid environments using online simulation")</f>
        <v>Autonomic QoS control in enterprise Grid environments using online simulation</v>
      </c>
      <c r="F511" s="7" t="str">
        <f>IFERROR(__xludf.DUMMYFUNCTION("""COMPUTED_VALUE"""),"JSS")</f>
        <v>JSS</v>
      </c>
      <c r="G511" s="7" t="str">
        <f>IFERROR(__xludf.DUMMYFUNCTION("""COMPUTED_VALUE"""),"As Grid Computing increasingly enters the commercial domain, performance and quality of service (QoS) issues are becoming a major concern. The inherent complexity, heterogeneity and dynamics of Grid computing environments pose some challenges in managing "&amp;"their capacity to ensure that QoS requirements are continuously met. In this paper, a comprehensive framework for autonomic QoS control in enterprise Grid environments using online simulation is proposed. This paper presents a novel methodology for design"&amp;"ing autonomic QoS-aware resource managers that have the capability to predict the performance of the Grid components they manage and allocate resources in such a way that service level agreements are honored. Support for advanced features such as autonomi"&amp;"c workload characterization on-the-fly, dynamic deployment of Grid servers on demand, as well as dynamic system reconfiguration after a server failure is provided. The goal is to make the Grid middleware self-configurable and adaptable to changes in the s"&amp;"ystem environment and workload. The approach is subjected to an extensive experimental evaluation in the context of a real-world Grid environment and its effectiveness, practicality and performance are demonstrated. © 2008 Elsevier Inc. All rights reserve"&amp;"d.")</f>
        <v>As Grid Computing increasingly enters the commercial domain, performance and quality of service (QoS) issues are becoming a major concern. The inherent complexity, heterogeneity and dynamics of Grid computing environments pose some challenges in managing their capacity to ensure that QoS requirements are continuously met. In this paper, a comprehensive framework for autonomic QoS control in enterprise Grid environments using online simulation is proposed. This paper presents a novel methodology for designing autonomic QoS-aware resource managers that have the capability to predict the performance of the Grid components they manage and allocate resources in such a way that service level agreements are honored. Support for advanced features such as autonomic workload characterization on-the-fly, dynamic deployment of Grid servers on demand, as well as dynamic system reconfiguration after a server failure is provided. The goal is to make the Grid middleware self-configurable and adaptable to changes in the system environment and workload. The approach is subjected to an extensive experimental evaluation in the context of a real-world Grid environment and its effectiveness, practicality and performance are demonstrated. © 2008 Elsevier Inc. All rights reserved.</v>
      </c>
      <c r="H511" s="8" t="str">
        <f>IFERROR(__xludf.DUMMYFUNCTION("""COMPUTED_VALUE"""),"Autonomic; Grid; Resource management; Simulation; Virtualization")</f>
        <v>Autonomic; Grid; Resource management; Simulation; Virtualization</v>
      </c>
      <c r="I511" s="10" t="b">
        <v>0</v>
      </c>
      <c r="J511" s="10" t="b">
        <v>0</v>
      </c>
      <c r="K511" s="10" t="b">
        <v>0</v>
      </c>
      <c r="L511" s="10" t="b">
        <v>0</v>
      </c>
      <c r="M511" s="10" t="b">
        <v>0</v>
      </c>
      <c r="N511" s="10" t="b">
        <v>0</v>
      </c>
      <c r="O511" s="11" t="b">
        <f t="shared" si="1"/>
        <v>0</v>
      </c>
      <c r="P511" s="16" t="b">
        <v>0</v>
      </c>
      <c r="Q511" s="7"/>
    </row>
    <row r="512">
      <c r="A512" s="5" t="b">
        <v>1</v>
      </c>
      <c r="B512" s="5" t="s">
        <v>554</v>
      </c>
      <c r="C512" s="6" t="str">
        <f>IFERROR(__xludf.DUMMYFUNCTION("""COMPUTED_VALUE"""),"10.1016/j.jss.2007.09.004")</f>
        <v>10.1016/j.jss.2007.09.004</v>
      </c>
      <c r="D512" s="7" t="str">
        <f>IFERROR(__xludf.DUMMYFUNCTION("""COMPUTED_VALUE"""),"Zeng Q.; Wang H.; Xu D.; Duan H.; Han Y.")</f>
        <v>Zeng Q.; Wang H.; Xu D.; Duan H.; Han Y.</v>
      </c>
      <c r="E512" s="7" t="str">
        <f>IFERROR(__xludf.DUMMYFUNCTION("""COMPUTED_VALUE"""),"Conflict detection and resolution for workflows constrained by resources and non-determined durations")</f>
        <v>Conflict detection and resolution for workflows constrained by resources and non-determined durations</v>
      </c>
      <c r="F512" s="7" t="str">
        <f>IFERROR(__xludf.DUMMYFUNCTION("""COMPUTED_VALUE"""),"JSS")</f>
        <v>JSS</v>
      </c>
      <c r="G512" s="7" t="str">
        <f>IFERROR(__xludf.DUMMYFUNCTION("""COMPUTED_VALUE"""),"The correctness of a workflow specification is critical for the automation of business processes. Therefore, errors in the specification should be detected and corrected at build-time. In this paper, we present a conflict verification and resolution appro"&amp;"ach for a kind of workflow constrained by resources and non-determined duration based on Petri net. In this kind of workflow, there are two timing functions for each activity to present the minimum and maximum duration of each activity, and the implementa"&amp;"tions of some activities require resources. Based on the Petri net model obtained, the earliest time to start each activity can be calculated and the key activities influencing the implementation of the workflow can be determined, with which the resource "&amp;"consistency between activities can be verified. Key-activity and waiting-short priority strategies are adopted to remove the resource conflicts between activities, which can ensure that most of the subsequent activities start as early as possible and that"&amp;" the whole workflow be finished in a shorter time. Through experiments, it is proved that the proposed removal strategy for resource conflicts is better than other strategies. © 2007 Elsevier Inc. All rights reserved.")</f>
        <v>The correctness of a workflow specification is critical for the automation of business processes. Therefore, errors in the specification should be detected and corrected at build-time. In this paper, we present a conflict verification and resolution approach for a kind of workflow constrained by resources and non-determined duration based on Petri net. In this kind of workflow, there are two timing functions for each activity to present the minimum and maximum duration of each activity, and the implementations of some activities require resources. Based on the Petri net model obtained, the earliest time to start each activity can be calculated and the key activities influencing the implementation of the workflow can be determined, with which the resource consistency between activities can be verified. Key-activity and waiting-short priority strategies are adopted to remove the resource conflicts between activities, which can ensure that most of the subsequent activities start as early as possible and that the whole workflow be finished in a shorter time. Through experiments, it is proved that the proposed removal strategy for resource conflicts is better than other strategies. © 2007 Elsevier Inc. All rights reserved.</v>
      </c>
      <c r="H512" s="8" t="str">
        <f>IFERROR(__xludf.DUMMYFUNCTION("""COMPUTED_VALUE"""),"Conflict detection; Conflict resolution; Petri net; Resource consistency; Workflow")</f>
        <v>Conflict detection; Conflict resolution; Petri net; Resource consistency; Workflow</v>
      </c>
      <c r="I512" s="10" t="b">
        <v>0</v>
      </c>
      <c r="J512" s="10" t="b">
        <v>0</v>
      </c>
      <c r="K512" s="10" t="b">
        <v>0</v>
      </c>
      <c r="L512" s="10" t="b">
        <v>0</v>
      </c>
      <c r="M512" s="10" t="b">
        <v>0</v>
      </c>
      <c r="N512" s="10" t="b">
        <v>0</v>
      </c>
      <c r="O512" s="11" t="b">
        <f t="shared" si="1"/>
        <v>0</v>
      </c>
      <c r="P512" s="16" t="b">
        <v>0</v>
      </c>
      <c r="Q512" s="7"/>
    </row>
    <row r="513">
      <c r="A513" s="5" t="b">
        <v>1</v>
      </c>
      <c r="B513" s="5" t="s">
        <v>555</v>
      </c>
      <c r="C513" s="6" t="str">
        <f>IFERROR(__xludf.DUMMYFUNCTION("""COMPUTED_VALUE"""),"10.1016/j.jss.2011.04.027")</f>
        <v>10.1016/j.jss.2011.04.027</v>
      </c>
      <c r="D513" s="7" t="str">
        <f>IFERROR(__xludf.DUMMYFUNCTION("""COMPUTED_VALUE"""),"Bilogrevic I.; Jadliwala M.; Kumar P.; Walia S.S.; Hubaux J.-P.; Aad I.; Niemi V.")</f>
        <v>Bilogrevic I.; Jadliwala M.; Kumar P.; Walia S.S.; Hubaux J.-P.; Aad I.; Niemi V.</v>
      </c>
      <c r="E513" s="7" t="str">
        <f>IFERROR(__xludf.DUMMYFUNCTION("""COMPUTED_VALUE"""),"Meetings through the cloud: Privacy-preserving scheduling on mobile devices")</f>
        <v>Meetings through the cloud: Privacy-preserving scheduling on mobile devices</v>
      </c>
      <c r="F513" s="7" t="str">
        <f>IFERROR(__xludf.DUMMYFUNCTION("""COMPUTED_VALUE"""),"JSS")</f>
        <v>JSS</v>
      </c>
      <c r="G513" s="7" t="str">
        <f>IFERROR(__xludf.DUMMYFUNCTION("""COMPUTED_VALUE"""),"Mobile devices are increasingly being used to store and manage users' personal information, as well as to access popular third-party context-based services. Very often, these applications need to determine common availabilities among a set of user schedul"&amp;"es, in order to allow colleagues, business partners and people to meet. The privacy of the scheduling operation is paramount to the success of such applications, as often users do not want to share their personal schedule details with other users or third"&amp;"-parties. In this paper, we propose practical and privacy-preserving solutions for mobile devices to the server-based scheduling problem. Our three novel algorithms take advantage of the homomorphic properties of well-known cryptosystems in order to priva"&amp;"tely and efficiently compute common user availabilities. We also formally outline the privacy requirements in such scheduling applications and we implement our solutions on real mobile devices. The experimental measurements and analytical results show tha"&amp;"t the proposed solutions not only satisfy the privacy properties but also fare better, in regard to computation and communication efficiency, compared to other well-known solutions. Finally, we assess the utility and expectations, in terms of privacy and "&amp;"usability, of the proposed solutions by means of a targeted survey and user-study of mobile-phone users. © 2011 Elsevier Inc. All rights reserved.")</f>
        <v>Mobile devices are increasingly being used to store and manage users' personal information, as well as to access popular third-party context-based services. Very often, these applications need to determine common availabilities among a set of user schedules, in order to allow colleagues, business partners and people to meet. The privacy of the scheduling operation is paramount to the success of such applications, as often users do not want to share their personal schedule details with other users or third-parties. In this paper, we propose practical and privacy-preserving solutions for mobile devices to the server-based scheduling problem. Our three novel algorithms take advantage of the homomorphic properties of well-known cryptosystems in order to privately and efficiently compute common user availabilities. We also formally outline the privacy requirements in such scheduling applications and we implement our solutions on real mobile devices. The experimental measurements and analytical results show that the proposed solutions not only satisfy the privacy properties but also fare better, in regard to computation and communication efficiency, compared to other well-known solutions. Finally, we assess the utility and expectations, in terms of privacy and usability, of the proposed solutions by means of a targeted survey and user-study of mobile-phone users. © 2011 Elsevier Inc. All rights reserved.</v>
      </c>
      <c r="H513" s="8" t="str">
        <f>IFERROR(__xludf.DUMMYFUNCTION("""COMPUTED_VALUE"""),"Activity scheduling; Client-server architecture; Homomorphic encryption; Mobile devices")</f>
        <v>Activity scheduling; Client-server architecture; Homomorphic encryption; Mobile devices</v>
      </c>
      <c r="I513" s="10" t="b">
        <v>0</v>
      </c>
      <c r="J513" s="10" t="b">
        <v>0</v>
      </c>
      <c r="K513" s="10" t="b">
        <v>0</v>
      </c>
      <c r="L513" s="10" t="b">
        <v>0</v>
      </c>
      <c r="M513" s="10" t="b">
        <v>0</v>
      </c>
      <c r="N513" s="10" t="b">
        <v>0</v>
      </c>
      <c r="O513" s="11" t="b">
        <f t="shared" si="1"/>
        <v>0</v>
      </c>
      <c r="P513" s="16" t="b">
        <v>0</v>
      </c>
      <c r="Q513" s="7"/>
    </row>
    <row r="514">
      <c r="A514" s="5" t="b">
        <v>1</v>
      </c>
      <c r="B514" s="5" t="s">
        <v>556</v>
      </c>
      <c r="C514" s="6" t="str">
        <f>IFERROR(__xludf.DUMMYFUNCTION("""COMPUTED_VALUE"""),"10.1016/S0164-1212(02)00162-0")</f>
        <v>10.1016/S0164-1212(02)00162-0</v>
      </c>
      <c r="D514" s="7" t="str">
        <f>IFERROR(__xludf.DUMMYFUNCTION("""COMPUTED_VALUE"""),"Li P.; Ravindran B.")</f>
        <v>Li P.; Ravindran B.</v>
      </c>
      <c r="E514" s="7" t="str">
        <f>IFERROR(__xludf.DUMMYFUNCTION("""COMPUTED_VALUE"""),"Proactive QoS negotiation in asynchronous real-time distributed systems")</f>
        <v>Proactive QoS negotiation in asynchronous real-time distributed systems</v>
      </c>
      <c r="F514" s="7" t="str">
        <f>IFERROR(__xludf.DUMMYFUNCTION("""COMPUTED_VALUE"""),"JSS")</f>
        <v>JSS</v>
      </c>
      <c r="G514" s="7" t="str">
        <f>IFERROR(__xludf.DUMMYFUNCTION("""COMPUTED_VALUE"""),"We present a fast, proactive, quality of service (QoS) negotiation algorithm called Best Effort Negotiation (or BEN), for asynchronous real-time distributed systems. BEN considers an application model where trans-node application timeliness and fault-tole"&amp;"rance requirements are expressed using benefit functions, and anticipated workload and system failure rates during future time intervals are expressed using adaptation functions and reliability functions, respectively. Furthermore, BEN considers an adapta"&amp;"tion model where subtasks of application tasks are replicated at run-time for tolerating failures as well as for sharing workload increases. Given such models, the objective of the algorithm is to maximize the sum of aggregate real-time and fault-toleranc"&amp;"e benefits during the time window of adaptation functions. Since determining the optimal solution is computationally intractable, BEN heuristically computes sub-optimal resource allocations in polynomial-time. To determine how well BEN performs, we descri"&amp;"be another algorithm called HLC, that is inspired by the well-known Hill Climbing heuristic. We show that HLC is significantly slower than BEN. However, our experimental studies reveal that the performance of BEN, in general, is as good as that of HLC. © "&amp;"2003 Elsevier Inc. All rights reserved.")</f>
        <v>We present a fast, proactive, quality of service (QoS) negotiation algorithm called Best Effort Negotiation (or BEN), for asynchronous real-time distributed systems. BEN considers an application model where trans-node application timeliness and fault-tolerance requirements are expressed using benefit functions, and anticipated workload and system failure rates during future time intervals are expressed using adaptation functions and reliability functions, respectively. Furthermore, BEN considers an adaptation model where subtasks of application tasks are replicated at run-time for tolerating failures as well as for sharing workload increases. Given such models, the objective of the algorithm is to maximize the sum of aggregate real-time and fault-tolerance benefits during the time window of adaptation functions. Since determining the optimal solution is computationally intractable, BEN heuristically computes sub-optimal resource allocations in polynomial-time. To determine how well BEN performs, we describe another algorithm called HLC, that is inspired by the well-known Hill Climbing heuristic. We show that HLC is significantly slower than BEN. However, our experimental studies reveal that the performance of BEN, in general, is as good as that of HLC. © 2003 Elsevier Inc. All rights reserved.</v>
      </c>
      <c r="H514" s="8" t="str">
        <f>IFERROR(__xludf.DUMMYFUNCTION("""COMPUTED_VALUE"""),"Fault tolerance; Real-time distributed algorithms; Real-time parallel and distributed systems; Resource allocation and management")</f>
        <v>Fault tolerance; Real-time distributed algorithms; Real-time parallel and distributed systems; Resource allocation and management</v>
      </c>
      <c r="I514" s="10" t="b">
        <v>0</v>
      </c>
      <c r="J514" s="10" t="b">
        <v>0</v>
      </c>
      <c r="K514" s="10" t="b">
        <v>0</v>
      </c>
      <c r="L514" s="10" t="b">
        <v>0</v>
      </c>
      <c r="M514" s="10" t="b">
        <v>0</v>
      </c>
      <c r="N514" s="10" t="b">
        <v>0</v>
      </c>
      <c r="O514" s="11" t="b">
        <f t="shared" si="1"/>
        <v>0</v>
      </c>
      <c r="P514" s="16" t="b">
        <v>0</v>
      </c>
      <c r="Q514" s="7"/>
    </row>
    <row r="515">
      <c r="A515" s="5" t="b">
        <v>1</v>
      </c>
      <c r="B515" s="5" t="s">
        <v>557</v>
      </c>
      <c r="C515" s="6" t="str">
        <f>IFERROR(__xludf.DUMMYFUNCTION("""COMPUTED_VALUE"""),"10.1016/j.jss.2011.08.031")</f>
        <v>10.1016/j.jss.2011.08.031</v>
      </c>
      <c r="D515" s="7" t="str">
        <f>IFERROR(__xludf.DUMMYFUNCTION("""COMPUTED_VALUE"""),"Hasheminejad S.M.H.; Jalili S.")</f>
        <v>Hasheminejad S.M.H.; Jalili S.</v>
      </c>
      <c r="E515" s="7" t="str">
        <f>IFERROR(__xludf.DUMMYFUNCTION("""COMPUTED_VALUE"""),"Design patterns selection: An automatic two-phase method")</f>
        <v>Design patterns selection: An automatic two-phase method</v>
      </c>
      <c r="F515" s="7" t="str">
        <f>IFERROR(__xludf.DUMMYFUNCTION("""COMPUTED_VALUE"""),"JSS")</f>
        <v>JSS</v>
      </c>
      <c r="G515" s="7" t="str">
        <f>IFERROR(__xludf.DUMMYFUNCTION("""COMPUTED_VALUE"""),"Over many years of research and practices in software development, hundreds of software design patterns have been invented and published. Now, a question which naturally arises is how software developers select the right design patterns from all relevant "&amp;"patterns to solve design problems in the software design phase. To address this issue, in this paper, we propose a two-phase method to select a right design pattern. The proposed method is based on a text classification approach that aims to show an appro"&amp;"priate way to suggest the right design pattern(s) to developers for solving each given design problem. There are two advantages of the proposed method in comparison to previous works. First, there is no need for semi-formal specifications of design patter"&amp;"ns and second, the suitable design patterns are suggested with their degree of similarity to the design problem. To evaluate the proposed method, we apply it on real problems and several case studies. The experimental results show that the proposed method"&amp;" is promising and effective. © 2011 Elsevier Inc.")</f>
        <v>Over many years of research and practices in software development, hundreds of software design patterns have been invented and published. Now, a question which naturally arises is how software developers select the right design patterns from all relevant patterns to solve design problems in the software design phase. To address this issue, in this paper, we propose a two-phase method to select a right design pattern. The proposed method is based on a text classification approach that aims to show an appropriate way to suggest the right design pattern(s) to developers for solving each given design problem. There are two advantages of the proposed method in comparison to previous works. First, there is no need for semi-formal specifications of design patterns and second, the suitable design patterns are suggested with their degree of similarity to the design problem. To evaluate the proposed method, we apply it on real problems and several case studies. The experimental results show that the proposed method is promising and effective. © 2011 Elsevier Inc.</v>
      </c>
      <c r="H515" s="8" t="str">
        <f>IFERROR(__xludf.DUMMYFUNCTION("""COMPUTED_VALUE"""),"Automatic pattern selection; Machine learning; Software design pattern; Text classification")</f>
        <v>Automatic pattern selection; Machine learning; Software design pattern; Text classification</v>
      </c>
      <c r="I515" s="10" t="b">
        <v>0</v>
      </c>
      <c r="J515" s="10" t="b">
        <v>0</v>
      </c>
      <c r="K515" s="10" t="b">
        <v>0</v>
      </c>
      <c r="L515" s="10" t="b">
        <v>0</v>
      </c>
      <c r="M515" s="10" t="b">
        <v>0</v>
      </c>
      <c r="N515" s="10" t="b">
        <v>0</v>
      </c>
      <c r="O515" s="11" t="b">
        <f t="shared" si="1"/>
        <v>0</v>
      </c>
      <c r="P515" s="16" t="b">
        <v>0</v>
      </c>
      <c r="Q515" s="7"/>
    </row>
    <row r="516">
      <c r="A516" s="5" t="b">
        <v>1</v>
      </c>
      <c r="B516" s="5" t="s">
        <v>558</v>
      </c>
      <c r="C516" s="6" t="str">
        <f>IFERROR(__xludf.DUMMYFUNCTION("""COMPUTED_VALUE"""),"10.1016/j.jss.2011.06.063")</f>
        <v>10.1016/j.jss.2011.06.063</v>
      </c>
      <c r="D516" s="7" t="str">
        <f>IFERROR(__xludf.DUMMYFUNCTION("""COMPUTED_VALUE"""),"Verbelen T.; Stevens T.; Simoens P.; De Turck F.; Dhoedt B.")</f>
        <v>Verbelen T.; Stevens T.; Simoens P.; De Turck F.; Dhoedt B.</v>
      </c>
      <c r="E516" s="7" t="str">
        <f>IFERROR(__xludf.DUMMYFUNCTION("""COMPUTED_VALUE"""),"Dynamic deployment and quality adaptation for mobile augmented reality applications")</f>
        <v>Dynamic deployment and quality adaptation for mobile augmented reality applications</v>
      </c>
      <c r="F516" s="7" t="str">
        <f>IFERROR(__xludf.DUMMYFUNCTION("""COMPUTED_VALUE"""),"JSS")</f>
        <v>JSS</v>
      </c>
      <c r="G516" s="7" t="str">
        <f>IFERROR(__xludf.DUMMYFUNCTION("""COMPUTED_VALUE"""),"With the increasing popularity of smartphones and netbooks, more and more applications are developed for the mobile platform. Notwithstanding the recent advances in mobile hardware, most mobile devices still lack sufficient resources (e.g. CPU power and m"&amp;"emory) to execute complex multimedia applications such as augmented reality. Application developers also have difficulties to cope with the changing device context (e.g. network connectivity and remaining battery life) and the many different hardware plat"&amp;"forms and operating systems to run applications on. Therefore, we introduce the concept where the developer can provide different configurations of an application, each having different resource requirements and a different quality offered to the end user"&amp;". The middleware framework presented in this paper will select and deploy the configuration offering the best quality possible for the current connectivity and available resources. As these change over time, the framework will dynamically adapt the config"&amp;"uration and deployment at runtime, enhancing the quality by offloading parts of the application when a remote server is discovered, or gracefully degrading the quality when the network connection is lost. Based on experimental results on the augmented rea"&amp;"lity use case the performance and effectiveness of our middleware has been characterized in different scenarios. © 2011 Elsevier Inc. All rights reserved.")</f>
        <v>With the increasing popularity of smartphones and netbooks, more and more applications are developed for the mobile platform. Notwithstanding the recent advances in mobile hardware, most mobile devices still lack sufficient resources (e.g. CPU power and memory) to execute complex multimedia applications such as augmented reality. Application developers also have difficulties to cope with the changing device context (e.g. network connectivity and remaining battery life) and the many different hardware platforms and operating systems to run applications on. Therefore, we introduce the concept where the developer can provide different configurations of an application, each having different resource requirements and a different quality offered to the end user. The middleware framework presented in this paper will select and deploy the configuration offering the best quality possible for the current connectivity and available resources. As these change over time, the framework will dynamically adapt the configuration and deployment at runtime, enhancing the quality by offloading parts of the application when a remote server is discovered, or gracefully degrading the quality when the network connection is lost. Based on experimental results on the augmented reality use case the performance and effectiveness of our middleware has been characterized in different scenarios. © 2011 Elsevier Inc. All rights reserved.</v>
      </c>
      <c r="H516" s="8" t="str">
        <f>IFERROR(__xludf.DUMMYFUNCTION("""COMPUTED_VALUE"""),"Cyber foraging; Deployment optimization; Distributed systems; Mobile computing")</f>
        <v>Cyber foraging; Deployment optimization; Distributed systems; Mobile computing</v>
      </c>
      <c r="I516" s="10" t="b">
        <v>0</v>
      </c>
      <c r="J516" s="10" t="b">
        <v>0</v>
      </c>
      <c r="K516" s="10" t="b">
        <v>0</v>
      </c>
      <c r="L516" s="10" t="b">
        <v>0</v>
      </c>
      <c r="M516" s="10" t="b">
        <v>0</v>
      </c>
      <c r="N516" s="10" t="b">
        <v>0</v>
      </c>
      <c r="O516" s="11" t="b">
        <f t="shared" si="1"/>
        <v>0</v>
      </c>
      <c r="P516" s="16" t="b">
        <v>0</v>
      </c>
      <c r="Q516" s="7"/>
    </row>
    <row r="517">
      <c r="A517" s="5" t="b">
        <v>1</v>
      </c>
      <c r="B517" s="5" t="s">
        <v>559</v>
      </c>
      <c r="C517" s="6" t="str">
        <f>IFERROR(__xludf.DUMMYFUNCTION("""COMPUTED_VALUE"""),"10.1016/j.jss.2005.06.039")</f>
        <v>10.1016/j.jss.2005.06.039</v>
      </c>
      <c r="D517" s="7" t="str">
        <f>IFERROR(__xludf.DUMMYFUNCTION("""COMPUTED_VALUE"""),"Huang C.-Y.; Lo J.-H.")</f>
        <v>Huang C.-Y.; Lo J.-H.</v>
      </c>
      <c r="E517" s="7" t="str">
        <f>IFERROR(__xludf.DUMMYFUNCTION("""COMPUTED_VALUE"""),"Optimal resource allocation for cost and reliability of modular software systems in the testing phase")</f>
        <v>Optimal resource allocation for cost and reliability of modular software systems in the testing phase</v>
      </c>
      <c r="F517" s="7" t="str">
        <f>IFERROR(__xludf.DUMMYFUNCTION("""COMPUTED_VALUE"""),"JSS")</f>
        <v>JSS</v>
      </c>
      <c r="G517" s="7" t="str">
        <f>IFERROR(__xludf.DUMMYFUNCTION("""COMPUTED_VALUE"""),"Reliability is one of the most important quality attributes of commercial software since it quantifies software failures during the development process. In order to increase the reliability, we should have a comprehensive test plan that ensures all requir"&amp;"ements are included and tested. In practice, software testing must be completed within a limited time and project managers should know how to allocate the specified testing-resources among all the modules. In this paper, we present an optimal resource all"&amp;"ocation problem in modular software systems during testing phase. The main purpose is to minimize the cost of software development when the fixed amount of testing-effort and a desired reliability objective are given. An elaborated optimization algorithm "&amp;"based on the Lagrange multiplier method is proposed and numerical examples are illustrated. Moreover, sensitivity analysis is also conducted. We analyze the sensitivity of parameters of proposed software reliability growth models and show the results in d"&amp;"etail. The experimental results greatly help us to identify the contributions of each selected parameter and its weight. The proposed algorithm and method can facilitate the allocation of limited testing-resource efficiently and thus the desired reliabili"&amp;"ty objective during software module testing can be better achieved. © 2005 Elsevier Inc. All rights reserved.")</f>
        <v>Reliability is one of the most important quality attributes of commercial software since it quantifies software failures during the development process. In order to increase the reliability, we should have a comprehensive test plan that ensures all requirements are included and tested. In practice, software testing must be completed within a limited time and project managers should know how to allocate the specified testing-resources among all the modules. In this paper, we present an optimal resource allocation problem in modular software systems during testing phase. The main purpose is to minimize the cost of software development when the fixed amount of testing-effort and a desired reliability objective are given. An elaborated optimization algorithm based on the Lagrange multiplier method is proposed and numerical examples are illustrated. Moreover, sensitivity analysis is also conducted. We analyze the sensitivity of parameters of proposed software reliability growth models and show the results in detail. The experimental results greatly help us to identify the contributions of each selected parameter and its weight. The proposed algorithm and method can facilitate the allocation of limited testing-resource efficiently and thus the desired reliability objective during software module testing can be better achieved. © 2005 Elsevier Inc. All rights reserved.</v>
      </c>
      <c r="H517" s="8" t="str">
        <f>IFERROR(__xludf.DUMMYFUNCTION("""COMPUTED_VALUE"""),"Dynamic programming; Resource allocation problem; Sensitivity analysis; Software cost; Software reliability")</f>
        <v>Dynamic programming; Resource allocation problem; Sensitivity analysis; Software cost; Software reliability</v>
      </c>
      <c r="I517" s="10" t="b">
        <v>0</v>
      </c>
      <c r="J517" s="10" t="b">
        <v>0</v>
      </c>
      <c r="K517" s="10" t="b">
        <v>0</v>
      </c>
      <c r="L517" s="10" t="b">
        <v>0</v>
      </c>
      <c r="M517" s="10" t="b">
        <v>0</v>
      </c>
      <c r="N517" s="10" t="b">
        <v>0</v>
      </c>
      <c r="O517" s="11" t="b">
        <f t="shared" si="1"/>
        <v>0</v>
      </c>
      <c r="P517" s="16" t="b">
        <v>0</v>
      </c>
      <c r="Q517" s="7"/>
    </row>
    <row r="518">
      <c r="A518" s="5" t="b">
        <v>1</v>
      </c>
      <c r="B518" s="5" t="s">
        <v>560</v>
      </c>
      <c r="C518" s="6" t="str">
        <f>IFERROR(__xludf.DUMMYFUNCTION("""COMPUTED_VALUE"""),"10.1016/S0164-1212(99)00058-8")</f>
        <v>10.1016/S0164-1212(99)00058-8</v>
      </c>
      <c r="D518" s="7" t="str">
        <f>IFERROR(__xludf.DUMMYFUNCTION("""COMPUTED_VALUE"""),"Liang D.; Fang C.-L.; Yuan S.-M.; Chen C.; Jan G.E.")</f>
        <v>Liang D.; Fang C.-L.; Yuan S.-M.; Chen C.; Jan G.E.</v>
      </c>
      <c r="E518" s="7" t="str">
        <f>IFERROR(__xludf.DUMMYFUNCTION("""COMPUTED_VALUE"""),"Fault-tolerant object service on CORBA")</f>
        <v>Fault-tolerant object service on CORBA</v>
      </c>
      <c r="F518" s="7" t="str">
        <f>IFERROR(__xludf.DUMMYFUNCTION("""COMPUTED_VALUE"""),"JSS")</f>
        <v>JSS</v>
      </c>
      <c r="G518" s="7" t="str">
        <f>IFERROR(__xludf.DUMMYFUNCTION("""COMPUTED_VALUE"""),"The Common Object Request Broker Architecture (CORBA), is a major industrial standard for distributed object-based applications. Today's large-scale CORBA applications have to deal with object crashes, node failures, networks partitioning and unpredictabl"&amp;"e communication delays. Existing efforts to enhance the CORBA reliability can be roughly categorized into three approaches: integration approach, interception approach and service approach. Each approach has its own merits and prices. In this paper, we pr"&amp;"opose a service approach solution called Object Fault-tolerance Service (OFS). Solutions that adopt the service approach usually specify their service in terms of CORBA IDL interfaces. The implementations of such solutions in general do not modify the ORB"&amp;" infrastructure or IDL language mappings, and thus applications developed with those systems appear to be more portable. OFS differs from other service approach solutions in that OFS does not assume underlying support of reliable group communication. Appl"&amp;"ications with advance registration can rely on OFS for detection of object and node crashes, and for customized recovery. In this paper, we first present the service specification of OFS. We then give the system architecture of an OFS implementation. This"&amp;" OFS implementation is developed on the Solaris 2.5 platform and with IONA's Orbix 2.0. The performance evaluation of the OFS implementation is also presented. The preliminary experiments indicate that OFS overhead is minimal and client objects experience"&amp;" little response delay when a service object is under OFS surveillance.")</f>
        <v>The Common Object Request Broker Architecture (CORBA), is a major industrial standard for distributed object-based applications. Today's large-scale CORBA applications have to deal with object crashes, node failures, networks partitioning and unpredictable communication delays. Existing efforts to enhance the CORBA reliability can be roughly categorized into three approaches: integration approach, interception approach and service approach. Each approach has its own merits and prices. In this paper, we propose a service approach solution called Object Fault-tolerance Service (OFS). Solutions that adopt the service approach usually specify their service in terms of CORBA IDL interfaces. The implementations of such solutions in general do not modify the ORB infrastructure or IDL language mappings, and thus applications developed with those systems appear to be more portable. OFS differs from other service approach solutions in that OFS does not assume underlying support of reliable group communication. Applications with advance registration can rely on OFS for detection of object and node crashes, and for customized recovery. In this paper, we first present the service specification of OFS. We then give the system architecture of an OFS implementation. This OFS implementation is developed on the Solaris 2.5 platform and with IONA's Orbix 2.0. The performance evaluation of the OFS implementation is also presented. The preliminary experiments indicate that OFS overhead is minimal and client objects experience little response delay when a service object is under OFS surveillance.</v>
      </c>
      <c r="H518" s="8"/>
      <c r="I518" s="10" t="b">
        <v>0</v>
      </c>
      <c r="J518" s="10" t="b">
        <v>0</v>
      </c>
      <c r="K518" s="10" t="b">
        <v>0</v>
      </c>
      <c r="L518" s="10" t="b">
        <v>0</v>
      </c>
      <c r="M518" s="10" t="b">
        <v>0</v>
      </c>
      <c r="N518" s="10" t="b">
        <v>0</v>
      </c>
      <c r="O518" s="11" t="b">
        <f t="shared" si="1"/>
        <v>0</v>
      </c>
      <c r="P518" s="16" t="b">
        <v>0</v>
      </c>
      <c r="Q518" s="7"/>
    </row>
    <row r="519">
      <c r="A519" s="5" t="b">
        <v>1</v>
      </c>
      <c r="B519" s="5" t="s">
        <v>561</v>
      </c>
      <c r="C519" s="6" t="str">
        <f>IFERROR(__xludf.DUMMYFUNCTION("""COMPUTED_VALUE"""),"10.1016/j.jss.2009.03.015")</f>
        <v>10.1016/j.jss.2009.03.015</v>
      </c>
      <c r="D519" s="7" t="str">
        <f>IFERROR(__xludf.DUMMYFUNCTION("""COMPUTED_VALUE"""),"Kim Y.; Park E.K.; Tak S.")</f>
        <v>Kim Y.; Park E.K.; Tak S.</v>
      </c>
      <c r="E519" s="7" t="str">
        <f>IFERROR(__xludf.DUMMYFUNCTION("""COMPUTED_VALUE"""),"Dynamically reconfigurable hardware-software architecture for partitioning networking functions on the SoC platform")</f>
        <v>Dynamically reconfigurable hardware-software architecture for partitioning networking functions on the SoC platform</v>
      </c>
      <c r="F519" s="7" t="str">
        <f>IFERROR(__xludf.DUMMYFUNCTION("""COMPUTED_VALUE"""),"JSS")</f>
        <v>JSS</v>
      </c>
      <c r="G519" s="7" t="str">
        <f>IFERROR(__xludf.DUMMYFUNCTION("""COMPUTED_VALUE"""),"We present an issue of the dynamically reconfigurable hardware-software architecture which allows for partitioning networking functions on a SoC (System on Chip) platform. We address this issue as a partition problem of implementing network protocol funct"&amp;"ions into dynamically reconfigurable hardware and software modules. Such a partitioning technique can improve the co-design productivity of hardware and software modules. Practically, the proposed partitioning technique, which is called the ITC (Inter-Tas"&amp;"k Communication) technique incorporating the RT-IJC2 (Real-Time Inter-Job Communication Channel), makes it possible to resolve the issue of partitioning networking functions into hardware and software modules on the SoC platform. Additionally, the propose"&amp;"d partitioning technique can support the modularity and reuse of complex network protocol functions, enabling a higher level of abstraction of future network protocol specifications onto the SoC platform. Especially, the RT-IJC2 allows for more complex da"&amp;"ta transfers between hardware and software tasks as well as provides real-time data processing simultaneously for given application-specific real-time requirements. We conduct a variety of experiments to illustrate the application and efficiency of the pr"&amp;"oposed technique after implementing it on a commercial SoC platform based on the Altera's Excalibur including the ARM922T core and up to 1 million gates of programmable logic. © 2009 Elsevier Inc.")</f>
        <v>We present an issue of the dynamically reconfigurable hardware-software architecture which allows for partitioning networking functions on a SoC (System on Chip) platform. We address this issue as a partition problem of implementing network protocol functions into dynamically reconfigurable hardware and software modules. Such a partitioning technique can improve the co-design productivity of hardware and software modules. Practically, the proposed partitioning technique, which is called the ITC (Inter-Task Communication) technique incorporating the RT-IJC2 (Real-Time Inter-Job Communication Channel), makes it possible to resolve the issue of partitioning networking functions into hardware and software modules on the SoC platform. Additionally, the proposed partitioning technique can support the modularity and reuse of complex network protocol functions, enabling a higher level of abstraction of future network protocol specifications onto the SoC platform. Especially, the RT-IJC2 allows for more complex data transfers between hardware and software tasks as well as provides real-time data processing simultaneously for given application-specific real-time requirements. We conduct a variety of experiments to illustrate the application and efficiency of the proposed technique after implementing it on a commercial SoC platform based on the Altera's Excalibur including the ARM922T core and up to 1 million gates of programmable logic. © 2009 Elsevier Inc.</v>
      </c>
      <c r="H519" s="8" t="str">
        <f>IFERROR(__xludf.DUMMYFUNCTION("""COMPUTED_VALUE"""),"Hardware-software co-design; Network protocols; Reconfigurable hardware-software architecture; System on Chip")</f>
        <v>Hardware-software co-design; Network protocols; Reconfigurable hardware-software architecture; System on Chip</v>
      </c>
      <c r="I519" s="10" t="b">
        <v>0</v>
      </c>
      <c r="J519" s="10" t="b">
        <v>0</v>
      </c>
      <c r="K519" s="10" t="b">
        <v>0</v>
      </c>
      <c r="L519" s="10" t="b">
        <v>0</v>
      </c>
      <c r="M519" s="10" t="b">
        <v>0</v>
      </c>
      <c r="N519" s="10" t="b">
        <v>0</v>
      </c>
      <c r="O519" s="11" t="b">
        <f t="shared" si="1"/>
        <v>0</v>
      </c>
      <c r="P519" s="16" t="b">
        <v>0</v>
      </c>
      <c r="Q519" s="7"/>
    </row>
    <row r="520">
      <c r="A520" s="5" t="b">
        <v>1</v>
      </c>
      <c r="B520" s="5" t="s">
        <v>562</v>
      </c>
      <c r="C520" s="6" t="str">
        <f>IFERROR(__xludf.DUMMYFUNCTION("""COMPUTED_VALUE"""),"10.1016/j.jss.2006.10.051")</f>
        <v>10.1016/j.jss.2006.10.051</v>
      </c>
      <c r="D520" s="7" t="str">
        <f>IFERROR(__xludf.DUMMYFUNCTION("""COMPUTED_VALUE"""),"Chang T.-K.; Hwang G.-H.")</f>
        <v>Chang T.-K.; Hwang G.-H.</v>
      </c>
      <c r="E520" s="7" t="str">
        <f>IFERROR(__xludf.DUMMYFUNCTION("""COMPUTED_VALUE"""),"The design and implementation of an application program interface for securing XML documents")</f>
        <v>The design and implementation of an application program interface for securing XML documents</v>
      </c>
      <c r="F520" s="7" t="str">
        <f>IFERROR(__xludf.DUMMYFUNCTION("""COMPUTED_VALUE"""),"JSS")</f>
        <v>JSS</v>
      </c>
      <c r="G520" s="7" t="str">
        <f>IFERROR(__xludf.DUMMYFUNCTION("""COMPUTED_VALUE"""),"The encryption and signature standards proposed by W3C specifying the format for encrypted XML documents are important advances towards XML security [Eastlake, Donald, Reagle, Joseph, Imamura, Takeshi, Dillaway, Blair, Simon, Ed, 2002. XML Encryption Synt"&amp;"ax and Processing. W3C Recommendation 10 December 2002 &lt;http://www.w3.org/TR/xmlenc-core/&gt;, Eastlake, Donald, Reagle, Joseph, Solo, David, Bartel, Mark, Boyer, John, Fox, Barb, LaMacchia, Brian, Simon, Ed, 2002. XML-Signature Syntax and Processing W3C Rec"&amp;"ommendation, 12 February 2002. &lt;http://www.w3.org/TR/xmldsig-core/&gt;]. Related works include the proposal of a specification language that allows a programmer to describe the security details of XML documents [Hwang, Gwan-Hwan, Chang, Tao-Ku, 2004. An oper"&amp;"ational model and language support for securing XML documents. Computers &amp; Security 23(6), 498-529, Hwang, Gwan-Hwan, Chang, Tao-Ku, 2001. Document security language (DSL) and an efficient automatic securing tool for XML documents. International Conferenc"&amp;"e on Internet Computing, Las Vegas, Nevada, USA, 24-28 June 2001, pp. 393-399]. Despite the success of these works, we consider them to be insufficient from the viewpoint of software engineering. In this paper, we employ some real examples to demonstrate "&amp;"that it is necessary to design an appropriate API for the securing system of subtree encryption for XML documents. The goal is to increase productivity and reduce the cost of maintaining this kind of software, for which we propose a document security lang"&amp;"uage (DSL) API. We describe the implementation of the DSL API, and use experimental results to demonstrate its practicality. © 2006 Elsevier Inc. All rights reserved.")</f>
        <v>The encryption and signature standards proposed by W3C specifying the format for encrypted XML documents are important advances towards XML security [Eastlake, Donald, Reagle, Joseph, Imamura, Takeshi, Dillaway, Blair, Simon, Ed, 2002. XML Encryption Syntax and Processing. W3C Recommendation 10 December 2002 &lt;http://www.w3.org/TR/xmlenc-core/&gt;, Eastlake, Donald, Reagle, Joseph, Solo, David, Bartel, Mark, Boyer, John, Fox, Barb, LaMacchia, Brian, Simon, Ed, 2002. XML-Signature Syntax and Processing W3C Recommendation, 12 February 2002. &lt;http://www.w3.org/TR/xmldsig-core/&gt;]. Related works include the proposal of a specification language that allows a programmer to describe the security details of XML documents [Hwang, Gwan-Hwan, Chang, Tao-Ku, 2004. An operational model and language support for securing XML documents. Computers &amp; Security 23(6), 498-529, Hwang, Gwan-Hwan, Chang, Tao-Ku, 2001. Document security language (DSL) and an efficient automatic securing tool for XML documents. International Conference on Internet Computing, Las Vegas, Nevada, USA, 24-28 June 2001, pp. 393-399]. Despite the success of these works, we consider them to be insufficient from the viewpoint of software engineering. In this paper, we employ some real examples to demonstrate that it is necessary to design an appropriate API for the securing system of subtree encryption for XML documents. The goal is to increase productivity and reduce the cost of maintaining this kind of software, for which we propose a document security language (DSL) API. We describe the implementation of the DSL API, and use experimental results to demonstrate its practicality. © 2006 Elsevier Inc. All rights reserved.</v>
      </c>
      <c r="H520" s="8" t="str">
        <f>IFERROR(__xludf.DUMMYFUNCTION("""COMPUTED_VALUE"""),"Decryption; Digital signature; Document security language; Encryption; Security; XML")</f>
        <v>Decryption; Digital signature; Document security language; Encryption; Security; XML</v>
      </c>
      <c r="I520" s="10" t="b">
        <v>0</v>
      </c>
      <c r="J520" s="10" t="b">
        <v>0</v>
      </c>
      <c r="K520" s="10" t="b">
        <v>0</v>
      </c>
      <c r="L520" s="10" t="b">
        <v>0</v>
      </c>
      <c r="M520" s="10" t="b">
        <v>0</v>
      </c>
      <c r="N520" s="10" t="b">
        <v>0</v>
      </c>
      <c r="O520" s="11" t="b">
        <f t="shared" si="1"/>
        <v>0</v>
      </c>
      <c r="P520" s="16" t="b">
        <v>0</v>
      </c>
      <c r="Q520" s="7"/>
    </row>
    <row r="521">
      <c r="A521" s="5" t="b">
        <v>1</v>
      </c>
      <c r="B521" s="5" t="s">
        <v>563</v>
      </c>
      <c r="C521" s="6" t="str">
        <f>IFERROR(__xludf.DUMMYFUNCTION("""COMPUTED_VALUE"""),"10.1016/j.jss.2008.11.841")</f>
        <v>10.1016/j.jss.2008.11.841</v>
      </c>
      <c r="D521" s="7" t="str">
        <f>IFERROR(__xludf.DUMMYFUNCTION("""COMPUTED_VALUE"""),"Berander P.; Svahnberg M.")</f>
        <v>Berander P.; Svahnberg M.</v>
      </c>
      <c r="E521" s="7" t="str">
        <f>IFERROR(__xludf.DUMMYFUNCTION("""COMPUTED_VALUE"""),"Evaluating two ways of calculating priorities in requirements hierarchies - An experiment on hierarchical cumulative voting")</f>
        <v>Evaluating two ways of calculating priorities in requirements hierarchies - An experiment on hierarchical cumulative voting</v>
      </c>
      <c r="F521" s="7" t="str">
        <f>IFERROR(__xludf.DUMMYFUNCTION("""COMPUTED_VALUE"""),"JSS")</f>
        <v>JSS</v>
      </c>
      <c r="G521" s="7" t="str">
        <f>IFERROR(__xludf.DUMMYFUNCTION("""COMPUTED_VALUE"""),"When developing large-scale software systems, there is often a large amount of requirements present, and they often reside on several hierarchical levels. In most cases, not all stated requirements can be implemented into the product due to different cons"&amp;"traints, and the requirements must hence be prioritized. As requirements on different abstraction levels shall not be compared, prioritization techniques that are able to handle multi-level prioritization are needed. Different such techniques exist, but t"&amp;"hey seem to result in unfair comparisons when a hierarchy is unbalanced. In this paper, an empirical experiment is presented where an approach that compensate for this challenge is evaluated. The results indicate that some form of compensation is preferre"&amp;"d, and that the subjects' preference is not influenced by the amount of information given. © 2008 Elsevier Inc. All rights reserved.")</f>
        <v>When developing large-scale software systems, there is often a large amount of requirements present, and they often reside on several hierarchical levels. In most cases, not all stated requirements can be implemented into the product due to different constraints, and the requirements must hence be prioritized. As requirements on different abstraction levels shall not be compared, prioritization techniques that are able to handle multi-level prioritization are needed. Different such techniques exist, but they seem to result in unfair comparisons when a hierarchy is unbalanced. In this paper, an empirical experiment is presented where an approach that compensate for this challenge is evaluated. The results indicate that some form of compensation is preferred, and that the subjects' preference is not influenced by the amount of information given. © 2008 Elsevier Inc. All rights reserved.</v>
      </c>
      <c r="H521" s="8" t="str">
        <f>IFERROR(__xludf.DUMMYFUNCTION("""COMPUTED_VALUE"""),"Accuracy; Compensation factor; Empirical experiment; Requirements hierarchies; Requirements prioritization")</f>
        <v>Accuracy; Compensation factor; Empirical experiment; Requirements hierarchies; Requirements prioritization</v>
      </c>
      <c r="I521" s="9" t="b">
        <v>1</v>
      </c>
      <c r="J521" s="9" t="b">
        <v>1</v>
      </c>
      <c r="K521" s="9" t="b">
        <v>1</v>
      </c>
      <c r="L521" s="10" t="b">
        <v>0</v>
      </c>
      <c r="M521" s="10" t="b">
        <v>0</v>
      </c>
      <c r="N521" s="10" t="b">
        <v>0</v>
      </c>
      <c r="O521" s="11" t="b">
        <f t="shared" si="1"/>
        <v>1</v>
      </c>
      <c r="P521" s="12" t="b">
        <v>0</v>
      </c>
      <c r="Q521" s="13"/>
    </row>
    <row r="522">
      <c r="A522" s="5" t="b">
        <v>1</v>
      </c>
      <c r="B522" s="5" t="s">
        <v>564</v>
      </c>
      <c r="C522" s="6" t="str">
        <f>IFERROR(__xludf.DUMMYFUNCTION("""COMPUTED_VALUE"""),"10.1016/j.jss.2003.10.031")</f>
        <v>10.1016/j.jss.2003.10.031</v>
      </c>
      <c r="D522" s="7" t="str">
        <f>IFERROR(__xludf.DUMMYFUNCTION("""COMPUTED_VALUE"""),"Chen S.-C.; Shyu M.-L.; Gray I.; Luo H.")</f>
        <v>Chen S.-C.; Shyu M.-L.; Gray I.; Luo H.</v>
      </c>
      <c r="E522" s="7" t="str">
        <f>IFERROR(__xludf.DUMMYFUNCTION("""COMPUTED_VALUE"""),"An adaptive rate-control streaming mechanism with optimal buffer utilization")</f>
        <v>An adaptive rate-control streaming mechanism with optimal buffer utilization</v>
      </c>
      <c r="F522" s="7" t="str">
        <f>IFERROR(__xludf.DUMMYFUNCTION("""COMPUTED_VALUE"""),"JSS")</f>
        <v>JSS</v>
      </c>
      <c r="G522" s="7" t="str">
        <f>IFERROR(__xludf.DUMMYFUNCTION("""COMPUTED_VALUE"""),"In this paper, an end-to-end real-time adaptive protocol for multimedia transmission is presented. The bandwidth is dynamically allocated according to the network status, and the client buffer occupancy and playback requirement. The transmission rate is d"&amp;"etermined by the quadratic probing algorithm that can obtain the maximal utilization of the client buffer and minimal occupation of the network bandwidth. It is also coupled with a congestion control mechanism that can effectively decrease the packet loss"&amp;" rate during network congestion. We investigate the performance of our quadratic probing algorithm in different congestion levels under both the local area net (LAN) and Internet environments. Performance analysis reveals that our approach is more robust "&amp;"in avoiding overflows and underflows in different network congestion levels, and adapting to the changing network delays. Comparisons are made with the fixed rate approach and the rate by playback requirement approach. The experimental results show that o"&amp;"ur proposed real-time protocol with the rate adjusting quadratic probing algorithm is efficient in utilizing the network resources and decreasing the packet loss ratios. © 2004 Elsevier Inc. All rights reserved.")</f>
        <v>In this paper, an end-to-end real-time adaptive protocol for multimedia transmission is presented. The bandwidth is dynamically allocated according to the network status, and the client buffer occupancy and playback requirement. The transmission rate is determined by the quadratic probing algorithm that can obtain the maximal utilization of the client buffer and minimal occupation of the network bandwidth. It is also coupled with a congestion control mechanism that can effectively decrease the packet loss rate during network congestion. We investigate the performance of our quadratic probing algorithm in different congestion levels under both the local area net (LAN) and Internet environments. Performance analysis reveals that our approach is more robust in avoiding overflows and underflows in different network congestion levels, and adapting to the changing network delays. Comparisons are made with the fixed rate approach and the rate by playback requirement approach. The experimental results show that our proposed real-time protocol with the rate adjusting quadratic probing algorithm is efficient in utilizing the network resources and decreasing the packet loss ratios. © 2004 Elsevier Inc. All rights reserved.</v>
      </c>
      <c r="H522" s="8" t="str">
        <f>IFERROR(__xludf.DUMMYFUNCTION("""COMPUTED_VALUE"""),"Adaptive transmission rates; Buffer utilization; Multimedia streaming; Protocol")</f>
        <v>Adaptive transmission rates; Buffer utilization; Multimedia streaming; Protocol</v>
      </c>
      <c r="I522" s="10" t="b">
        <v>0</v>
      </c>
      <c r="J522" s="10" t="b">
        <v>0</v>
      </c>
      <c r="K522" s="10" t="b">
        <v>0</v>
      </c>
      <c r="L522" s="10" t="b">
        <v>0</v>
      </c>
      <c r="M522" s="10" t="b">
        <v>0</v>
      </c>
      <c r="N522" s="10" t="b">
        <v>0</v>
      </c>
      <c r="O522" s="11" t="b">
        <f t="shared" si="1"/>
        <v>0</v>
      </c>
      <c r="P522" s="16" t="b">
        <v>0</v>
      </c>
      <c r="Q522" s="7"/>
    </row>
    <row r="523">
      <c r="A523" s="5" t="b">
        <v>1</v>
      </c>
      <c r="B523" s="5" t="s">
        <v>565</v>
      </c>
      <c r="C523" s="6" t="str">
        <f>IFERROR(__xludf.DUMMYFUNCTION("""COMPUTED_VALUE"""),"10.1016/j.jss.2007.05.034")</f>
        <v>10.1016/j.jss.2007.05.034</v>
      </c>
      <c r="D523" s="7" t="str">
        <f>IFERROR(__xludf.DUMMYFUNCTION("""COMPUTED_VALUE"""),"Yun J.-H.; Chung C.-W.")</f>
        <v>Yun J.-H.; Chung C.-W.</v>
      </c>
      <c r="E523" s="7" t="str">
        <f>IFERROR(__xludf.DUMMYFUNCTION("""COMPUTED_VALUE"""),"Dynamic interval-based labeling scheme for efficient XML query and update processing")</f>
        <v>Dynamic interval-based labeling scheme for efficient XML query and update processing</v>
      </c>
      <c r="F523" s="7" t="str">
        <f>IFERROR(__xludf.DUMMYFUNCTION("""COMPUTED_VALUE"""),"JSS")</f>
        <v>JSS</v>
      </c>
      <c r="G523" s="7" t="str">
        <f>IFERROR(__xludf.DUMMYFUNCTION("""COMPUTED_VALUE"""),"XML data can be represented by a tree or graph structure and XML query processing requires the information of structural relationships among nodes. The basic structural relationships are parent-child and ancestor-descendant, and finding all occurrences of"&amp;" these basic structural relationships in an XML data is clearly a core operation in XML query processing. Several node labeling schemes have been suggested to support the determination of ancestor-descendant or parent-child structural relationships simply"&amp;" by comparing the labels of nodes. However, the previous node labeling schemes have some disadvantages, such as a large number of nodes that need to be relabeled in the case of an insertion of XML data, huge space requirements for node labels, and ineffic"&amp;"ient processing of structural joins. In this paper, we propose the nested tree structure that eliminates the disadvantages and takes advantage of the previous node labeling schemes. The nested tree structure makes it possible to use the dynamic interval-b"&amp;"ased labeling scheme, which supports XML data updates with almost no node relabeling as well as efficient structural join processing. Experimental results show that our approach is efficient in handling updates with the interval-based labeling scheme and "&amp;"also significantly improves the performance of the structural join processing compared with recent methods. © 2007 Elsevier Inc. All rights reserved.")</f>
        <v>XML data can be represented by a tree or graph structure and XML query processing requires the information of structural relationships among nodes. The basic structural relationships are parent-child and ancestor-descendant, and finding all occurrences of these basic structural relationships in an XML data is clearly a core operation in XML query processing. Several node labeling schemes have been suggested to support the determination of ancestor-descendant or parent-child structural relationships simply by comparing the labels of nodes. However, the previous node labeling schemes have some disadvantages, such as a large number of nodes that need to be relabeled in the case of an insertion of XML data, huge space requirements for node labels, and inefficient processing of structural joins. In this paper, we propose the nested tree structure that eliminates the disadvantages and takes advantage of the previous node labeling schemes. The nested tree structure makes it possible to use the dynamic interval-based labeling scheme, which supports XML data updates with almost no node relabeling as well as efficient structural join processing. Experimental results show that our approach is efficient in handling updates with the interval-based labeling scheme and also significantly improves the performance of the structural join processing compared with recent methods. © 2007 Elsevier Inc. All rights reserved.</v>
      </c>
      <c r="H523" s="8" t="str">
        <f>IFERROR(__xludf.DUMMYFUNCTION("""COMPUTED_VALUE"""),"XML labeling scheme; XML query; XML update")</f>
        <v>XML labeling scheme; XML query; XML update</v>
      </c>
      <c r="I523" s="10" t="b">
        <v>0</v>
      </c>
      <c r="J523" s="10" t="b">
        <v>0</v>
      </c>
      <c r="K523" s="10" t="b">
        <v>0</v>
      </c>
      <c r="L523" s="10" t="b">
        <v>0</v>
      </c>
      <c r="M523" s="10" t="b">
        <v>0</v>
      </c>
      <c r="N523" s="10" t="b">
        <v>0</v>
      </c>
      <c r="O523" s="11" t="b">
        <f t="shared" si="1"/>
        <v>0</v>
      </c>
      <c r="P523" s="16" t="b">
        <v>0</v>
      </c>
      <c r="Q523" s="7"/>
    </row>
    <row r="524">
      <c r="A524" s="5" t="b">
        <v>1</v>
      </c>
      <c r="B524" s="5" t="s">
        <v>566</v>
      </c>
      <c r="C524" s="6" t="str">
        <f>IFERROR(__xludf.DUMMYFUNCTION("""COMPUTED_VALUE"""),"10.1016/S0164-1212(03)00048-7")</f>
        <v>10.1016/S0164-1212(03)00048-7</v>
      </c>
      <c r="D524" s="7" t="str">
        <f>IFERROR(__xludf.DUMMYFUNCTION("""COMPUTED_VALUE"""),"Goumopoulos C.; Housos E.")</f>
        <v>Goumopoulos C.; Housos E.</v>
      </c>
      <c r="E524" s="7" t="str">
        <f>IFERROR(__xludf.DUMMYFUNCTION("""COMPUTED_VALUE"""),"Efficient trip generation with a rule modeling system for crew scheduling problems")</f>
        <v>Efficient trip generation with a rule modeling system for crew scheduling problems</v>
      </c>
      <c r="F524" s="7" t="str">
        <f>IFERROR(__xludf.DUMMYFUNCTION("""COMPUTED_VALUE"""),"JSS")</f>
        <v>JSS</v>
      </c>
      <c r="G524" s="7" t="str">
        <f>IFERROR(__xludf.DUMMYFUNCTION("""COMPUTED_VALUE"""),"Trip generation is the most time consuming phase in the solution process of crew scheduling problems faced by large transportation companies such as airlines and railways. A large number of trips must be constructed while satisfying a complex set of regul"&amp;"ations. In this paper, we present an efficient trip generation method that utilizes originally a rule modeling system in order to reduce the corresponding search space. Special pruning rules are defined using a high-level rule language, which also support"&amp;"s the modeling of the business regulations required in the scheduling process. In addition, the legality checking mechanism involved has been tuned to perform efficiently in order to cope with the vast amount of the legality checks required by the trip ge"&amp;"nerator. The algorithms are tested as a module for a crew scheduling application satisfying the tight response time requirements of a production system. We present experimental results based on problems provided by a major European airline that validate t"&amp;"he usefulness and applicability of our work. © 2003 Elsevier Inc. All rights reserved.")</f>
        <v>Trip generation is the most time consuming phase in the solution process of crew scheduling problems faced by large transportation companies such as airlines and railways. A large number of trips must be constructed while satisfying a complex set of regulations. In this paper, we present an efficient trip generation method that utilizes originally a rule modeling system in order to reduce the corresponding search space. Special pruning rules are defined using a high-level rule language, which also supports the modeling of the business regulations required in the scheduling process. In addition, the legality checking mechanism involved has been tuned to perform efficiently in order to cope with the vast amount of the legality checks required by the trip generator. The algorithms are tested as a module for a crew scheduling application satisfying the tight response time requirements of a production system. We present experimental results based on problems provided by a major European airline that validate the usefulness and applicability of our work. © 2003 Elsevier Inc. All rights reserved.</v>
      </c>
      <c r="H524" s="8" t="str">
        <f>IFERROR(__xludf.DUMMYFUNCTION("""COMPUTED_VALUE"""),"Crew scheduling; Performance improvement; Rule modeling; Trip generation")</f>
        <v>Crew scheduling; Performance improvement; Rule modeling; Trip generation</v>
      </c>
      <c r="I524" s="10" t="b">
        <v>0</v>
      </c>
      <c r="J524" s="10" t="b">
        <v>0</v>
      </c>
      <c r="K524" s="10" t="b">
        <v>0</v>
      </c>
      <c r="L524" s="10" t="b">
        <v>0</v>
      </c>
      <c r="M524" s="10" t="b">
        <v>0</v>
      </c>
      <c r="N524" s="10" t="b">
        <v>0</v>
      </c>
      <c r="O524" s="11" t="b">
        <f t="shared" si="1"/>
        <v>0</v>
      </c>
      <c r="P524" s="16" t="b">
        <v>0</v>
      </c>
      <c r="Q524" s="7"/>
    </row>
    <row r="525">
      <c r="A525" s="5" t="b">
        <v>1</v>
      </c>
      <c r="B525" s="5" t="s">
        <v>567</v>
      </c>
      <c r="C525" s="6" t="str">
        <f>IFERROR(__xludf.DUMMYFUNCTION("""COMPUTED_VALUE"""),"10.1016/j.infsof.2020.106371")</f>
        <v>10.1016/j.infsof.2020.106371</v>
      </c>
      <c r="D525" s="7" t="str">
        <f>IFERROR(__xludf.DUMMYFUNCTION("""COMPUTED_VALUE"""),"Arcaini P.; Inverso O.; Trubiani C.")</f>
        <v>Arcaini P.; Inverso O.; Trubiani C.</v>
      </c>
      <c r="E525" s="7" t="str">
        <f>IFERROR(__xludf.DUMMYFUNCTION("""COMPUTED_VALUE"""),"Automated model-based performance analysis of software product lines under uncertainty")</f>
        <v>Automated model-based performance analysis of software product lines under uncertainty</v>
      </c>
      <c r="F525" s="7" t="str">
        <f>IFERROR(__xludf.DUMMYFUNCTION("""COMPUTED_VALUE"""),"IST")</f>
        <v>IST</v>
      </c>
      <c r="G525" s="7" t="str">
        <f>IFERROR(__xludf.DUMMYFUNCTION("""COMPUTED_VALUE"""),"Context: A Software Product Line (SPL) can express the variability of a system through the specification of configuration options. Evaluating performance characteristics, such as the system response time and resource utilization, of a software product is "&amp;"challenging, even more so in the presence of uncertain values of the attributes. Objective: The goal of this paper is to automate the generation of performance models for software products derived from the feature model by selection heuristics. We aim at "&amp;"obtaining model-based predictive results to quantify the correlation between the features, along with their uncertainties, and the system performance. This way, software engineers can be informed on the performance characteristics before implementing the "&amp;"system. Method: We propose a tool-supported framework that, starting from a feature model annotated with performance-related characteristics, derives Queueing Network (QN) performance models for all the products of the SPL. Model-based performance analysi"&amp;"s is carried out on the models obtained by selecting the products that show the maximum and minimum performance-based costs. Results: We applied our approach to almost seven thousand feature models including more than one hundred and seventy features. The"&amp;" generation of QN models is automatically performed in much less than one second, whereas their model-based performance analysis embeds simulation delays and requires about six minutes on average. Conclusion: The experimental results confirm that our appr"&amp;"oach can be effective on a variety of systems for which software engineers may be provided with early insights on the system performance in reasonably short times. Software engineers are supported in the task of understanding the performance bounds that m"&amp;"ay encounter when (de)selecting different configuration options, along with their uncertainties. © 2020 Elsevier B.V.")</f>
        <v>Context: A Software Product Line (SPL) can express the variability of a system through the specification of configuration options. Evaluating performance characteristics, such as the system response time and resource utilization, of a software product is challenging, even more so in the presence of uncertain values of the attributes. Objective: The goal of this paper is to automate the generation of performance models for software products derived from the feature model by selection heuristics. We aim at obtaining model-based predictive results to quantify the correlation between the features, along with their uncertainties, and the system performance. This way, software engineers can be informed on the performance characteristics before implementing the system. Method: We propose a tool-supported framework that, starting from a feature model annotated with performance-related characteristics, derives Queueing Network (QN) performance models for all the products of the SPL. Model-based performance analysis is carried out on the models obtained by selecting the products that show the maximum and minimum performance-based costs. Results: We applied our approach to almost seven thousand feature models including more than one hundred and seventy features. The generation of QN models is automatically performed in much less than one second, whereas their model-based performance analysis embeds simulation delays and requires about six minutes on average. Conclusion: The experimental results confirm that our approach can be effective on a variety of systems for which software engineers may be provided with early insights on the system performance in reasonably short times. Software engineers are supported in the task of understanding the performance bounds that may encounter when (de)selecting different configuration options, along with their uncertainties. © 2020 Elsevier B.V.</v>
      </c>
      <c r="H525" s="8" t="str">
        <f>IFERROR(__xludf.DUMMYFUNCTION("""COMPUTED_VALUE"""),"Attributed feature models; Queueing networks; Software performance engineering; Software product lines; Uncertainty")</f>
        <v>Attributed feature models; Queueing networks; Software performance engineering; Software product lines; Uncertainty</v>
      </c>
      <c r="I525" s="10" t="b">
        <v>0</v>
      </c>
      <c r="J525" s="10" t="b">
        <v>0</v>
      </c>
      <c r="K525" s="10" t="b">
        <v>0</v>
      </c>
      <c r="L525" s="10" t="b">
        <v>0</v>
      </c>
      <c r="M525" s="10" t="b">
        <v>0</v>
      </c>
      <c r="N525" s="10" t="b">
        <v>0</v>
      </c>
      <c r="O525" s="11" t="b">
        <f t="shared" si="1"/>
        <v>0</v>
      </c>
      <c r="P525" s="16" t="b">
        <v>0</v>
      </c>
      <c r="Q525" s="7"/>
    </row>
    <row r="526">
      <c r="A526" s="5" t="b">
        <v>1</v>
      </c>
      <c r="B526" s="5" t="s">
        <v>568</v>
      </c>
      <c r="C526" s="6" t="str">
        <f>IFERROR(__xludf.DUMMYFUNCTION("""COMPUTED_VALUE"""),"10.1016/j.infsof.2013.11.004")</f>
        <v>10.1016/j.infsof.2013.11.004</v>
      </c>
      <c r="D526" s="7" t="str">
        <f>IFERROR(__xludf.DUMMYFUNCTION("""COMPUTED_VALUE"""),"Aceituna D.; Walia G.; Do H.; Lee S.-W.")</f>
        <v>Aceituna D.; Walia G.; Do H.; Lee S.-W.</v>
      </c>
      <c r="E526" s="7" t="str">
        <f>IFERROR(__xludf.DUMMYFUNCTION("""COMPUTED_VALUE"""),"Model-based requirements verification method: Conclusions from two controlled experiments")</f>
        <v>Model-based requirements verification method: Conclusions from two controlled experiments</v>
      </c>
      <c r="F526" s="7" t="str">
        <f>IFERROR(__xludf.DUMMYFUNCTION("""COMPUTED_VALUE"""),"IST")</f>
        <v>IST</v>
      </c>
      <c r="G526" s="7" t="str">
        <f>IFERROR(__xludf.DUMMYFUNCTION("""COMPUTED_VALUE"""),"Context Requirements engineering is one of the most important and critical phases in the software development life cycle, and should be carefully performed to build high quality and reliable software. However, requirements are typically gathered through v"&amp;"arious sources and are represented in natural language (NL), making requirements engineering a difficult, fault prone, and a challenging task. Objective To ensure high-quality software, we need effective requirements verification methods that can clearly "&amp;"handle and address inherently ambiguous nature of NL specifications. The objective of this paper is to propose a method that can address the challenges with NL requirements verification and to evaluate our proposed method through controlled experiments. M"&amp;"ethod We propose a model-based requirements verification method, called NLtoSTD, which transforms NL requirements into a State Transition Diagram (STD) that can help to detect and to eliminate ambiguities and incompleteness. The paper describes the NLtoST"&amp;"D method to detect requirement faults, thereby improving the quality of the requirements. To evaluate the NLtoSTD method, we conducted two controlled experiments at North Dakota State University in which the participants employed the NLtoSTD method and a "&amp;"traditional fault checklist during the inspection of requirement documents to identify the ambiguities and incompleteness of the requirements. Results Two experiment results show that the NLtoSTD method can be more effective in exposing the missing functi"&amp;"onality and, in some cases, more ambiguous information than the fault-checklist method. Our experiments also revealed areas of improvement that benefit the method's applicability in the future. Conclusion We presented a new approach, NLtoSTD, to verify re"&amp;"quirements documents and two controlled experiments assessing our approach. The results are promising and have motivated the refinement of the NLtoSTD method and future empirical evaluation. © 2013 Elsevier B.V. All rights reserved.")</f>
        <v>Context 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 Objective To ensure high-quality software, we need effective requirements verification methods that can clearly handle and address inherently ambiguous nature of NL specifications. The objective of this paper is to propose a method that can address the challenges with NL requirements verification and to evaluate our proposed method through controlled experiments. Method We propose a model-based requirements verification method, called NLtoSTD, which transforms NL requirements into a State Transition Diagram (STD) that can help to detect and to eliminate ambiguities and incompleteness. The paper describes the NLtoSTD method to detect requirement faults, thereby improving the quality of the requirements. To evaluate the NLtoSTD method, we conducted two controlled experiments at North Dakota State University in which the participants employed the NLtoSTD method and a traditional fault checklist during the inspection of requirement documents to identify the ambiguities and incompleteness of the requirements. Results Two experiment results show that the NLtoSTD method can be more effective in exposing the missing functionality and, in some cases, more ambiguous information than the fault-checklist method. Our experiments also revealed areas of improvement that benefit the method's applicability in the future. Conclusion We presented a new approach, NLtoSTD, to verify requirements documents and two controlled experiments assessing our approach. The results are promising and have motivated the refinement of the NLtoSTD method and future empirical evaluation. © 2013 Elsevier B.V. All rights reserved.</v>
      </c>
      <c r="H526" s="8" t="str">
        <f>IFERROR(__xludf.DUMMYFUNCTION("""COMPUTED_VALUE"""),"Controlled experiments; Fault checklist; Model-based verification; NLtoSTD; Requirements verification")</f>
        <v>Controlled experiments; Fault checklist; Model-based verification; NLtoSTD; Requirements verification</v>
      </c>
      <c r="I526" s="9" t="b">
        <v>1</v>
      </c>
      <c r="J526" s="9" t="b">
        <v>1</v>
      </c>
      <c r="K526" s="10" t="b">
        <v>0</v>
      </c>
      <c r="L526" s="10" t="b">
        <v>0</v>
      </c>
      <c r="M526" s="10" t="b">
        <v>0</v>
      </c>
      <c r="N526" s="10" t="b">
        <v>0</v>
      </c>
      <c r="O526" s="11" t="b">
        <f t="shared" si="1"/>
        <v>0</v>
      </c>
      <c r="P526" s="16" t="b">
        <v>0</v>
      </c>
      <c r="Q526" s="7"/>
    </row>
    <row r="527">
      <c r="A527" s="5" t="b">
        <v>1</v>
      </c>
      <c r="B527" s="5" t="s">
        <v>569</v>
      </c>
      <c r="C527" s="6" t="str">
        <f>IFERROR(__xludf.DUMMYFUNCTION("""COMPUTED_VALUE"""),"10.1016/j.infsof.2017.03.009")</f>
        <v>10.1016/j.infsof.2017.03.009</v>
      </c>
      <c r="D527" s="7" t="str">
        <f>IFERROR(__xludf.DUMMYFUNCTION("""COMPUTED_VALUE"""),"Kebir S.; Borne I.; Meslati D.")</f>
        <v>Kebir S.; Borne I.; Meslati D.</v>
      </c>
      <c r="E527" s="7" t="str">
        <f>IFERROR(__xludf.DUMMYFUNCTION("""COMPUTED_VALUE"""),"A genetic algorithm-based approach for automated refactoring of component-based software")</f>
        <v>A genetic algorithm-based approach for automated refactoring of component-based software</v>
      </c>
      <c r="F527" s="7" t="str">
        <f>IFERROR(__xludf.DUMMYFUNCTION("""COMPUTED_VALUE"""),"IST")</f>
        <v>IST</v>
      </c>
      <c r="G527" s="7" t="str">
        <f>IFERROR(__xludf.DUMMYFUNCTION("""COMPUTED_VALUE"""),"Context: During its lifecycle, a software system undergoes repeated modifications to quickly fulfill new requirements, but its underlying design is not properly adjusted after each update. This leads to the emergence of bad smells. Refactoring provides a "&amp;"de facto behavior-preserving approach to eliminate these anomalies. However, manually determining and performing useful refactorings is a formidable challenge, as stated in the literature. Therefore, framing object-oriented automated refactoring as a sear"&amp;"ch-based technique has been proposed. However, the literature shows that search-based refactoring of component-based software has not yet received proper attention. Objective: This paper presents a genetic algorithm-based approach for the automated refact"&amp;"oring of component-based software. This approach consists of detecting component-relevant bad smells and eliminating these bad smells by searching for the best sequence of refactorings using a genetic algorithm. Method: Our approach consists of four steps"&amp;". The first step includes studying the literature related to component-relevant bad smells and formulating bad smell detection rules. The second step involves proposing a catalog of component-relevant refactorings. The third step consists of constructing "&amp;"a source code model by extracting facts from the source code of a component-based software. The final step seeks to identify the best sequence of refactorings to apply to reduce the presence of bad smells in the source code model using a genetic algorithm"&amp;". The latter uses bad smell detection rules as a fitness function and the catalog of refactorings as a means to explore the search space. Results: As a case study, we conducted experiments on an unbiased set of four real-world component-based applications"&amp;". The results indicate that our approach is able to efficiently reduce the total number of bad smells by more than one half, which is an acceptable value compared to the recent literature. Moreover, we determined that our approach is also accurate in refa"&amp;"ctoring only components suffering from bad smells while leaving the remaining components untouched whenever possible. Furthermore, a statistical analysis shows that our genetic algorithm outperforms random search and local search in terms of efficiency an"&amp;"d accuracy on almost all the systems investigated in this work. Conclusion: This paper presents a search-based approach for the automated refactoring of component-based software. To the best of our knowledge, our approach is the first to focus on componen"&amp;"t-based refactoring, whereas the state-of-the-art approaches focus only on object-oriented refactoring. © 2017 Elsevier B.V.")</f>
        <v>Context: During its lifecycle, a software system undergoes repeated modifications to quickly fulfill new requirements, but its underlying design is not properly adjusted after each update. This leads to the emergence of bad smells. Refactoring provides a de facto behavior-preserving approach to eliminate these anomalies. However, manually determining and performing useful refactorings is a formidable challenge, as stated in the literature. Therefore, framing object-oriented automated refactoring as a search-based technique has been proposed. However, the literature shows that search-based refactoring of component-based software has not yet received proper attention. Objective: This paper presents a genetic algorithm-based approach for the automated refactoring of component-based software. This approach consists of detecting component-relevant bad smells and eliminating these bad smells by searching for the best sequence of refactorings using a genetic algorithm. Method: Our approach consists of four steps. The first step includes studying the literature related to component-relevant bad smells and formulating bad smell detection rules. The second step involves proposing a catalog of component-relevant refactorings. The third step consists of constructing a source code model by extracting facts from the source code of a component-based software. The final step seeks to identify the best sequence of refactorings to apply to reduce the presence of bad smells in the source code model using a genetic algorithm. The latter uses bad smell detection rules as a fitness function and the catalog of refactorings as a means to explore the search space. Results: As a case study, we conducted experiments on an unbiased set of four real-world component-based applications. The results indicate that our approach is able to efficiently reduce the total number of bad smells by more than one half, which is an acceptable value compared to the recent literature. Moreover, we determined that our approach is also accurate in refactoring only components suffering from bad smells while leaving the remaining components untouched whenever possible. Furthermore, a statistical analysis shows that our genetic algorithm outperforms random search and local search in terms of efficiency and accuracy on almost all the systems investigated in this work. Conclusion: This paper presents a search-based approach for the automated refactoring of component-based software. To the best of our knowledge, our approach is the first to focus on component-based refactoring, whereas the state-of-the-art approaches focus only on object-oriented refactoring. © 2017 Elsevier B.V.</v>
      </c>
      <c r="H527" s="8" t="str">
        <f>IFERROR(__xludf.DUMMYFUNCTION("""COMPUTED_VALUE"""),"Bad smells; Component-based software engineering; Genetic algorithm; Refactoring")</f>
        <v>Bad smells; Component-based software engineering; Genetic algorithm; Refactoring</v>
      </c>
      <c r="I527" s="10" t="b">
        <v>0</v>
      </c>
      <c r="J527" s="10" t="b">
        <v>0</v>
      </c>
      <c r="K527" s="10" t="b">
        <v>0</v>
      </c>
      <c r="L527" s="10" t="b">
        <v>0</v>
      </c>
      <c r="M527" s="10" t="b">
        <v>0</v>
      </c>
      <c r="N527" s="10" t="b">
        <v>0</v>
      </c>
      <c r="O527" s="11" t="b">
        <f t="shared" si="1"/>
        <v>0</v>
      </c>
      <c r="P527" s="16" t="b">
        <v>0</v>
      </c>
      <c r="Q527" s="7"/>
    </row>
    <row r="528">
      <c r="A528" s="5" t="b">
        <v>1</v>
      </c>
      <c r="B528" s="5" t="s">
        <v>570</v>
      </c>
      <c r="C528" s="6" t="str">
        <f>IFERROR(__xludf.DUMMYFUNCTION("""COMPUTED_VALUE"""),"10.1016/j.infsof.2014.07.014")</f>
        <v>10.1016/j.infsof.2014.07.014</v>
      </c>
      <c r="D528" s="7" t="str">
        <f>IFERROR(__xludf.DUMMYFUNCTION("""COMPUTED_VALUE"""),"Ferrer J.; Kruse P.M.; Chicano F.; Alba E.")</f>
        <v>Ferrer J.; Kruse P.M.; Chicano F.; Alba E.</v>
      </c>
      <c r="E528" s="7" t="str">
        <f>IFERROR(__xludf.DUMMYFUNCTION("""COMPUTED_VALUE"""),"Search based algorithms for test sequence generation in functional testing")</f>
        <v>Search based algorithms for test sequence generation in functional testing</v>
      </c>
      <c r="F528" s="7" t="str">
        <f>IFERROR(__xludf.DUMMYFUNCTION("""COMPUTED_VALUE"""),"IST")</f>
        <v>IST</v>
      </c>
      <c r="G528" s="7" t="str">
        <f>IFERROR(__xludf.DUMMYFUNCTION("""COMPUTED_VALUE"""),"Context: The generation of dynamic test sequences from a formal specification, complementing traditional testing methods in order to find errors in the source code. Objective: In this paper we extend one specific combinatorial test approach, the Classific"&amp;"ation Tree Method (CTM), with transition information to generate test sequences. Although we use CTM, this extension is also possible for any combinatorial testing method. Method: The generation of minimal test sequences that fulfill the demanded coverage"&amp;" criteria is an NP-hard problem. Therefore, search-based approaches are required to find such (near) optimal test sequences. Results: The experimental analysis compares the search-based technique with a greedy algorithm on a set of 12 hierarchical concurr"&amp;"ent models of programs extracted from the literature. Our proposed search-based approaches (GTSG and ACOts) are able to generate test sequences by finding the shortest valid path to achieve full class (state) and transition coverage. Conclusion: The exten"&amp;"ded classification tree is useful for generating of test sequences. Moreover, the experimental analysis reveals that our search-based approaches are better than the greedy deterministic approach, especially in the most complex instances. All presented alg"&amp;"orithms are actually integrated into a professional tool for functional testing. © 2014 Elsevier B.V. All rights reserved.")</f>
        <v>Context: The generation of dynamic test sequences from a formal specification, complementing traditional testing methods in order to find errors in the source code. Objective: In this paper we extend one specific combinatorial test approach, the Classification Tree Method (CTM), with transition information to generate test sequences. Although we use CTM, this extension is also possible for any combinatorial testing method. Method: The generation of minimal test sequences that fulfill the demanded coverage criteria is an NP-hard problem. Therefore, search-based approaches are required to find such (near) optimal test sequences. Results: The experimental analysis compares the search-based technique with a greedy algorithm on a set of 12 hierarchical concurrent models of programs extracted from the literature. Our proposed search-based approaches (GTSG and ACOts) are able to generate test sequences by finding the shortest valid path to achieve full class (state) and transition coverage. Conclusion: The extended classification tree is useful for generating of test sequences. Moreover, the experimental analysis reveals that our search-based approaches are better than the greedy deterministic approach, especially in the most complex instances. All presented algorithms are actually integrated into a professional tool for functional testing. © 2014 Elsevier B.V. All rights reserved.</v>
      </c>
      <c r="H528" s="8" t="str">
        <f>IFERROR(__xludf.DUMMYFUNCTION("""COMPUTED_VALUE"""),"Ant Colony Optimization; Classification Tree Method; Functional testing; Genetic Algorithm; Search Based Software Engineering; Test sequence generation")</f>
        <v>Ant Colony Optimization; Classification Tree Method; Functional testing; Genetic Algorithm; Search Based Software Engineering; Test sequence generation</v>
      </c>
      <c r="I528" s="10" t="b">
        <v>0</v>
      </c>
      <c r="J528" s="10" t="b">
        <v>0</v>
      </c>
      <c r="K528" s="10" t="b">
        <v>0</v>
      </c>
      <c r="L528" s="10" t="b">
        <v>0</v>
      </c>
      <c r="M528" s="10" t="b">
        <v>0</v>
      </c>
      <c r="N528" s="10" t="b">
        <v>0</v>
      </c>
      <c r="O528" s="11" t="b">
        <f t="shared" si="1"/>
        <v>0</v>
      </c>
      <c r="P528" s="16" t="b">
        <v>0</v>
      </c>
      <c r="Q528" s="7"/>
    </row>
    <row r="529">
      <c r="A529" s="5" t="b">
        <v>1</v>
      </c>
      <c r="B529" s="5" t="s">
        <v>571</v>
      </c>
      <c r="C529" s="6" t="str">
        <f>IFERROR(__xludf.DUMMYFUNCTION("""COMPUTED_VALUE"""),"10.1016/j.infsof.2017.05.001")</f>
        <v>10.1016/j.infsof.2017.05.001</v>
      </c>
      <c r="D529" s="7" t="str">
        <f>IFERROR(__xludf.DUMMYFUNCTION("""COMPUTED_VALUE"""),"Cao B.; Frank Liu X.; Liu J.; Tang M.")</f>
        <v>Cao B.; Frank Liu X.; Liu J.; Tang M.</v>
      </c>
      <c r="E529" s="7" t="str">
        <f>IFERROR(__xludf.DUMMYFUNCTION("""COMPUTED_VALUE"""),"Domain-aware Mashup service clustering based on LDA topic model from multiple data sources")</f>
        <v>Domain-aware Mashup service clustering based on LDA topic model from multiple data sources</v>
      </c>
      <c r="F529" s="7" t="str">
        <f>IFERROR(__xludf.DUMMYFUNCTION("""COMPUTED_VALUE"""),"IST")</f>
        <v>IST</v>
      </c>
      <c r="G529" s="7" t="str">
        <f>IFERROR(__xludf.DUMMYFUNCTION("""COMPUTED_VALUE"""),"Context Mashup is emerging as a promising software development method for allowing software developers to compose existing Web APIs to create new or value-added composite Web services. However, the rapid growth in the number of available Mashup services m"&amp;"akes it difficult for software developers to select a suitable Mashup service to satisfy their requirements. Even though clustering based Mashup discovery technique shows a promise of improving the quality of Mashup service discovery, Mashup service clust"&amp;"ering with high accuracy and good efficiency is still a challenge problem. Objective This paper proposes a novel domain-aware Mashup service clustering method with high accuracy and good efficiency by exploiting LDA topic model built from multiple data so"&amp;"urces, to improve the quality of Mashup service discovery. Method The proposed method firstly designs a domain-aware Mashup service feature selection and reduction process by refining characterization of their domains to consolidate domain relevance. Then"&amp;", it presents an extended LDA topic model built from multiple data sources (include Mashup description text, Web APIs and tags) to infer topic probability distribution of Mashup services, which serves as a basis of Mashup service similarity computation. F"&amp;"inally, K-means and Agnes algorithm are used to perform Mashup service clustering in terms of their similarities. Results Compared with other existing Mashup service clustering methods, experimental results show that the proposed method achieves a signifi"&amp;"cant improvement in terms of precision, recall, F-measure, purity and entropy. Conclusion The results of the proposed method help software developers to improve the quality of Mashup service discovery and Mashup-based software development. In the future, "&amp;"there will be a need to extend the method by considering heterogeneous network information among Mashup, Web APIs, tags, users, and applying it to Mashup discovery for software developers. © 2017 Elsevier B.V.")</f>
        <v>Context Mashup is emerging as a promising software development method for allowing software developers to compose existing Web APIs to create new or value-added composite Web services. However, the rapid growth in the number of available Mashup services makes it difficult for software developers to select a suitable Mashup service to satisfy their requirements. Even though clustering based Mashup discovery technique shows a promise of improving the quality of Mashup service discovery, Mashup service clustering with high accuracy and good efficiency is still a challenge problem. Objective This paper proposes a novel domain-aware Mashup service clustering method with high accuracy and good efficiency by exploiting LDA topic model built from multiple data sources, to improve the quality of Mashup service discovery. Method The proposed method firstly designs a domain-aware Mashup service feature selection and reduction process by refining characterization of their domains to consolidate domain relevance. Then, it presents an extended LDA topic model built from multiple data sources (include Mashup description text, Web APIs and tags) to infer topic probability distribution of Mashup services, which serves as a basis of Mashup service similarity computation. Finally, K-means and Agnes algorithm are used to perform Mashup service clustering in terms of their similarities. Results Compared with other existing Mashup service clustering methods, experimental results show that the proposed method achieves a significant improvement in terms of precision, recall, F-measure, purity and entropy. Conclusion The results of the proposed method help software developers to improve the quality of Mashup service discovery and Mashup-based software development. In the future, there will be a need to extend the method by considering heterogeneous network information among Mashup, Web APIs, tags, users, and applying it to Mashup discovery for software developers. © 2017 Elsevier B.V.</v>
      </c>
      <c r="H529" s="8" t="str">
        <f>IFERROR(__xludf.DUMMYFUNCTION("""COMPUTED_VALUE"""),"Domain feature selection and reduction; LDA; Mashup service; Multiple data sources; Service clustering")</f>
        <v>Domain feature selection and reduction; LDA; Mashup service; Multiple data sources; Service clustering</v>
      </c>
      <c r="I529" s="10" t="b">
        <v>0</v>
      </c>
      <c r="J529" s="10" t="b">
        <v>0</v>
      </c>
      <c r="K529" s="10" t="b">
        <v>0</v>
      </c>
      <c r="L529" s="10" t="b">
        <v>0</v>
      </c>
      <c r="M529" s="10" t="b">
        <v>0</v>
      </c>
      <c r="N529" s="10" t="b">
        <v>0</v>
      </c>
      <c r="O529" s="11" t="b">
        <f t="shared" si="1"/>
        <v>0</v>
      </c>
      <c r="P529" s="16" t="b">
        <v>0</v>
      </c>
      <c r="Q529" s="7"/>
    </row>
    <row r="530">
      <c r="A530" s="5" t="b">
        <v>1</v>
      </c>
      <c r="B530" s="5" t="s">
        <v>572</v>
      </c>
      <c r="C530" s="6" t="str">
        <f>IFERROR(__xludf.DUMMYFUNCTION("""COMPUTED_VALUE"""),"10.1016/j.infsof.2019.02.004")</f>
        <v>10.1016/j.infsof.2019.02.004</v>
      </c>
      <c r="D530" s="7" t="str">
        <f>IFERROR(__xludf.DUMMYFUNCTION("""COMPUTED_VALUE"""),"Haoues M.; Sellami A.; Ben-Abdallah H.")</f>
        <v>Haoues M.; Sellami A.; Ben-Abdallah H.</v>
      </c>
      <c r="E530" s="7" t="str">
        <f>IFERROR(__xludf.DUMMYFUNCTION("""COMPUTED_VALUE"""),"Towards functional change decision support based on COSMIC FSM method")</f>
        <v>Towards functional change decision support based on COSMIC FSM method</v>
      </c>
      <c r="F530" s="7" t="str">
        <f>IFERROR(__xludf.DUMMYFUNCTION("""COMPUTED_VALUE"""),"IST")</f>
        <v>IST</v>
      </c>
      <c r="G530" s="7" t="str">
        <f>IFERROR(__xludf.DUMMYFUNCTION("""COMPUTED_VALUE"""),"Context: Managing requirements change is a central issue in the software development industry. In fact, inappropriate decisions about a change request may jeopardize the project development progress by going over budget/time or delivering a software with "&amp;"functional requirements that do not fully meet the user's needs. Hence, a change decision support is required for the success of the software development. Objective: This paper has a three-fold objective: (i) explore the applicability of the ISO standard "&amp;"COSMIC FSM method to evaluate a change request; (ii) investigate the use of estimation models to predict the effort required to handle a functional change and its impact on the initially estimated software development effort; and (iii) propose a decision "&amp;"support method that offers the appropriate information for the change advisory board members to decide whether to accept, deny or defer a functional change request. Method: To guide the decision on a change request, the method proposed in this paper accou"&amp;"nts for the most important factors when evaluating a change request, namely the functional change status, the preference of the change requester, and the effort required to handle the change. The functional change status is identified based on the sensiti"&amp;"vity of the changed functionality and the functional size of the functional change. The functional change effort can be estimated using several ways including the COCOMO II model, the Simple Linear Regression Model and expert judgment. Furthermore, this p"&amp;"aper proposes a prototype to determine automatically the functional change status and offers pertinent information that the change advisory board can use to determine how to handle a change request. The use of the decision support method and tool is illus"&amp;"trated through three case studies. Results: A decision support method to help decision-makers respond to a functional change request is provided. This method takes into account the functional change status, the preference of the change requester and the f"&amp;"unctional change effort. The empirical evaluation of the proposed method is illustrated through three case studies. The role of experiments here is primarily to provide a proof-of-concept rather than an exhaustive evaluation. Conclusion: Using COSMIC FSM "&amp;"method, it is possible to identify functional changes leading to a potential impact on the software development progress. Based on the evaluation of the functional change, the change advisory board members can make judicious decisions about whether to acc"&amp;"ept, defer or deny a functional change request. © 2019")</f>
        <v>Context: Managing requirements change is a central issue in the software development industry. In fact, inappropriate decisions about a change request may jeopardize the project development progress by going over budget/time or delivering a software with functional requirements that do not fully meet the user's needs. Hence, a change decision support is required for the success of the software development. Objective: This paper has a three-fold objective: (i) explore the applicability of the ISO standard COSMIC FSM method to evaluate a change request; (ii) investigate the use of estimation models to predict the effort required to handle a functional change and its impact on the initially estimated software development effort; and (iii) propose a decision support method that offers the appropriate information for the change advisory board members to decide whether to accept, deny or defer a functional change request. Method: To guide the decision on a change request, the method proposed in this paper accounts for the most important factors when evaluating a change request, namely the functional change status, the preference of the change requester, and the effort required to handle the change. The functional change status is identified based on the sensitivity of the changed functionality and the functional size of the functional change. The functional change effort can be estimated using several ways including the COCOMO II model, the Simple Linear Regression Model and expert judgment. Furthermore, this paper proposes a prototype to determine automatically the functional change status and offers pertinent information that the change advisory board can use to determine how to handle a change request. The use of the decision support method and tool is illustrated through three case studies. Results: A decision support method to help decision-makers respond to a functional change request is provided. This method takes into account the functional change status, the preference of the change requester and the functional change effort. The empirical evaluation of the proposed method is illustrated through three case studies. The role of experiments here is primarily to provide a proof-of-concept rather than an exhaustive evaluation. Conclusion: Using COSMIC FSM method, it is possible to identify functional changes leading to a potential impact on the software development progress. Based on the evaluation of the functional change, the change advisory board members can make judicious decisions about whether to accept, defer or deny a functional change request. © 2019</v>
      </c>
      <c r="H530" s="8" t="str">
        <f>IFERROR(__xludf.DUMMYFUNCTION("""COMPUTED_VALUE"""),"Change status; COCOMO II; COSMIC; Empirical requirements engineering; Functional size measurement; Requirements management; Use cases")</f>
        <v>Change status; COCOMO II; COSMIC; Empirical requirements engineering; Functional size measurement; Requirements management; Use cases</v>
      </c>
      <c r="I530" s="10" t="b">
        <v>0</v>
      </c>
      <c r="J530" s="9" t="b">
        <v>1</v>
      </c>
      <c r="K530" s="9" t="b">
        <v>1</v>
      </c>
      <c r="L530" s="10" t="b">
        <v>0</v>
      </c>
      <c r="M530" s="10" t="b">
        <v>0</v>
      </c>
      <c r="N530" s="10" t="b">
        <v>0</v>
      </c>
      <c r="O530" s="11" t="b">
        <f t="shared" si="1"/>
        <v>0</v>
      </c>
      <c r="P530" s="12" t="b">
        <v>0</v>
      </c>
      <c r="Q530" s="13"/>
    </row>
    <row r="531">
      <c r="A531" s="5" t="b">
        <v>1</v>
      </c>
      <c r="B531" s="5" t="s">
        <v>573</v>
      </c>
      <c r="C531" s="6" t="str">
        <f>IFERROR(__xludf.DUMMYFUNCTION("""COMPUTED_VALUE"""),"10.1016/j.infsof.2015.04.004")</f>
        <v>10.1016/j.infsof.2015.04.004</v>
      </c>
      <c r="D531" s="7" t="str">
        <f>IFERROR(__xludf.DUMMYFUNCTION("""COMPUTED_VALUE"""),"Kakar A.K.")</f>
        <v>Kakar A.K.</v>
      </c>
      <c r="E531" s="7" t="str">
        <f>IFERROR(__xludf.DUMMYFUNCTION("""COMPUTED_VALUE"""),"Investigating the penalty reward calculus of software users and its impact on requirements prioritization")</f>
        <v>Investigating the penalty reward calculus of software users and its impact on requirements prioritization</v>
      </c>
      <c r="F531" s="7" t="str">
        <f>IFERROR(__xludf.DUMMYFUNCTION("""COMPUTED_VALUE"""),"IST")</f>
        <v>IST</v>
      </c>
      <c r="G531" s="7" t="str">
        <f>IFERROR(__xludf.DUMMYFUNCTION("""COMPUTED_VALUE"""),"Context The current requirements engineering techniques for prioritization of software requirements implicitly assume that each user requirement will have an independent and symmetric impact on user satisfaction. For example, it is assumed that implementi"&amp;"ng a high priority user requirement will positively impact his satisfaction and not implementing a high priority user requirement will negatively impact his satisfaction. Further, the impacts of implementing multiple user requirements on his satisfaction "&amp;"are expected to be additive. But is this always the case? Objective This paper empirically examines whether the assumptions of symmetric and multiplicative impacts of user requirements on his satisfaction are valid. Further, the study assesses the relativ"&amp;"e efficacy of 5 methods of requirements prioritization in managing these effects as reflected by the user satisfaction with the prioritized requirement sets. Method To test for existence and mitigation of asymmetric effects an adaptation of the widely acc"&amp;"epted PRCA (Penalty Reward Contrast Analysis) method was used for 5 requirements prioritization techniques. To test for existence and mitigation of multiplicative effects MHMR (Moderated Hierarchical Multiple Regression) a well-accepted technique for test"&amp;"ing interaction effects was used. Results Both asymmetric and multiplicative effects of software requirements on user satisfaction were observed for requirements prioritized using all 5 requirements prioritization methods raising questions about the effic"&amp;"acy of present day requirements prioritization techniques. Further, the results of the experiment led to proposing a new method for requirements prioritization for managing these effects. Conclusion The study empirically demonstrates the complexities of p"&amp;"rioritizing software requirements and calls for a new generation of methods to address them. Understanding and resolving these complexities will enable software providers to conserve resources by enabling them to parsimoniously selecting only those requir"&amp;"ements for implementation in the software product that have maximum incremental impact on user satisfaction. © 2015 Elsevier B.V. All rights reserved.")</f>
        <v>Context The current requirements engineering techniques for prioritization of software requirements implicitly assume that each user requirement will have an independent and symmetric impact on user satisfaction. For example, it is assumed that implementing a high priority user requirement will positively impact his satisfaction and not implementing a high priority user requirement will negatively impact his satisfaction. Further, the impacts of implementing multiple user requirements on his satisfaction are expected to be additive. But is this always the case? Objective This paper empirically examines whether the assumptions of symmetric and multiplicative impacts of user requirements on his satisfaction are valid. Further, the study assesses the relative efficacy of 5 methods of requirements prioritization in managing these effects as reflected by the user satisfaction with the prioritized requirement sets. Method To test for existence and mitigation of asymmetric effects an adaptation of the widely accepted PRCA (Penalty Reward Contrast Analysis) method was used for 5 requirements prioritization techniques. To test for existence and mitigation of multiplicative effects MHMR (Moderated Hierarchical Multiple Regression) a well-accepted technique for testing interaction effects was used. Results Both asymmetric and multiplicative effects of software requirements on user satisfaction were observed for requirements prioritized using all 5 requirements prioritization methods raising questions about the efficacy of present day requirements prioritization techniques. Further, the results of the experiment led to proposing a new method for requirements prioritization for managing these effects. Conclusion The study empirically demonstrates the complexities of prioritizing software requirements and calls for a new generation of methods to address them. Understanding and resolving these complexities will enable software providers to conserve resources by enabling them to parsimoniously selecting only those requirements for implementation in the software product that have maximum incremental impact on user satisfaction. © 2015 Elsevier B.V. All rights reserved.</v>
      </c>
      <c r="H531" s="8" t="str">
        <f>IFERROR(__xludf.DUMMYFUNCTION("""COMPUTED_VALUE"""),"Asymmetric effect; Multiplicative effect; Penalty reward contrast analysis; Requirements prioritization; User satisfaction")</f>
        <v>Asymmetric effect; Multiplicative effect; Penalty reward contrast analysis; Requirements prioritization; User satisfaction</v>
      </c>
      <c r="I531" s="9" t="b">
        <v>1</v>
      </c>
      <c r="J531" s="9" t="b">
        <v>1</v>
      </c>
      <c r="K531" s="9" t="b">
        <v>1</v>
      </c>
      <c r="L531" s="10" t="b">
        <v>0</v>
      </c>
      <c r="M531" s="10" t="b">
        <v>0</v>
      </c>
      <c r="N531" s="10" t="b">
        <v>0</v>
      </c>
      <c r="O531" s="11" t="b">
        <f t="shared" si="1"/>
        <v>1</v>
      </c>
      <c r="P531" s="12" t="b">
        <v>0</v>
      </c>
      <c r="Q531" s="13"/>
    </row>
    <row r="532">
      <c r="A532" s="5" t="b">
        <v>1</v>
      </c>
      <c r="B532" s="5" t="s">
        <v>574</v>
      </c>
      <c r="C532" s="6" t="str">
        <f>IFERROR(__xludf.DUMMYFUNCTION("""COMPUTED_VALUE"""),"10.1016/j.infsof.2014.01.007")</f>
        <v>10.1016/j.infsof.2014.01.007</v>
      </c>
      <c r="D532" s="7" t="str">
        <f>IFERROR(__xludf.DUMMYFUNCTION("""COMPUTED_VALUE"""),"Sammon D.; Nagle T.; McAvoy J.")</f>
        <v>Sammon D.; Nagle T.; McAvoy J.</v>
      </c>
      <c r="E532" s="7" t="str">
        <f>IFERROR(__xludf.DUMMYFUNCTION("""COMPUTED_VALUE"""),"Analysing ISD performance using narrative networks, routines and mindfulness")</f>
        <v>Analysing ISD performance using narrative networks, routines and mindfulness</v>
      </c>
      <c r="F532" s="7" t="str">
        <f>IFERROR(__xludf.DUMMYFUNCTION("""COMPUTED_VALUE"""),"IST")</f>
        <v>IST</v>
      </c>
      <c r="G532" s="7" t="str">
        <f>IFERROR(__xludf.DUMMYFUNCTION("""COMPUTED_VALUE"""),"Context While the ISD process and in particular Requirement Elicitation has been defined as a collaborative social interaction, visualisations fail to accurately capture the multifaceted nature of the social process. Instead, ISD visualisations focus on p"&amp;"resenting a more mechanical/technical perspective, ultimately restricting an opportunity to better analyse the process. Objective With particular focus on Requirements Elicitation this study utilises the narrative network technique to visualise the ISD pr"&amp;"ocess as a live routine with the aim to detail the ideal and actual aspects of ISD. The ideal aspect consists of the abstract, generalised understandings of the human actors regarding enacting a routine. Being a live routine, the reality is that adjustmen"&amp;"ts/variations are a common occurrence and need to be taken into account. Enabling the opportunity to identify patterns of action within the routine, the study also incorporates organisational mindfulness to provide further social analysis of these pattern"&amp;"s of action. Method In light of the lack of theoretical maturity around the viewing of an ISD process as a 'live routine', this exploratory research sought to build theory using a single instrumental case study spanning over 3 years (several ISD projects)"&amp;" and a variety of methods (e.g. workshop, experiment). Results Visualising the ISD process as a live routine it was possible to identify a number of patterns of action. These patterns were triangulated against the organisational mindfulness analysis of th"&amp;"e case data to highlight underlying mindless behaviours. A rule was then implemented (experimentally) during the first iteration of a new ISD project and notable improvements in the ISD process were observed. Furthermore, the knock on organisational impac"&amp;"t of the experimental implementation of the rule is also examined. Conclusion From a practitioner perspective the study provides an alternative method for analysing the ISD process of an organisation and highlights the benefits of observing the ISD proces"&amp;"s as a live routine. From an academic perspective, contributions are made to both the ISD and Organisational body of knowledge. © 2014 Elsevier B.V. All rights reserved.")</f>
        <v>Context While the ISD process and in particular Requirement Elicitation has been defined as a collaborative social interaction, visualisations fail to accurately capture the multifaceted nature of the social process. Instead, ISD visualisations focus on presenting a more mechanical/technical perspective, ultimately restricting an opportunity to better analyse the process. Objective With particular focus on Requirements Elicitation this study utilises the narrative network technique to visualise the ISD process as a live routine with the aim to detail the ideal and actual aspects of ISD. The ideal aspect consists of the abstract, generalised understandings of the human actors regarding enacting a routine. Being a live routine, the reality is that adjustments/variations are a common occurrence and need to be taken into account. Enabling the opportunity to identify patterns of action within the routine, the study also incorporates organisational mindfulness to provide further social analysis of these patterns of action. Method In light of the lack of theoretical maturity around the viewing of an ISD process as a 'live routine', this exploratory research sought to build theory using a single instrumental case study spanning over 3 years (several ISD projects) and a variety of methods (e.g. workshop, experiment). Results Visualising the ISD process as a live routine it was possible to identify a number of patterns of action. These patterns were triangulated against the organisational mindfulness analysis of the case data to highlight underlying mindless behaviours. A rule was then implemented (experimentally) during the first iteration of a new ISD project and notable improvements in the ISD process were observed. Furthermore, the knock on organisational impact of the experimental implementation of the rule is also examined. Conclusion From a practitioner perspective the study provides an alternative method for analysing the ISD process of an organisation and highlights the benefits of observing the ISD process as a live routine. From an academic perspective, contributions are made to both the ISD and Organisational body of knowledge. © 2014 Elsevier B.V. All rights reserved.</v>
      </c>
      <c r="H532" s="8" t="str">
        <f>IFERROR(__xludf.DUMMYFUNCTION("""COMPUTED_VALUE"""),"Case study; Information Systems Development (ISD); Mindfulness; Narrative network; Routines")</f>
        <v>Case study; Information Systems Development (ISD); Mindfulness; Narrative network; Routines</v>
      </c>
      <c r="I532" s="10" t="b">
        <v>0</v>
      </c>
      <c r="J532" s="10" t="b">
        <v>0</v>
      </c>
      <c r="K532" s="10" t="b">
        <v>0</v>
      </c>
      <c r="L532" s="10" t="b">
        <v>0</v>
      </c>
      <c r="M532" s="10" t="b">
        <v>0</v>
      </c>
      <c r="N532" s="10" t="b">
        <v>0</v>
      </c>
      <c r="O532" s="11" t="b">
        <f t="shared" si="1"/>
        <v>0</v>
      </c>
      <c r="P532" s="16" t="b">
        <v>0</v>
      </c>
      <c r="Q532" s="7"/>
    </row>
    <row r="533">
      <c r="A533" s="5" t="b">
        <v>1</v>
      </c>
      <c r="B533" s="5" t="s">
        <v>575</v>
      </c>
      <c r="C533" s="6" t="str">
        <f>IFERROR(__xludf.DUMMYFUNCTION("""COMPUTED_VALUE"""),"10.1016/j.infsof.2022.107039")</f>
        <v>10.1016/j.infsof.2022.107039</v>
      </c>
      <c r="D533" s="7" t="str">
        <f>IFERROR(__xludf.DUMMYFUNCTION("""COMPUTED_VALUE"""),"Asikainen T.; Männistö T.")</f>
        <v>Asikainen T.; Männistö T.</v>
      </c>
      <c r="E533" s="7" t="str">
        <f>IFERROR(__xludf.DUMMYFUNCTION("""COMPUTED_VALUE"""),"Undulate: A framework for data-driven software engineering enabling soft computing")</f>
        <v>Undulate: A framework for data-driven software engineering enabling soft computing</v>
      </c>
      <c r="F533" s="7" t="str">
        <f>IFERROR(__xludf.DUMMYFUNCTION("""COMPUTED_VALUE"""),"IST")</f>
        <v>IST</v>
      </c>
      <c r="G533" s="7" t="str">
        <f>IFERROR(__xludf.DUMMYFUNCTION("""COMPUTED_VALUE"""),"Context.: Especially web-facing software systems enable the collection of usage data at a massive scale. At the same time, the scale and scope of software processes have grown substantively. Automated tools are needed to increase the speed and quality of "&amp;"controlling software processes. The usage data has great potential as a driver for software processes. However, research still lacks constructs for collecting, refining and utilising usage data in controlling software processes. Objective.: The objective "&amp;"of this paper is to introduce a framework for data-driven software engineering. The UNDULATE framework covers generating, collecting and utilising usage data from software processes and business processes supported by the software produced. In addition, w"&amp;"e define the concepts and process of extreme continuous experimentation as an exemplar of a software engineering process. Method.: We derive requirements for the framework from the research literature, with a focus on papers inspired by practical problems"&amp;". In addition, we apply a multilevel modelling language to describe the concepts related to extreme continuous experimentation. Results.: We introduce the UNDULATE framework and give requirements and provide an overview of the processes of collecting usag"&amp;"e data, augmenting it with additional dimensional data, aggregating the data along the dimensions and computing different metrics based on the data and other metrics. Conclusions.: The paper represents significant steps inspired by previous research and p"&amp;"ractical insight towards standardised processes for data-driven software engineering, enabling the application of soft computing and other methods based on artificial intelligence. © 2022 The Author(s)")</f>
        <v>Context.: Especially web-facing software systems enable the collection of usage data at a massive scale. At the same time, the scale and scope of software processes have grown substantively. Automated tools are needed to increase the speed and quality of controlling software processes. The usage data has great potential as a driver for software processes. However, research still lacks constructs for collecting, refining and utilising usage data in controlling software processes. Objective.: The objective of this paper is to introduce a framework for data-driven software engineering. The UNDULATE framework covers generating, collecting and utilising usage data from software processes and business processes supported by the software produced. In addition, we define the concepts and process of extreme continuous experimentation as an exemplar of a software engineering process. Method.: We derive requirements for the framework from the research literature, with a focus on papers inspired by practical problems. In addition, we apply a multilevel modelling language to describe the concepts related to extreme continuous experimentation. Results.: We introduce the UNDULATE framework and give requirements and provide an overview of the processes of collecting usage data, augmenting it with additional dimensional data, aggregating the data along the dimensions and computing different metrics based on the data and other metrics. Conclusions.: The paper represents significant steps inspired by previous research and practical insight towards standardised processes for data-driven software engineering, enabling the application of soft computing and other methods based on artificial intelligence. © 2022 The Author(s)</v>
      </c>
      <c r="H533" s="8" t="str">
        <f>IFERROR(__xludf.DUMMYFUNCTION("""COMPUTED_VALUE"""),"Continuous experimentation; Data-driven software engineering; Dimensional database; Multilevel modelling; Soft computing")</f>
        <v>Continuous experimentation; Data-driven software engineering; Dimensional database; Multilevel modelling; Soft computing</v>
      </c>
      <c r="I533" s="10" t="b">
        <v>0</v>
      </c>
      <c r="J533" s="10" t="b">
        <v>0</v>
      </c>
      <c r="K533" s="10" t="b">
        <v>0</v>
      </c>
      <c r="L533" s="10" t="b">
        <v>0</v>
      </c>
      <c r="M533" s="10" t="b">
        <v>0</v>
      </c>
      <c r="N533" s="10" t="b">
        <v>0</v>
      </c>
      <c r="O533" s="11" t="b">
        <f t="shared" si="1"/>
        <v>0</v>
      </c>
      <c r="P533" s="16" t="b">
        <v>0</v>
      </c>
      <c r="Q533" s="7"/>
    </row>
    <row r="534">
      <c r="A534" s="5" t="b">
        <v>1</v>
      </c>
      <c r="B534" s="5" t="s">
        <v>576</v>
      </c>
      <c r="C534" s="6" t="str">
        <f>IFERROR(__xludf.DUMMYFUNCTION("""COMPUTED_VALUE"""),"10.1016/j.infsof.2022.106982")</f>
        <v>10.1016/j.infsof.2022.106982</v>
      </c>
      <c r="D534" s="7" t="str">
        <f>IFERROR(__xludf.DUMMYFUNCTION("""COMPUTED_VALUE"""),"Zhao C.; Mu Y.; Chen X.; Zhao J.; Ju X.; Wang G.")</f>
        <v>Zhao C.; Mu Y.; Chen X.; Zhao J.; Ju X.; Wang G.</v>
      </c>
      <c r="E534" s="7" t="str">
        <f>IFERROR(__xludf.DUMMYFUNCTION("""COMPUTED_VALUE"""),"Can test input selection methods for deep neural network guarantee test diversity? A large-scale empirical study")</f>
        <v>Can test input selection methods for deep neural network guarantee test diversity? A large-scale empirical study</v>
      </c>
      <c r="F534" s="7" t="str">
        <f>IFERROR(__xludf.DUMMYFUNCTION("""COMPUTED_VALUE"""),"IST")</f>
        <v>IST</v>
      </c>
      <c r="G534" s="7" t="str">
        <f>IFERROR(__xludf.DUMMYFUNCTION("""COMPUTED_VALUE"""),"Context: Recently, various methods on test input selection for deep neural network (TIS-DNN) have been proposed. These methods can effectively reduce the labeling cost by selecting a subset from the original test inputs, which can still accurately estimat"&amp;"e the performance (such as accuracy) of the target DNN models. Objective: Previous studies on TIS-DNN mainly focused on the performance on all the classes. However, the selected subset may miss the coverage of some classes or decrease the performance on s"&amp;"ome classes, which will reduce the test diversity of the original test inputs. Methods: Therefore, we conducted a large-scale empirical study to investigate whether previous TIS-DNN methods can guarantee test diversity in the subset. In our study, we sele"&amp;"cted five state-of-the-art TIS-DNN methods: SRS, CSS, CES, DeepReduce and PACE. Then we selected 18 pairs of DNN models and the corresponding test inputs from seven popular DNN datasets. Results: Our experimental results can be summarized as follows. (1) "&amp;"Previous TIS-DNN methods can guarantee the performance on all the classes. However, these methods have a negative impact on the test diversity and the performance on each class is not satisfactory. (2) Reducing the performance estimation error on each cla"&amp;"ss can help reduce the estimation error on the test adequacy of the original inputs based on DNN-based coverage criteria (especially for the criterion NC and the criterion TKNC). (3) There still exists great room for performance improvement (i.e., 7.637% "&amp;"improvement on all the classes and 12.833% improvement on each class) after comparing the TIS-DNN method PACE with approximately optimal solutions. Conclusion: The above experimental findings implicate there is still a long way for the TIS-DNN issue to go"&amp;". Given this, we present observations about the road ahead for this issue. © 2022 Elsevier B.V.")</f>
        <v>Context: Recently, various methods on test input selection for deep neural network (TIS-DNN) have been proposed. These methods can effectively reduce the labeling cost by selecting a subset from the original test inputs, which can still accurately estimate the performance (such as accuracy) of the target DNN models. Objective: Previous studies on TIS-DNN mainly focused on the performance on all the classes. However, the selected subset may miss the coverage of some classes or decrease the performance on some classes, which will reduce the test diversity of the original test inputs. Methods: Therefore, we conducted a large-scale empirical study to investigate whether previous TIS-DNN methods can guarantee test diversity in the subset. In our study, we selected five state-of-the-art TIS-DNN methods: SRS, CSS, CES, DeepReduce and PACE. Then we selected 18 pairs of DNN models and the corresponding test inputs from seven popular DNN datasets. Results: Our experimental results can be summarized as follows. (1) Previous TIS-DNN methods can guarantee the performance on all the classes. However, these methods have a negative impact on the test diversity and the performance on each class is not satisfactory. (2) Reducing the performance estimation error on each class can help reduce the estimation error on the test adequacy of the original inputs based on DNN-based coverage criteria (especially for the criterion NC and the criterion TKNC). (3) There still exists great room for performance improvement (i.e., 7.637% improvement on all the classes and 12.833% improvement on each class) after comparing the TIS-DNN method PACE with approximately optimal solutions. Conclusion: The above experimental findings implicate there is still a long way for the TIS-DNN issue to go. Given this, we present observations about the road ahead for this issue. © 2022 Elsevier B.V.</v>
      </c>
      <c r="H534" s="8" t="str">
        <f>IFERROR(__xludf.DUMMYFUNCTION("""COMPUTED_VALUE"""),"Deep neural network testing; Empirical study; Test diversity; Test input selection")</f>
        <v>Deep neural network testing; Empirical study; Test diversity; Test input selection</v>
      </c>
      <c r="I534" s="10" t="b">
        <v>0</v>
      </c>
      <c r="J534" s="10" t="b">
        <v>0</v>
      </c>
      <c r="K534" s="10" t="b">
        <v>0</v>
      </c>
      <c r="L534" s="10" t="b">
        <v>0</v>
      </c>
      <c r="M534" s="10" t="b">
        <v>0</v>
      </c>
      <c r="N534" s="10" t="b">
        <v>0</v>
      </c>
      <c r="O534" s="11" t="b">
        <f t="shared" si="1"/>
        <v>0</v>
      </c>
      <c r="P534" s="16" t="b">
        <v>0</v>
      </c>
      <c r="Q534" s="7"/>
    </row>
    <row r="535">
      <c r="A535" s="5" t="b">
        <v>1</v>
      </c>
      <c r="B535" s="5" t="s">
        <v>577</v>
      </c>
      <c r="C535" s="6" t="str">
        <f>IFERROR(__xludf.DUMMYFUNCTION("""COMPUTED_VALUE"""),"10.1016/j.infsof.2018.01.014")</f>
        <v>10.1016/j.infsof.2018.01.014</v>
      </c>
      <c r="D535" s="7" t="str">
        <f>IFERROR(__xludf.DUMMYFUNCTION("""COMPUTED_VALUE"""),"Zhang P.; Pelliccione P.; Leung H.; Li X.")</f>
        <v>Zhang P.; Pelliccione P.; Leung H.; Li X.</v>
      </c>
      <c r="E535" s="7" t="str">
        <f>IFERROR(__xludf.DUMMYFUNCTION("""COMPUTED_VALUE"""),"Automatic generation of predictive monitors from scenario-based specifications")</f>
        <v>Automatic generation of predictive monitors from scenario-based specifications</v>
      </c>
      <c r="F535" s="7" t="str">
        <f>IFERROR(__xludf.DUMMYFUNCTION("""COMPUTED_VALUE"""),"IST")</f>
        <v>IST</v>
      </c>
      <c r="G535" s="7" t="str">
        <f>IFERROR(__xludf.DUMMYFUNCTION("""COMPUTED_VALUE"""),"Context: Unpredictability and uncertainty about future evolutions of both the system and its environment may easily compromise the behavior of the system. The subsequent software failures can have serious consequences. When dealing with open environments,"&amp;" run-time monitoring is one of the most promising techniques to detect software failures. Several monitoring approaches have been proposed in the last years; however, they suffer from two main limitations. First, they provide limited information to be exp"&amp;"loited at run-time for early detecting and managing situations that most probably will lead to failures. Second, they mainly rely on logic-based specifications, whose intrinsic complexity may hamper the use of these monitoring approaches in industrial con"&amp;"texts. Objective: In order to address these two limitations, this paper proposes a novel approach, called PREDIMO (PREDIctive MOnitoring). The approach starts from scenario-based specifications, automatically generates predictive monitors called MAs (Mult"&amp;"i-valued Automata), which take into account the actual status and also the possible evolution of both system and environment in the near future, and enables the definition of precise strategies to prevent failures. More specifically, the generated monitor"&amp;"s evaluate the specified properties and return one of the seven different values representing the degree of controllability of the system and the distance of the potential incoming failure. The translation from scenario-based specifications to MAs preserv"&amp;"es the semantics of the starting specification. Method: We use the design and creation research methodology to design an innovative approach that fills highlighted gaps of state-of-the-art approaches. The validation of the approach is performed through a "&amp;"large experimentation with OSGi (Open Service Gateway Initiative) applications. Results: We present a novel language to specify the properties to be monitored. Then, we present a novel approach to automatically generate predictive monitors from the specif"&amp;"ied properties. Conclusion: The overall approach is tool supported and a large experimentation demonstrates its feasibility and usability. © 2018 Elsevier B.V.")</f>
        <v>Context: Unpredictability and uncertainty about future evolutions of both the system and its environment may easily compromise the behavior of the system. The subsequent software failures can have serious consequences. When dealing with open environments, run-time monitoring is one of the most promising techniques to detect software failures. Several monitoring approaches have been proposed in the last years; however, they suffer from two main limitations. First, they provide limited information to be exploited at run-time for early detecting and managing situations that most probably will lead to failures. Second, they mainly rely on logic-based specifications, whose intrinsic complexity may hamper the use of these monitoring approaches in industrial contexts. Objective: In order to address these two limitations, this paper proposes a novel approach, called PREDIMO (PREDIctive MOnitoring). The approach starts from scenario-based specifications, automatically generates predictive monitors called MAs (Multi-valued Automata), which take into account the actual status and also the possible evolution of both system and environment in the near future, and enables the definition of precise strategies to prevent failures. More specifically, the generated monitors evaluate the specified properties and return one of the seven different values representing the degree of controllability of the system and the distance of the potential incoming failure. The translation from scenario-based specifications to MAs preserves the semantics of the starting specification. Method: We use the design and creation research methodology to design an innovative approach that fills highlighted gaps of state-of-the-art approaches. The validation of the approach is performed through a large experimentation with OSGi (Open Service Gateway Initiative) applications. Results: We present a novel language to specify the properties to be monitored. Then, we present a novel approach to automatically generate predictive monitors from the specified properties. Conclusion: The overall approach is tool supported and a large experimentation demonstrates its feasibility and usability. © 2018 Elsevier B.V.</v>
      </c>
      <c r="H535" s="8" t="str">
        <f>IFERROR(__xludf.DUMMYFUNCTION("""COMPUTED_VALUE"""),"Predictive monitor; Property sequence charts; Run-time monitor; Scenario-based specifications")</f>
        <v>Predictive monitor; Property sequence charts; Run-time monitor; Scenario-based specifications</v>
      </c>
      <c r="I535" s="10" t="b">
        <v>0</v>
      </c>
      <c r="J535" s="10" t="b">
        <v>0</v>
      </c>
      <c r="K535" s="10" t="b">
        <v>0</v>
      </c>
      <c r="L535" s="10" t="b">
        <v>0</v>
      </c>
      <c r="M535" s="10" t="b">
        <v>0</v>
      </c>
      <c r="N535" s="10" t="b">
        <v>0</v>
      </c>
      <c r="O535" s="11" t="b">
        <f t="shared" si="1"/>
        <v>0</v>
      </c>
      <c r="P535" s="16" t="b">
        <v>0</v>
      </c>
      <c r="Q535" s="7"/>
    </row>
    <row r="536">
      <c r="A536" s="5" t="b">
        <v>1</v>
      </c>
      <c r="B536" s="5" t="s">
        <v>578</v>
      </c>
      <c r="C536" s="6" t="str">
        <f>IFERROR(__xludf.DUMMYFUNCTION("""COMPUTED_VALUE"""),"10.1016/j.infsof.2019.04.011")</f>
        <v>10.1016/j.infsof.2019.04.011</v>
      </c>
      <c r="D536" s="7" t="str">
        <f>IFERROR(__xludf.DUMMYFUNCTION("""COMPUTED_VALUE"""),"Rodrigues A.; Rodrigues G.N.; Knauss A.; Ali R.; Andrade H.")</f>
        <v>Rodrigues A.; Rodrigues G.N.; Knauss A.; Ali R.; Andrade H.</v>
      </c>
      <c r="E536" s="7" t="str">
        <f>IFERROR(__xludf.DUMMYFUNCTION("""COMPUTED_VALUE"""),"Enhancing context specifications for dependable adaptive systems: A data mining approach")</f>
        <v>Enhancing context specifications for dependable adaptive systems: A data mining approach</v>
      </c>
      <c r="F536" s="7" t="str">
        <f>IFERROR(__xludf.DUMMYFUNCTION("""COMPUTED_VALUE"""),"IST")</f>
        <v>IST</v>
      </c>
      <c r="G536" s="7" t="str">
        <f>IFERROR(__xludf.DUMMYFUNCTION("""COMPUTED_VALUE"""),"Context: Adaptive systems are expected to cater for various operational contexts by having multiple strategies in achieving their objectives and the logic for matching strategies to an actual context. The prediction of relevant contexts at design time is "&amp;"paramount for dependability. With the current trend on using data mining to support the requirements engineering process, this task of understanding context for adaptive system at design time can benefit from such techniques as well.Objective: The objecti"&amp;"ve is to provide a method to refine the specification of contextual variables and their relation to strategies for dependability. This refinement shall detect dependencies between such variables, priorities in monitoring them, and decide on their relevanc"&amp;"e in choosing the right strategy in a decision tree.Method: Our requirements-driven approach adopts the contextual goal modelling structure in addition to the operationalization values of sensed information to map contexts to the system's behaviour. We pr"&amp;"opose a design time analysis process using a subset of data mining algorithms to extract a list of relevant contexts and their related variables, tasks, and/or goals.Results: We experimentally evaluated our proposal on a Body Sensor Network system (BSN), "&amp;"simulating 12 resources that could lead to a variability space of 4096 possible context conditions. Our approach was able to elicit subtle contexts that would significantly affect the service provided to assisted patients and relations between contexts, a"&amp;"ssisting the decision on their need, and priority in monitoring.Conclusion: The use of some data mining techniques can mitigate the lack of precise definition of contexts and their relation to system strategies for dependability. Our method is practical a"&amp;"nd supportive to traditional requirements specification methods, which typically require intense human intervention. © 2019")</f>
        <v>Context: Adaptive systems are expected to cater for various operational contexts by having multiple strategies in achieving their objectives and the logic for matching strategies to an actual context. The prediction of relevant contexts at design time is paramount for dependability. With the current trend on using data mining to support the requirements engineering process, this task of understanding context for adaptive system at design time can benefit from such techniques as well.Objective: The objective is to provide a method to refine the specification of contextual variables and their relation to strategies for dependability. This refinement shall detect dependencies between such variables, priorities in monitoring them, and decide on their relevance in choosing the right strategy in a decision tree.Method: Our requirements-driven approach adopts the contextual goal modelling structure in addition to the operationalization values of sensed information to map contexts to the system's behaviour. We propose a design time analysis process using a subset of data mining algorithms to extract a list of relevant contexts and their related variables, tasks, and/or goals.Results: We experimentally evaluated our proposal on a Body Sensor Network system (BSN), simulating 12 resources that could lead to a variability space of 4096 possible context conditions. Our approach was able to elicit subtle contexts that would significantly affect the service provided to assisted patients and relations between contexts, assisting the decision on their need, and priority in monitoring.Conclusion: The use of some data mining techniques can mitigate the lack of precise definition of contexts and their relation to system strategies for dependability. Our method is practical and supportive to traditional requirements specification methods, which typically require intense human intervention. © 2019</v>
      </c>
      <c r="H536" s="8" t="str">
        <f>IFERROR(__xludf.DUMMYFUNCTION("""COMPUTED_VALUE"""),"Context uncertainty; Data mining; Dependability; Design time; Goal modelling; Self-adaptive system")</f>
        <v>Context uncertainty; Data mining; Dependability; Design time; Goal modelling; Self-adaptive system</v>
      </c>
      <c r="I536" s="10" t="b">
        <v>0</v>
      </c>
      <c r="J536" s="10" t="b">
        <v>0</v>
      </c>
      <c r="K536" s="10" t="b">
        <v>0</v>
      </c>
      <c r="L536" s="10" t="b">
        <v>0</v>
      </c>
      <c r="M536" s="10" t="b">
        <v>0</v>
      </c>
      <c r="N536" s="10" t="b">
        <v>0</v>
      </c>
      <c r="O536" s="11" t="b">
        <f t="shared" si="1"/>
        <v>0</v>
      </c>
      <c r="P536" s="16" t="b">
        <v>0</v>
      </c>
      <c r="Q536" s="7"/>
    </row>
    <row r="537">
      <c r="A537" s="5" t="b">
        <v>1</v>
      </c>
      <c r="B537" s="5" t="s">
        <v>579</v>
      </c>
      <c r="C537" s="6" t="str">
        <f>IFERROR(__xludf.DUMMYFUNCTION("""COMPUTED_VALUE"""),"10.1016/j.infsof.2017.09.008")</f>
        <v>10.1016/j.infsof.2017.09.008</v>
      </c>
      <c r="D537" s="7" t="str">
        <f>IFERROR(__xludf.DUMMYFUNCTION("""COMPUTED_VALUE"""),"Lee E.; Kim Y.-G.; Seo Y.-D.; Seol K.; Baik D.-K.")</f>
        <v>Lee E.; Kim Y.-G.; Seo Y.-D.; Seol K.; Baik D.-K.</v>
      </c>
      <c r="E537" s="7" t="str">
        <f>IFERROR(__xludf.DUMMYFUNCTION("""COMPUTED_VALUE"""),"RINGA: Design and verification of finite state machine for self-adaptive software at runtime")</f>
        <v>RINGA: Design and verification of finite state machine for self-adaptive software at runtime</v>
      </c>
      <c r="F537" s="7" t="str">
        <f>IFERROR(__xludf.DUMMYFUNCTION("""COMPUTED_VALUE"""),"IST")</f>
        <v>IST</v>
      </c>
      <c r="G537" s="7" t="str">
        <f>IFERROR(__xludf.DUMMYFUNCTION("""COMPUTED_VALUE"""),"Context In recent years, software environments such as the cloud and Internet of Things (IoT) have become increasingly sophisticated, and as a result, development of adaptable software has become very important. Self-adaptive software is appropriate for t"&amp;"oday's needs because it changes its behavior or structure in response to a changing environment at runtime. To adapt to changing environments, runtime verification is an important requirement, and research that integrates traditional verification with sel"&amp;"f-adaptive software is in high demand. Objective Model checking is an effective static verification method for software, but existing problems at runtime remain unresolved. In this paper, we propose a self-adaptive software framework that applies model ch"&amp;"ecking to software to enable verification at runtime. Method The proposed framework consists of two parts: the design of self-adaptive software using a finite state machine and the adaptation of the software during runtime. For the first part, we propose "&amp;"two finite state machines for self-adaptive software called the self-adaptive finite state machine (SA-FSM) and abstracted finite state machine (A-FSM). For the runtime verification part, a self-adaptation process based on a MAPE (monitoring, analyzing, p"&amp;"lanning, and executing) loop is implemented. Results We performed an empirical evaluation with several model-checking tools (i.e., NuSMV and CadenceSMV), and the results show that the proposed method is more efficient at runtime. We also investigated a si"&amp;"mple example application in six scenarios related to the IoT environment. We implemented Android and Arduino applications, and the results show the practical usability of the proposed self-adaptive framework at runtime. Conclusions We proposed a framework"&amp;" for integrating model checking with a self-adaptive software lifecycle. The results of our experiments showed that the proposed framework can achieve verify self-adaptation software at runtime. © 2017 Elsevier B.V.")</f>
        <v>Context In recent years, software environments such as the cloud and Internet of Things (IoT) have become increasingly sophisticated, and as a result, development of adaptable software has become very important. Self-adaptive software is appropriate for today's needs because it changes its behavior or structure in response to a changing environment at runtime. To adapt to changing environments, runtime verification is an important requirement, and research that integrates traditional verification with self-adaptive software is in high demand. Objective Model checking is an effective static verification method for software, but existing problems at runtime remain unresolved. In this paper, we propose a self-adaptive software framework that applies model checking to software to enable verification at runtime. Method The proposed framework consists of two parts: the design of self-adaptive software using a finite state machine and the adaptation of the software during runtime. For the first part, we propose two finite state machines for self-adaptive software called the self-adaptive finite state machine (SA-FSM) and abstracted finite state machine (A-FSM). For the runtime verification part, a self-adaptation process based on a MAPE (monitoring, analyzing, planning, and executing) loop is implemented. Results We performed an empirical evaluation with several model-checking tools (i.e., NuSMV and CadenceSMV), and the results show that the proposed method is more efficient at runtime. We also investigated a simple example application in six scenarios related to the IoT environment. We implemented Android and Arduino applications, and the results show the practical usability of the proposed self-adaptive framework at runtime. Conclusions We proposed a framework for integrating model checking with a self-adaptive software lifecycle. The results of our experiments showed that the proposed framework can achieve verify self-adaptation software at runtime. © 2017 Elsevier B.V.</v>
      </c>
      <c r="H537" s="8" t="str">
        <f>IFERROR(__xludf.DUMMYFUNCTION("""COMPUTED_VALUE"""),"Finite state machine; Model checking; Runtime; Self-adaptive software")</f>
        <v>Finite state machine; Model checking; Runtime; Self-adaptive software</v>
      </c>
      <c r="I537" s="10" t="b">
        <v>0</v>
      </c>
      <c r="J537" s="10" t="b">
        <v>0</v>
      </c>
      <c r="K537" s="10" t="b">
        <v>0</v>
      </c>
      <c r="L537" s="10" t="b">
        <v>0</v>
      </c>
      <c r="M537" s="10" t="b">
        <v>0</v>
      </c>
      <c r="N537" s="10" t="b">
        <v>0</v>
      </c>
      <c r="O537" s="11" t="b">
        <f t="shared" si="1"/>
        <v>0</v>
      </c>
      <c r="P537" s="16" t="b">
        <v>0</v>
      </c>
      <c r="Q537" s="7"/>
    </row>
    <row r="538">
      <c r="A538" s="5" t="b">
        <v>1</v>
      </c>
      <c r="B538" s="5" t="s">
        <v>580</v>
      </c>
      <c r="C538" s="6" t="str">
        <f>IFERROR(__xludf.DUMMYFUNCTION("""COMPUTED_VALUE"""),"10.1016/j.infsof.2014.04.013")</f>
        <v>10.1016/j.infsof.2014.04.013</v>
      </c>
      <c r="D538" s="7" t="str">
        <f>IFERROR(__xludf.DUMMYFUNCTION("""COMPUTED_VALUE"""),"Lin C.-T.; Tang K.-W.; Kapfhammer G.M.")</f>
        <v>Lin C.-T.; Tang K.-W.; Kapfhammer G.M.</v>
      </c>
      <c r="E538" s="7" t="str">
        <f>IFERROR(__xludf.DUMMYFUNCTION("""COMPUTED_VALUE"""),"Test suite reduction methods that decrease regression testing costs by identifying irreplaceable tests")</f>
        <v>Test suite reduction methods that decrease regression testing costs by identifying irreplaceable tests</v>
      </c>
      <c r="F538" s="7" t="str">
        <f>IFERROR(__xludf.DUMMYFUNCTION("""COMPUTED_VALUE"""),"IST")</f>
        <v>IST</v>
      </c>
      <c r="G538" s="7" t="str">
        <f>IFERROR(__xludf.DUMMYFUNCTION("""COMPUTED_VALUE"""),"Context In software development and maintenance, a software system may frequently be updated to meet rapidly changing user requirements. New test cases will be designed to ensure the correctness of new or modified functions, thus gradually increasing the "&amp;"test suite's size. Test suite reduction techniques aim to decrease the cost of regression testing by removing the redundant test cases from the test suite and then obtaining a representative set of test cases that still yield a high level of code coverage"&amp;". Objective Most of the existing reduction algorithms focus on decreasing the test suite's size. Yet, the differences in execution costs among test cases are usually significant and it may take a lot of execution time to run a test suite consisting of a f"&amp;"ew long-running test cases. This paper presents and empirically evaluates cost-aware algorithms that can produce the representative sets with lower execution costs. Method We first use a cost-aware test case metric, called Irreplaceability, and its enhanc"&amp;"ed version, called EIrreplaceability, to evaluate the possibility that each test case can be replaced by others during test suite reduction. Furthermore, we construct a cost-aware framework that incorporates the concept of test irreplaceability into some "&amp;"well-known test suite reduction algorithms. Results The effectiveness of the cost-aware framework is evaluated via the subject programs and test suites collected from the Software-artifact Infrastructure Repository - frequently chosen benchmarks for exper"&amp;"imentally evaluating test suite reduction methods. The empirical results reveal that the presented algorithms produce representative sets that normally incur a low cost to yield a high level of test coverage. Conclusion The presented techniques indeed enh"&amp;"ance the capability of the traditional reduction algorithms to reduce the execution cost of a test suite. Especially for the additional Greedy algorithm, the presented techniques decrease the costs of the representative sets by 8.10-46.57%. © 2014 Elsevie"&amp;"r B.V. All rights reserved.")</f>
        <v>Context In software development and maintenance, a software system may frequently be updated to meet rapidly changing user requirements. New test cases will be designed to ensure the correctness of new or modified functions, thus gradually increasing the test suite's size. Test suite reduction techniques aim to decrease the cost of regression testing by removing the redundant test cases from the test suite and then obtaining a representative set of test cases that still yield a high level of code coverage. Objective Most of the existing reduction algorithms focus on decreasing the test suite's size. Yet, the differences in execution costs among test cases are usually significant and it may take a lot of execution time to run a test suite consisting of a few long-running test cases. This paper presents and empirically evaluates cost-aware algorithms that can produce the representative sets with lower execution costs. Method We first use a cost-aware test case metric, called Irreplaceability, and its enhanced version, called EIrreplaceability, to evaluate the possibility that each test case can be replaced by others during test suite reduction. Furthermore, we construct a cost-aware framework that incorporates the concept of test irreplaceability into some well-known test suite reduction algorithms. Results The effectiveness of the cost-aware framework is evaluated via the subject programs and test suites collected from the Software-artifact Infrastructure Repository - frequently chosen benchmarks for experimentally evaluating test suite reduction methods. The empirical results reveal that the presented algorithms produce representative sets that normally incur a low cost to yield a high level of test coverage. Conclusion The presented techniques indeed enhance the capability of the traditional reduction algorithms to reduce the execution cost of a test suite. Especially for the additional Greedy algorithm, the presented techniques decrease the costs of the representative sets by 8.10-46.57%. © 2014 Elsevier B.V. All rights reserved.</v>
      </c>
      <c r="H538" s="8" t="str">
        <f>IFERROR(__xludf.DUMMYFUNCTION("""COMPUTED_VALUE"""),"Code coverage; Regression testing; Software testing; Test irreplaceability; Test suite reduction")</f>
        <v>Code coverage; Regression testing; Software testing; Test irreplaceability; Test suite reduction</v>
      </c>
      <c r="I538" s="10" t="b">
        <v>0</v>
      </c>
      <c r="J538" s="10" t="b">
        <v>0</v>
      </c>
      <c r="K538" s="10" t="b">
        <v>0</v>
      </c>
      <c r="L538" s="10" t="b">
        <v>0</v>
      </c>
      <c r="M538" s="10" t="b">
        <v>0</v>
      </c>
      <c r="N538" s="10" t="b">
        <v>0</v>
      </c>
      <c r="O538" s="11" t="b">
        <f t="shared" si="1"/>
        <v>0</v>
      </c>
      <c r="P538" s="16" t="b">
        <v>0</v>
      </c>
      <c r="Q538" s="7"/>
    </row>
    <row r="539">
      <c r="A539" s="5" t="b">
        <v>1</v>
      </c>
      <c r="B539" s="5" t="s">
        <v>581</v>
      </c>
      <c r="C539" s="6" t="str">
        <f>IFERROR(__xludf.DUMMYFUNCTION("""COMPUTED_VALUE"""),"10.1016/j.infsof.2022.106853")</f>
        <v>10.1016/j.infsof.2022.106853</v>
      </c>
      <c r="D539" s="7" t="str">
        <f>IFERROR(__xludf.DUMMYFUNCTION("""COMPUTED_VALUE"""),"Casillo F.; Deufemia V.; Gravino C.")</f>
        <v>Casillo F.; Deufemia V.; Gravino C.</v>
      </c>
      <c r="E539" s="7" t="str">
        <f>IFERROR(__xludf.DUMMYFUNCTION("""COMPUTED_VALUE"""),"Detecting privacy requirements from User Stories with NLP transfer learning models")</f>
        <v>Detecting privacy requirements from User Stories with NLP transfer learning models</v>
      </c>
      <c r="F539" s="7" t="str">
        <f>IFERROR(__xludf.DUMMYFUNCTION("""COMPUTED_VALUE"""),"IST")</f>
        <v>IST</v>
      </c>
      <c r="G539" s="7" t="str">
        <f>IFERROR(__xludf.DUMMYFUNCTION("""COMPUTED_VALUE"""),"Context: To provide privacy-aware software systems, it is crucial to consider privacy from the very beginning of the development. However, developers do not have the expertise and the knowledge required to embed the legal and social requirements for data "&amp;"protection into software systems. Objective: We present an approach to decrease privacy risks during agile software development by automatically detecting privacy-related information in the context of user story requirements, a prominent notation in agile"&amp;" Requirement Engineering (RE). Methods: The proposed approach combines Natural Language Processing (NLP) and linguistic resources with deep learning algorithms to identify privacy aspects into User Stories. NLP technologies are used to extract information"&amp;" regarding the semantic and syntactic structure of the text. This information is then processed by a pre-trained convolutional neural network, which paved the way for the implementation of a Transfer Learning technique. We evaluate the proposed approach b"&amp;"y performing an empirical study with a dataset of 1680 user stories. Results: The experimental results show that deep learning algorithms allow to obtain better predictions than those achieved with conventional (shallow) machine learning methods. Moreover"&amp;", the application of Transfer Learning allows to considerably improve the accuracy of the predictions, ca. 10%. Conclusions: Our study contributes to encourage software engineering researchers in considering the opportunities to automate privacy detection"&amp;" in the early phase of design, by also exploiting transfer learning models. © 2022 Elsevier B.V.")</f>
        <v>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 © 2022 Elsevier B.V.</v>
      </c>
      <c r="H539" s="8" t="str">
        <f>IFERROR(__xludf.DUMMYFUNCTION("""COMPUTED_VALUE"""),"Deep learning; Natural Language Processing; Transfer Learning; User Stories")</f>
        <v>Deep learning; Natural Language Processing; Transfer Learning; User Stories</v>
      </c>
      <c r="I539" s="10" t="b">
        <v>0</v>
      </c>
      <c r="J539" s="10" t="b">
        <v>0</v>
      </c>
      <c r="K539" s="10" t="b">
        <v>0</v>
      </c>
      <c r="L539" s="10" t="b">
        <v>0</v>
      </c>
      <c r="M539" s="10" t="b">
        <v>0</v>
      </c>
      <c r="N539" s="10" t="b">
        <v>0</v>
      </c>
      <c r="O539" s="11" t="b">
        <f t="shared" si="1"/>
        <v>0</v>
      </c>
      <c r="P539" s="16" t="b">
        <v>0</v>
      </c>
      <c r="Q539" s="7"/>
    </row>
    <row r="540">
      <c r="A540" s="5" t="b">
        <v>1</v>
      </c>
      <c r="B540" s="5" t="s">
        <v>582</v>
      </c>
      <c r="C540" s="6" t="str">
        <f>IFERROR(__xludf.DUMMYFUNCTION("""COMPUTED_VALUE"""),"10.1016/j.infsof.2013.05.003")</f>
        <v>10.1016/j.infsof.2013.05.003</v>
      </c>
      <c r="D540" s="7" t="str">
        <f>IFERROR(__xludf.DUMMYFUNCTION("""COMPUTED_VALUE"""),"Hadar I.; Reinhartz-Berger I.; Kuflik T.; Perini A.; Ricca F.; Susi A.")</f>
        <v>Hadar I.; Reinhartz-Berger I.; Kuflik T.; Perini A.; Ricca F.; Susi A.</v>
      </c>
      <c r="E540" s="7" t="str">
        <f>IFERROR(__xludf.DUMMYFUNCTION("""COMPUTED_VALUE"""),"Comparing the comprehensibility of requirements models expressed in Use Case and Tropos: Results from a family of experiments")</f>
        <v>Comparing the comprehensibility of requirements models expressed in Use Case and Tropos: Results from a family of experiments</v>
      </c>
      <c r="F540" s="7" t="str">
        <f>IFERROR(__xludf.DUMMYFUNCTION("""COMPUTED_VALUE"""),"IST")</f>
        <v>IST</v>
      </c>
      <c r="G540" s="7" t="str">
        <f>IFERROR(__xludf.DUMMYFUNCTION("""COMPUTED_VALUE"""),"Context Over the years, several modeling languages for requirements have been proposed. These languages employ different conceptual approaches, including scenario-based and goal-oriented ones. Empirical studies providing evidence about requirements model "&amp;"comprehensibility are rare, especially when addressing languages that belong to different modeling approaches. Objective This work aims to compare the comprehensibility of requirements models expressed in different but comparable modeling approaches from "&amp;"a requirements analysts' perspective. In particular, in this paper we compare the comprehensibility of requirements models expressed in two visual modeling languages: Use Case, which is scenario-based, and Tropos, which exploits goal-oriented modeling. We"&amp;" further compare the effort required for comprehending the different models, and the derived productivity in each case. Method Requirements model comprehensibility is measured here in the context of three types of tasks that analysts usually perform, name"&amp;"ly mapping between textual description and the model elements, reading and understanding the model irrespectively of the original textual description, and modifying the model. This experimental evaluation has been conducted within a family of controlled e"&amp;"xperiments aiming at comparing the comprehensibility of Use Case and Tropos requirements models. Three runs of the experiment were performed, including a first experiment and two replications, involving 79 subjects overall (all of which were information s"&amp;"ystems students). The data for each experiment was separately analyzed, followed by a meta-analysis of the three experiments. Results The experimental results show that Tropos models seem to be more comprehensible with respect to the three types of requir"&amp;"ements analysis tasks, although more time consuming than Use Case models. Conclusions Measuring model comprehensibility by means of controlled experiments is feasible and provides a basis for comparing Tropos and Use Case models, although these languages "&amp;"belong to different modeling approaches. Specifically, Tropos outperformed Use Case in terms of comprehensibility, but required more effort leading to a similar productivity of the two languages. © 2013 Elsevier B.V. All rights reserved.")</f>
        <v>Context Over the years, several modeling languages for requirements have been proposed. These languages employ different conceptual approaches, including scenario-based and goal-oriented ones. Empirical studies providing evidence about requirements model comprehensibility are rare, especially when addressing languages that belong to different modeling approaches. Objective This work aims to compare the comprehensibility of requirements models expressed in different but comparable modeling approaches from a requirements analysts' perspective. In particular, in this paper we compare the comprehensibility of requirements models expressed in two visual modeling languages: Use Case, which is scenario-based, and Tropos, which exploits goal-oriented modeling. We further compare the effort required for comprehending the different models, and the derived productivity in each case. Method Requirements model comprehensibility is measured here in the context of three types of tasks that analysts usually perform, namely mapping between textual description and the model elements, reading and understanding the model irrespectively of the original textual description, and modifying the model. This experimental evaluation has been conducted within a family of controlled experiments aiming at comparing the comprehensibility of Use Case and Tropos requirements models. Three runs of the experiment were performed, including a first experiment and two replications, involving 79 subjects overall (all of which were information systems students). The data for each experiment was separately analyzed, followed by a meta-analysis of the three experiments. Results The experimental results show that Tropos models seem to be more comprehensible with respect to the three types of requirements analysis tasks, although more time consuming than Use Case models. Conclusions Measuring model comprehensibility by means of controlled experiments is feasible and provides a basis for comparing Tropos and Use Case models, although these languages belong to different modeling approaches. Specifically, Tropos outperformed Use Case in terms of comprehensibility, but required more effort leading to a similar productivity of the two languages. © 2013 Elsevier B.V. All rights reserved.</v>
      </c>
      <c r="H540" s="8" t="str">
        <f>IFERROR(__xludf.DUMMYFUNCTION("""COMPUTED_VALUE"""),"Controlled experiment; Empirical studies; Model comprehension; Requirements models; Tropos; UML use case")</f>
        <v>Controlled experiment; Empirical studies; Model comprehension; Requirements models; Tropos; UML use case</v>
      </c>
      <c r="I540" s="9" t="b">
        <v>1</v>
      </c>
      <c r="J540" s="9" t="b">
        <v>1</v>
      </c>
      <c r="K540" s="9" t="b">
        <v>1</v>
      </c>
      <c r="L540" s="10" t="b">
        <v>0</v>
      </c>
      <c r="M540" s="10" t="b">
        <v>0</v>
      </c>
      <c r="N540" s="10" t="b">
        <v>0</v>
      </c>
      <c r="O540" s="11" t="b">
        <f t="shared" si="1"/>
        <v>1</v>
      </c>
      <c r="P540" s="16" t="b">
        <v>0</v>
      </c>
      <c r="Q540" s="7"/>
    </row>
    <row r="541">
      <c r="A541" s="5" t="b">
        <v>1</v>
      </c>
      <c r="B541" s="5" t="s">
        <v>583</v>
      </c>
      <c r="C541" s="6" t="str">
        <f>IFERROR(__xludf.DUMMYFUNCTION("""COMPUTED_VALUE"""),"10.1016/j.infsof.2023.107338")</f>
        <v>10.1016/j.infsof.2023.107338</v>
      </c>
      <c r="D541" s="7" t="str">
        <f>IFERROR(__xludf.DUMMYFUNCTION("""COMPUTED_VALUE"""),"Wang D.; Galster M.; Morales-Trujillo M.")</f>
        <v>Wang D.; Galster M.; Morales-Trujillo M.</v>
      </c>
      <c r="E541" s="7" t="str">
        <f>IFERROR(__xludf.DUMMYFUNCTION("""COMPUTED_VALUE"""),"A systematic mapping study of bug reproduction and localization")</f>
        <v>A systematic mapping study of bug reproduction and localization</v>
      </c>
      <c r="F541" s="7" t="str">
        <f>IFERROR(__xludf.DUMMYFUNCTION("""COMPUTED_VALUE"""),"IST")</f>
        <v>IST</v>
      </c>
      <c r="G541" s="7" t="str">
        <f>IFERROR(__xludf.DUMMYFUNCTION("""COMPUTED_VALUE"""),"Context: Identifying the root cause of a software bug and fixing it is challenging. One reason for this is that many bugs are not reproducible during bug fixing. Objective: We aim to provide an overview of existing works on bug reproduction and localizati"&amp;"on. We ask four research questions: RQ1: What types of problems have been studied in the area of bug reproduction and localization? RQ2: How are problems studied in previous research? RQ3: What are the main findings and outcomes of previous studies? RQ4: "&amp;"What are the gaps and challenges identified in previous studies? Method: We conducted a systematic mapping study analyzing research literature published between 2011 and 2021. The search for primary studies involved four major computer science digital lib"&amp;"raries and resulted in 134 studies for analysis. Results: Regarding RQ1 we found that many studies focus on information retrieval-based approaches to support bug reproduction and localization. Regarding RQ2 we found that bug reports and source code are th"&amp;"e typical data sources of bug reproduction and localization. Also, most studies include experiments with historical data but do not investigate ongoing projects. Regarding RQ3 we found that many studies adapt or combine existing approaches for bug reprodu"&amp;"ction and localization to improve their accuracy or applicability (e.g., combine requirements-related information and bug reports to increase information-retrieval-based techniques). Regarding RQ4 we found that existing solutions for bug reproduction and "&amp;"localization have rarely been integrated into the workflow of developers. Conclusion: Although bug reproduction and localization have been studied in quite some detail, new challenges and gaps emerge due to the evolution of software technologies and pract"&amp;"ices and the practical needs of software developers. For example, bug reproduction approaches for traditional web applications do not work well with modern “Single Page Web Applications” (SPA) and related technologies, e.g., Angular or React. © 2023 The A"&amp;"uthor(s)")</f>
        <v>Context: Identifying the root cause of a software bug and fixing it is challenging. One reason for this is that many bugs are not reproducible during bug fixing. Objective: We aim to provide an overview of existing works on bug reproduction and localization. We ask four research questions: RQ1: What types of problems have been studied in the area of bug reproduction and localization? RQ2: How are problems studied in previous research? RQ3: What are the main findings and outcomes of previous studies? RQ4: What are the gaps and challenges identified in previous studies? Method: We conducted a systematic mapping study analyzing research literature published between 2011 and 2021. The search for primary studies involved four major computer science digital libraries and resulted in 134 studies for analysis. Results: Regarding RQ1 we found that many studies focus on information retrieval-based approaches to support bug reproduction and localization. Regarding RQ2 we found that bug reports and source code are the typical data sources of bug reproduction and localization. Also, most studies include experiments with historical data but do not investigate ongoing projects. Regarding RQ3 we found that many studies adapt or combine existing approaches for bug reproduction and localization to improve their accuracy or applicability (e.g., combine requirements-related information and bug reports to increase information-retrieval-based techniques). Regarding RQ4 we found that existing solutions for bug reproduction and localization have rarely been integrated into the workflow of developers. Conclusion: Although bug reproduction and localization have been studied in quite some detail, new challenges and gaps emerge due to the evolution of software technologies and practices and the practical needs of software developers. For example, bug reproduction approaches for traditional web applications do not work well with modern “Single Page Web Applications” (SPA) and related technologies, e.g., Angular or React. © 2023 The Author(s)</v>
      </c>
      <c r="H541" s="8" t="str">
        <f>IFERROR(__xludf.DUMMYFUNCTION("""COMPUTED_VALUE"""),"Bug fixing; Bug localization; Bug reproduction; Mapping study")</f>
        <v>Bug fixing; Bug localization; Bug reproduction; Mapping study</v>
      </c>
      <c r="I541" s="10" t="b">
        <v>0</v>
      </c>
      <c r="J541" s="10" t="b">
        <v>0</v>
      </c>
      <c r="K541" s="10" t="b">
        <v>0</v>
      </c>
      <c r="L541" s="10" t="b">
        <v>0</v>
      </c>
      <c r="M541" s="10" t="b">
        <v>0</v>
      </c>
      <c r="N541" s="10" t="b">
        <v>0</v>
      </c>
      <c r="O541" s="11" t="b">
        <f t="shared" si="1"/>
        <v>0</v>
      </c>
      <c r="P541" s="16" t="b">
        <v>0</v>
      </c>
      <c r="Q541" s="7"/>
    </row>
    <row r="542">
      <c r="A542" s="5" t="b">
        <v>1</v>
      </c>
      <c r="B542" s="5" t="s">
        <v>584</v>
      </c>
      <c r="C542" s="6" t="str">
        <f>IFERROR(__xludf.DUMMYFUNCTION("""COMPUTED_VALUE"""),"10.1016/j.infsof.2023.107269")</f>
        <v>10.1016/j.infsof.2023.107269</v>
      </c>
      <c r="D542" s="7" t="str">
        <f>IFERROR(__xludf.DUMMYFUNCTION("""COMPUTED_VALUE"""),"Wang Y.; Zhou A.; Huang Q.; Wang X.; Jiang B.")</f>
        <v>Wang Y.; Zhou A.; Huang Q.; Wang X.; Jiang B.</v>
      </c>
      <c r="E542" s="7" t="str">
        <f>IFERROR(__xludf.DUMMYFUNCTION("""COMPUTED_VALUE"""),"PAREI: A progressive approach for Web API recommendation by combining explicit and implicit information")</f>
        <v>PAREI: A progressive approach for Web API recommendation by combining explicit and implicit information</v>
      </c>
      <c r="F542" s="7" t="str">
        <f>IFERROR(__xludf.DUMMYFUNCTION("""COMPUTED_VALUE"""),"IST")</f>
        <v>IST</v>
      </c>
      <c r="G542" s="7" t="str">
        <f>IFERROR(__xludf.DUMMYFUNCTION("""COMPUTED_VALUE"""),"Context: Mashup is an application with specific functions by combining Web APIs that can provide services or data on the Internet, thus avoiding the behavior of repeatedly building wheels. Recommending suitable Web APIs in the vast number of Web APIs on t"&amp;"he Internet for Mashup developers has become a challenging problem. Previous studies often fail to fully exploit and effectively synthesize various types of information between Web APIs and Mashups. Objective: This work proposes a Web API recommendation a"&amp;"pproach - PAREI by combining both explicit and implicit information to progressively optimize the recommendation results. Methods: First, PAREI uses the explicit structural information between Mashups and Web APIs to construct the Call Relationship Networ"&amp;"k (CRN). Second, PAREI calculates explicit semantic similarities between developer's requirement and Mashups to obtain candidate Mashup nodes in CRN. Then PAREI further mines the implicit structural information between Mashups. A combined similarity score"&amp;" for each Mashup node is calculated. Finally, PAREI uses CRN to obtain candidate Web APIs related to candidate Mashup nodes, and integrates implicit semantic information of Web APIs with combined scores of corresponding Mashups, so as to obtain Top-K Web "&amp;"APIs. Results: Comparison experiments show that PAREI has significantly improved the Recall, Precision, and MAP metrics compared with other approaches. Ablation experiments show that different types of information play various roles in Web API recommendat"&amp;"ion, and different combination modes have different effects on the recommendation results. Conclusion: This work constructs the PAREI model, which combines explicit and implicit information to obtain Web API recommendation results through a progressive st"&amp;"rategy. According to the experiment results, we believe that the PAREI approach can help Mashup developers to find demanded Web APIs rapidly and accurately. © 2023 Elsevier B.V.")</f>
        <v>Context: Mashup is an application with specific functions by combining Web APIs that can provide services or data on the Internet, thus avoiding the behavior of repeatedly building wheels. Recommending suitable Web APIs in the vast number of Web APIs on the Internet for Mashup developers has become a challenging problem. Previous studies often fail to fully exploit and effectively synthesize various types of information between Web APIs and Mashups. Objective: This work proposes a Web API recommendation approach - PAREI by combining both explicit and implicit information to progressively optimize the recommendation results. Methods: First, PAREI uses the explicit structural information between Mashups and Web APIs to construct the Call Relationship Network (CRN). Second, PAREI calculates explicit semantic similarities between developer's requirement and Mashups to obtain candidate Mashup nodes in CRN. Then PAREI further mines the implicit structural information between Mashups. A combined similarity score for each Mashup node is calculated. Finally, PAREI uses CRN to obtain candidate Web APIs related to candidate Mashup nodes, and integrates implicit semantic information of Web APIs with combined scores of corresponding Mashups, so as to obtain Top-K Web APIs. Results: Comparison experiments show that PAREI has significantly improved the Recall, Precision, and MAP metrics compared with other approaches. Ablation experiments show that different types of information play various roles in Web API recommendation, and different combination modes have different effects on the recommendation results. Conclusion: This work constructs the PAREI model, which combines explicit and implicit information to obtain Web API recommendation results through a progressive strategy. According to the experiment results, we believe that the PAREI approach can help Mashup developers to find demanded Web APIs rapidly and accurately. © 2023 Elsevier B.V.</v>
      </c>
      <c r="H542" s="8" t="str">
        <f>IFERROR(__xludf.DUMMYFUNCTION("""COMPUTED_VALUE"""),"Deep learning; Explicit information; Implicit information; Web API recommendation")</f>
        <v>Deep learning; Explicit information; Implicit information; Web API recommendation</v>
      </c>
      <c r="I542" s="10" t="b">
        <v>0</v>
      </c>
      <c r="J542" s="10" t="b">
        <v>0</v>
      </c>
      <c r="K542" s="10" t="b">
        <v>0</v>
      </c>
      <c r="L542" s="10" t="b">
        <v>0</v>
      </c>
      <c r="M542" s="10" t="b">
        <v>0</v>
      </c>
      <c r="N542" s="10" t="b">
        <v>0</v>
      </c>
      <c r="O542" s="11" t="b">
        <f t="shared" si="1"/>
        <v>0</v>
      </c>
      <c r="P542" s="16" t="b">
        <v>0</v>
      </c>
      <c r="Q542" s="7"/>
    </row>
    <row r="543">
      <c r="A543" s="5" t="b">
        <v>1</v>
      </c>
      <c r="B543" s="5" t="s">
        <v>585</v>
      </c>
      <c r="C543" s="6" t="str">
        <f>IFERROR(__xludf.DUMMYFUNCTION("""COMPUTED_VALUE"""),"10.1016/j.infsof.2020.106503")</f>
        <v>10.1016/j.infsof.2020.106503</v>
      </c>
      <c r="D543" s="7" t="str">
        <f>IFERROR(__xludf.DUMMYFUNCTION("""COMPUTED_VALUE"""),"Liu S.; Li H.; Jiang Z.; Li X.; Liu F.; Zhong Y.")</f>
        <v>Liu S.; Li H.; Jiang Z.; Li X.; Liu F.; Zhong Y.</v>
      </c>
      <c r="E543" s="7" t="str">
        <f>IFERROR(__xludf.DUMMYFUNCTION("""COMPUTED_VALUE"""),"Rigorous code review by reverse engineering")</f>
        <v>Rigorous code review by reverse engineering</v>
      </c>
      <c r="F543" s="7" t="str">
        <f>IFERROR(__xludf.DUMMYFUNCTION("""COMPUTED_VALUE"""),"IST")</f>
        <v>IST</v>
      </c>
      <c r="G543" s="7" t="str">
        <f>IFERROR(__xludf.DUMMYFUNCTION("""COMPUTED_VALUE"""),"Context: Agile software development methods advocate the importance of producing working software without comprehensive documentation. While this approach seems to suit the evolutionary nature of realistic software development for many applications, even "&amp;"including safety-critical systems, it faces two major challenges. One is the lack of a comprehensible specification for code evolution and future maintenance, and the other is the potentially huge cost in code verification. Objective: To address this prob"&amp;"lem, we believe that supporting the efficient production of system specification by reversing the program constructed as the result of an agile development will be a useful solution. The reverse engineering of specifications from programs will not only he"&amp;"lp us produce the necessary specification for future program evolution, but more importantly can help us rigorously review the program to detect bugs for the enhancement of program quality. Method: In this paper, we put forward a novel method for rigorous"&amp;"ly reviewing code by reversing it into a comprehensible, formal specification. We elaborate on the principle of translating code into a specification and discuss how the translation process helps detect bugs in programs. We demonstrate how the proposed me"&amp;"thod works in practice with examples. We also present an experiment to evaluate the performance of the method by comparing it with existing checklist-based inspection. Conclusions: How to utilize reverse engineering of formal specifications from programs "&amp;"as a means to review the program for bug detection is an almost unexplored topic in software engineering. In this paper, we have described a specific method called RCRRE to reverse engineering of SOFL formal specifications from code and discussed how the "&amp;"reverse engineering process can be taken as an effective means to review the program for bug detection. The principle of converting code to a SOFL specification is reflected by a set of translation patterns and a two-step approach to construct a SOFL spec"&amp;"ification is established. To evaluate the performance, we have carried out an experiment on the effectiveness of our RCRRE method by comparing it with the CBI approach. The result of the experiment indicates that using our RCRRE method can effectively hel"&amp;"p the reviewer scrutinize the code and therefore find more bugs than the CBI when the reviewer is rather familiar with the SOFL specification language and skills. In the meanwhile, it also shows that the effectiveness of our RCRRE method may be affected i"&amp;"n the situation where the reviewer lacks sufficient understanding and experience of SOFL, and using our RCRRE method may in general take a little longer time than the CBI. © 2020 Elsevier B.V.")</f>
        <v>Context: Agile software development methods advocate the importance of producing working software without comprehensive documentation. While this approach seems to suit the evolutionary nature of realistic software development for many applications, even including safety-critical systems, it faces two major challenges. One is the lack of a comprehensible specification for code evolution and future maintenance, and the other is the potentially huge cost in code verification. Objective: To address this problem, we believe that supporting the efficient production of system specification by reversing the program constructed as the result of an agile development will be a useful solution. The reverse engineering of specifications from programs will not only help us produce the necessary specification for future program evolution, but more importantly can help us rigorously review the program to detect bugs for the enhancement of program quality. Method: In this paper, we put forward a novel method for rigorously reviewing code by reversing it into a comprehensible, formal specification. We elaborate on the principle of translating code into a specification and discuss how the translation process helps detect bugs in programs. We demonstrate how the proposed method works in practice with examples. We also present an experiment to evaluate the performance of the method by comparing it with existing checklist-based inspection. Conclusions: How to utilize reverse engineering of formal specifications from programs as a means to review the program for bug detection is an almost unexplored topic in software engineering. In this paper, we have described a specific method called RCRRE to reverse engineering of SOFL formal specifications from code and discussed how the reverse engineering process can be taken as an effective means to review the program for bug detection. The principle of converting code to a SOFL specification is reflected by a set of translation patterns and a two-step approach to construct a SOFL specification is established. To evaluate the performance, we have carried out an experiment on the effectiveness of our RCRRE method by comparing it with the CBI approach. The result of the experiment indicates that using our RCRRE method can effectively help the reviewer scrutinize the code and therefore find more bugs than the CBI when the reviewer is rather familiar with the SOFL specification language and skills. In the meanwhile, it also shows that the effectiveness of our RCRRE method may be affected in the situation where the reviewer lacks sufficient understanding and experience of SOFL, and using our RCRRE method may in general take a little longer time than the CBI. © 2020 Elsevier B.V.</v>
      </c>
      <c r="H543" s="8" t="str">
        <f>IFERROR(__xludf.DUMMYFUNCTION("""COMPUTED_VALUE"""),"Agile method; Bug detection; Formal specification; Reverse engineering")</f>
        <v>Agile method; Bug detection; Formal specification; Reverse engineering</v>
      </c>
      <c r="I543" s="10" t="b">
        <v>0</v>
      </c>
      <c r="J543" s="10" t="b">
        <v>0</v>
      </c>
      <c r="K543" s="10" t="b">
        <v>0</v>
      </c>
      <c r="L543" s="10" t="b">
        <v>0</v>
      </c>
      <c r="M543" s="10" t="b">
        <v>0</v>
      </c>
      <c r="N543" s="10" t="b">
        <v>0</v>
      </c>
      <c r="O543" s="11" t="b">
        <f t="shared" si="1"/>
        <v>0</v>
      </c>
      <c r="P543" s="16" t="b">
        <v>0</v>
      </c>
      <c r="Q543" s="7"/>
    </row>
    <row r="544">
      <c r="A544" s="5" t="b">
        <v>1</v>
      </c>
      <c r="B544" s="5" t="s">
        <v>586</v>
      </c>
      <c r="C544" s="6" t="str">
        <f>IFERROR(__xludf.DUMMYFUNCTION("""COMPUTED_VALUE"""),"10.1016/j.infsof.2019.106196")</f>
        <v>10.1016/j.infsof.2019.106196</v>
      </c>
      <c r="D544" s="7" t="str">
        <f>IFERROR(__xludf.DUMMYFUNCTION("""COMPUTED_VALUE"""),"Lian X.; Liu W.; Zhang L.")</f>
        <v>Lian X.; Liu W.; Zhang L.</v>
      </c>
      <c r="E544" s="7" t="str">
        <f>IFERROR(__xludf.DUMMYFUNCTION("""COMPUTED_VALUE"""),"Assisting engineers extracting requirements on components from domain documents")</f>
        <v>Assisting engineers extracting requirements on components from domain documents</v>
      </c>
      <c r="F544" s="7" t="str">
        <f>IFERROR(__xludf.DUMMYFUNCTION("""COMPUTED_VALUE"""),"IST")</f>
        <v>IST</v>
      </c>
      <c r="G544" s="7" t="str">
        <f>IFERROR(__xludf.DUMMYFUNCTION("""COMPUTED_VALUE"""),"Context: When entering an unfamiliar domain, organizations usually have to invest significant time and effort performing domain analysis with the purpose of acquiring system requirements. This process usually involves collecting domain documents extensive"&amp;"ly, retrieving and reviewing the related ones carefully, searching for the requirements knowledge, then extracting and specifying system requirements. Furthermore, the task must often be performed repeatedly throughout the early phases of projects. Depend"&amp;"ing on the nature of the domain and the availability of documentation, this process is extremely time-consuming and may require non-trivial human effort. Objective: In order to assist engineers identifying requirements knowledge from a collect of domain d"&amp;"ocuments, previously we proposed an approach MaRK in the Conference RE’16 which ranks the domain documents by their relevance to components and highlights the content that are likely to contain component-related information. Experiments showed MaRK can al"&amp;"most identify the top and bottom documents in the reference list. However, it tends to underestimate the relevance of the domain documents that have a number of sections with medium knowledge density. Method: We improve the ranking algorithm in MaRK and p"&amp;"ropose MaRK-II. In addition, to assist engineers locating the relevant information in lengthy documents, we preserve the highlighting work in MaRK and strengthen MaRK-II by extracting the summary of component-related text. MaRK-II is evaluated with the do"&amp;"cuments in three domains. Results: We found that MaRK-II significantly outperforms MaRK and VSM on ranking the documents by their relevance. And a user study showed that MaRK-II is indeed helpful for engineers to extract requirements on components. Conclu"&amp;"sions: Our approach provides three mechanisms including documents ranking, pertinent content highlighting and summarizing to help engineers obtaining requirements from a collection of domain documents. © 2019")</f>
        <v>Context: When entering an unfamiliar domain, organizations usually have to invest significant time and effort performing domain analysis with the purpose of acquiring system requirements. This process usually involves collecting domain documents extensively, retrieving and reviewing the related ones carefully, searching for the requirements knowledge, then extracting and specifying system requirements. Furthermore, the task must often be performed repeatedly throughout the early phases of projects. Depending on the nature of the domain and the availability of documentation, this process is extremely time-consuming and may require non-trivial human effort. Objective: In order to assist engineers identifying requirements knowledge from a collect of domain documents, previously we proposed an approach MaRK in the Conference RE’16 which ranks the domain documents by their relevance to components and highlights the content that are likely to contain component-related information. Experiments showed MaRK can almost identify the top and bottom documents in the reference list. However, it tends to underestimate the relevance of the domain documents that have a number of sections with medium knowledge density. Method: We improve the ranking algorithm in MaRK and propose MaRK-II. In addition, to assist engineers locating the relevant information in lengthy documents, we preserve the highlighting work in MaRK and strengthen MaRK-II by extracting the summary of component-related text. MaRK-II is evaluated with the documents in three domains. Results: We found that MaRK-II significantly outperforms MaRK and VSM on ranking the documents by their relevance. And a user study showed that MaRK-II is indeed helpful for engineers to extract requirements on components. Conclusions: Our approach provides three mechanisms including documents ranking, pertinent content highlighting and summarizing to help engineers obtaining requirements from a collection of domain documents. © 2019</v>
      </c>
      <c r="H544" s="8" t="str">
        <f>IFERROR(__xludf.DUMMYFUNCTION("""COMPUTED_VALUE"""),"Documents ranking; Domain reference model; Extractive text summarization; Requirements discovery")</f>
        <v>Documents ranking; Domain reference model; Extractive text summarization; Requirements discovery</v>
      </c>
      <c r="I544" s="10" t="b">
        <v>0</v>
      </c>
      <c r="J544" s="10" t="b">
        <v>0</v>
      </c>
      <c r="K544" s="10" t="b">
        <v>0</v>
      </c>
      <c r="L544" s="10" t="b">
        <v>0</v>
      </c>
      <c r="M544" s="10" t="b">
        <v>0</v>
      </c>
      <c r="N544" s="10" t="b">
        <v>0</v>
      </c>
      <c r="O544" s="11" t="b">
        <f t="shared" si="1"/>
        <v>0</v>
      </c>
      <c r="P544" s="16" t="b">
        <v>0</v>
      </c>
      <c r="Q544" s="7"/>
    </row>
    <row r="545">
      <c r="A545" s="5" t="b">
        <v>1</v>
      </c>
      <c r="B545" s="5" t="s">
        <v>587</v>
      </c>
      <c r="C545" s="6" t="str">
        <f>IFERROR(__xludf.DUMMYFUNCTION("""COMPUTED_VALUE"""),"10.1016/j.infsof.2019.01.002")</f>
        <v>10.1016/j.infsof.2019.01.002</v>
      </c>
      <c r="D545" s="7" t="str">
        <f>IFERROR(__xludf.DUMMYFUNCTION("""COMPUTED_VALUE"""),"Zhou P.; Liu J.; Liu X.; Yang Z.; Grundy J.")</f>
        <v>Zhou P.; Liu J.; Liu X.; Yang Z.; Grundy J.</v>
      </c>
      <c r="E545" s="7" t="str">
        <f>IFERROR(__xludf.DUMMYFUNCTION("""COMPUTED_VALUE"""),"Is deep learning better than traditional approaches in tag recommendation for software information sites?")</f>
        <v>Is deep learning better than traditional approaches in tag recommendation for software information sites?</v>
      </c>
      <c r="F545" s="7" t="str">
        <f>IFERROR(__xludf.DUMMYFUNCTION("""COMPUTED_VALUE"""),"IST")</f>
        <v>IST</v>
      </c>
      <c r="G545" s="7" t="str">
        <f>IFERROR(__xludf.DUMMYFUNCTION("""COMPUTED_VALUE"""),"Context: Inspired by the success of deep learning in other domains, this new technique been gaining widespread recent interest in being applied to diverse data analysis problems in software engineering. Many deep learning models, such as CNN, DBN, RNN, LS"&amp;"TM and GAN, have been proposed and recently applied to software engineering tasks including effort estimation, vulnerability analysis, code clone detection, test case selection, requirements analysis and many others. However, there is a perception that ap"&amp;"plying deep learning is a ”silver bullet” if it can be applied to a software engineering data analysis problem. Object: This motivated us to ask the question as to whether deep learning is better than traditional approaches in tag recommendation task for "&amp;"software information sites. Method: In this paper we test this question by applying both the latest deep learning approaches and some traditional approaches on tag recommendation task for software information sites. This is a typical Software Engineering "&amp;"automation problem where intensive data processing is required to link disparate information to assist developers. Four different deep learning approaches – TagCNN, TagRNN, TagHAN and TagRCNN – are implemented and compared with three advanced traditional "&amp;"approaches – EnTagRec, TagMulRec, and FastTagRec. Results: Our comprehensive experimental results show that the performance of these different deep learning approaches varies significantly. The performance of TagRNN and TagHAN approaches are worse than tr"&amp;"aditional approaches in tag recommendation tasks. The performance of TagCNN and TagRCNN approaches are better than traditional approaches in tag recommendation tasks. Conclusion: Therefore, using appropriate deep learning approaches can indeed achieve bet"&amp;"ter performance than traditional approaches in tag recommendation tasks for software information sites. © 2019 Elsevier B.V.")</f>
        <v>Context: Inspired by the success of deep learning in other domains, this new technique been gaining widespread recent interest in being applied to diverse data analysis problems in software engineering. Many deep learning models, such as CNN, DBN, RNN, LSTM and GAN, have been proposed and recently applied to software engineering tasks including effort estimation, vulnerability analysis, code clone detection, test case selection, requirements analysis and many others. However, there is a perception that applying deep learning is a ”silver bullet” if it can be applied to a software engineering data analysis problem. Object: This motivated us to ask the question as to whether deep learning is better than traditional approaches in tag recommendation task for software information sites. Method: In this paper we test this question by applying both the latest deep learning approaches and some traditional approaches on tag recommendation task for software information sites. This is a typical Software Engineering automation problem where intensive data processing is required to link disparate information to assist developers. Four different deep learning approaches – TagCNN, TagRNN, TagHAN and TagRCNN – are implemented and compared with three advanced traditional approaches – EnTagRec, TagMulRec, and FastTagRec. Results: Our comprehensive experimental results show that the performance of these different deep learning approaches varies significantly. The performance of TagRNN and TagHAN approaches are worse than traditional approaches in tag recommendation tasks. The performance of TagCNN and TagRCNN approaches are better than traditional approaches in tag recommendation tasks. Conclusion: Therefore, using appropriate deep learning approaches can indeed achieve better performance than traditional approaches in tag recommendation tasks for software information sites. © 2019 Elsevier B.V.</v>
      </c>
      <c r="H545" s="8" t="str">
        <f>IFERROR(__xludf.DUMMYFUNCTION("""COMPUTED_VALUE"""),"Data analysis; Deep learning; Software information site; Software object; Tag recommendation")</f>
        <v>Data analysis; Deep learning; Software information site; Software object; Tag recommendation</v>
      </c>
      <c r="I545" s="10" t="b">
        <v>0</v>
      </c>
      <c r="J545" s="10" t="b">
        <v>0</v>
      </c>
      <c r="K545" s="10" t="b">
        <v>0</v>
      </c>
      <c r="L545" s="10" t="b">
        <v>0</v>
      </c>
      <c r="M545" s="10" t="b">
        <v>0</v>
      </c>
      <c r="N545" s="10" t="b">
        <v>0</v>
      </c>
      <c r="O545" s="11" t="b">
        <f t="shared" si="1"/>
        <v>0</v>
      </c>
      <c r="P545" s="16" t="b">
        <v>0</v>
      </c>
      <c r="Q545" s="7"/>
    </row>
    <row r="546">
      <c r="A546" s="5" t="b">
        <v>1</v>
      </c>
      <c r="B546" s="5" t="s">
        <v>588</v>
      </c>
      <c r="C546" s="6" t="str">
        <f>IFERROR(__xludf.DUMMYFUNCTION("""COMPUTED_VALUE"""),"10.1016/j.infsof.2013.12.001")</f>
        <v>10.1016/j.infsof.2013.12.001</v>
      </c>
      <c r="D546" s="7" t="str">
        <f>IFERROR(__xludf.DUMMYFUNCTION("""COMPUTED_VALUE"""),"Fanjiang Y.-Y.; Syu Y.")</f>
        <v>Fanjiang Y.-Y.; Syu Y.</v>
      </c>
      <c r="E546" s="7" t="str">
        <f>IFERROR(__xludf.DUMMYFUNCTION("""COMPUTED_VALUE"""),"Semantic-based automatic service composition with functional and non-functional requirements in design time: A genetic algorithm approach")</f>
        <v>Semantic-based automatic service composition with functional and non-functional requirements in design time: A genetic algorithm approach</v>
      </c>
      <c r="F546" s="7" t="str">
        <f>IFERROR(__xludf.DUMMYFUNCTION("""COMPUTED_VALUE"""),"IST")</f>
        <v>IST</v>
      </c>
      <c r="G546" s="7" t="str">
        <f>IFERROR(__xludf.DUMMYFUNCTION("""COMPUTED_VALUE"""),"Context In recent years, the composition of ready-made and loosely coupled services into desired systems is a common industrial approach and a widely followed research topic in academia. In the field, the current research trend is to automate this composi"&amp;"tion; however, each of the existing efforts automates only a component of the entire problem. Therefore, a real automation process that addresses all composition concerns is lacking. Objective The objective is to first identify the present composition con"&amp;"cerns and subsequently to devise a compositional approach that covers all concerns. Ultimately, we conduct a number of experiments to investigate the proposed approach. Method We identify the current composition concerns by surveying and briefly describin"&amp;"g the existing approaches. To include all of the identified concerns, the solution space that must be searched is highly dimensioned. Thus, we adopt a genetic algorithm (GA) due to its ability to solve problems with such characteristics. Proposed GA-based"&amp;" approach is designed with four unusual independent fitness functions. Additionally, experiments are carried out and discussions are presented for verification of the design, including the necessity for and correctness of the independence and priority of "&amp;"the four fitness functions. Results The case studies demonstrate that our approach can automatically generate the required composite services and considers all identified concerns simultaneously. The results confirm the need for the independence of the fi"&amp;"tness function and also identify a more efficient priority for these functions. Conclusions In this study, we present an all-inclusive automatic composer that does not require human intervention and effort during the composition process and is designed fo"&amp;"r users who must address multiple composition concerns simultaneously, including requirements for overall functionality, internally workable dataflow, and non-functional transaction and quality-of-service considerations. Such multiple and complex composit"&amp;"ion requirements cannot be satisfied by any of the previous single-concern composition approaches. © 2013 Elsevier B.V. All rights reserved.")</f>
        <v>Context In recent years, the composition of ready-made and loosely coupled services into desired systems is a common industrial approach and a widely followed research topic in academia. In the field, the current research trend is to automate this composition; however, each of the existing efforts automates only a component of the entire problem. Therefore, a real automation process that addresses all composition concerns is lacking. Objective The objective is to first identify the present composition concerns and subsequently to devise a compositional approach that covers all concerns. Ultimately, we conduct a number of experiments to investigate the proposed approach. Method We identify the current composition concerns by surveying and briefly describing the existing approaches. To include all of the identified concerns, the solution space that must be searched is highly dimensioned. Thus, we adopt a genetic algorithm (GA) due to its ability to solve problems with such characteristics. Proposed GA-based approach is designed with four unusual independent fitness functions. Additionally, experiments are carried out and discussions are presented for verification of the design, including the necessity for and correctness of the independence and priority of the four fitness functions. Results The case studies demonstrate that our approach can automatically generate the required composite services and considers all identified concerns simultaneously. The results confirm the need for the independence of the fitness function and also identify a more efficient priority for these functions. Conclusions In this study, we present an all-inclusive automatic composer that does not require human intervention and effort during the composition process and is designed for users who must address multiple composition concerns simultaneously, including requirements for overall functionality, internally workable dataflow, and non-functional transaction and quality-of-service considerations. Such multiple and complex composition requirements cannot be satisfied by any of the previous single-concern composition approaches. © 2013 Elsevier B.V. All rights reserved.</v>
      </c>
      <c r="H546" s="8" t="str">
        <f>IFERROR(__xludf.DUMMYFUNCTION("""COMPUTED_VALUE"""),"Genetic algorithm; Quality of service; Semantic web; Service composition; Transaction")</f>
        <v>Genetic algorithm; Quality of service; Semantic web; Service composition; Transaction</v>
      </c>
      <c r="I546" s="10" t="b">
        <v>0</v>
      </c>
      <c r="J546" s="10" t="b">
        <v>0</v>
      </c>
      <c r="K546" s="10" t="b">
        <v>0</v>
      </c>
      <c r="L546" s="10" t="b">
        <v>0</v>
      </c>
      <c r="M546" s="10" t="b">
        <v>0</v>
      </c>
      <c r="N546" s="10" t="b">
        <v>0</v>
      </c>
      <c r="O546" s="11" t="b">
        <f t="shared" si="1"/>
        <v>0</v>
      </c>
      <c r="P546" s="16" t="b">
        <v>0</v>
      </c>
      <c r="Q546" s="7"/>
    </row>
    <row r="547">
      <c r="A547" s="5" t="b">
        <v>1</v>
      </c>
      <c r="B547" s="5" t="s">
        <v>589</v>
      </c>
      <c r="C547" s="6" t="str">
        <f>IFERROR(__xludf.DUMMYFUNCTION("""COMPUTED_VALUE"""),"10.1016/j.infsof.2014.06.007")</f>
        <v>10.1016/j.infsof.2014.06.007</v>
      </c>
      <c r="D547" s="7" t="str">
        <f>IFERROR(__xludf.DUMMYFUNCTION("""COMPUTED_VALUE"""),"Paydar S.; Kahani M.")</f>
        <v>Paydar S.; Kahani M.</v>
      </c>
      <c r="E547" s="7" t="str">
        <f>IFERROR(__xludf.DUMMYFUNCTION("""COMPUTED_VALUE"""),"A semi-automated approach to adapt activity diagrams for new use cases")</f>
        <v>A semi-automated approach to adapt activity diagrams for new use cases</v>
      </c>
      <c r="F547" s="7" t="str">
        <f>IFERROR(__xludf.DUMMYFUNCTION("""COMPUTED_VALUE"""),"IST")</f>
        <v>IST</v>
      </c>
      <c r="G547" s="7" t="str">
        <f>IFERROR(__xludf.DUMMYFUNCTION("""COMPUTED_VALUE"""),"Context: Web engineering methodologies generally assign a crucial role to design models. Therefore, providing a model reuse approach is very interesting since it reduces development costs and improves quality. Current works on model reuse mainly focus on "&amp;"retrieval of the promising reusable assets, and much less is done regarding adaptation of the retrieved assets. This research proposes a semi-automatic approach for adaptation of UML activity diagrams to new use cases. Objective: UML use case diagrams and"&amp;" activity diagrams are traditionally used for the brief and the detailed specification of the functional requirements. Since many web applications have similar functionalities, and hence similar functional requirements, this research proposes an approach "&amp;"to take a use case diagram as input and semi-automatically create corresponding activity diagrams by adapting existing activity diagrams. Method: The proposed approach includes five main components: (1) a model repository, (2) an ontology repository as a "&amp;"source of domain knowledge, (3) an algorithm for annotating activity diagrams, (4) a similarity metric for retrieval of similar use cases, and (5) an adaptation algorithm for creating activity diagram of a new use case from an existing activity diagram Th"&amp;"e proposed approach uses the semantic web data model as the underlying representation format. Results: The initial experiments show that the proposed approach is promising and it provides an average reuse percent of 76%. However, it has still some weaknes"&amp;"ses like being much dependent on the quality of the model repository and having low tolerance in case of inconsistency in the model repository. Conclusion: Enabling model reuse in the early stages of a model based development approach is very important in"&amp;" reducing development costs. This paper proposes a semi-automatic approach to reuse activity diagrams through their adaptation for new use cases. The approach is demonstrated to be promising although it has still some limitations. © 2014 Elsevier B.V. All"&amp;" rights reserved.")</f>
        <v>Context: Web engineering methodologies generally assign a crucial role to design models. Therefore, providing a model reuse approach is very interesting since it reduces development costs and improves quality. Current works on model reuse mainly focus on retrieval of the promising reusable assets, and much less is done regarding adaptation of the retrieved assets. This research proposes a semi-automatic approach for adaptation of UML activity diagrams to new use cases. Objective: UML use case diagrams and activity diagrams are traditionally used for the brief and the detailed specification of the functional requirements. Since many web applications have similar functionalities, and hence similar functional requirements, this research proposes an approach to take a use case diagram as input and semi-automatically create corresponding activity diagrams by adapting existing activity diagrams. Method: The proposed approach includes five main components: (1) a model repository, (2) an ontology repository as a source of domain knowledge, (3) an algorithm for annotating activity diagrams, (4) a similarity metric for retrieval of similar use cases, and (5) an adaptation algorithm for creating activity diagram of a new use case from an existing activity diagram The proposed approach uses the semantic web data model as the underlying representation format. Results: The initial experiments show that the proposed approach is promising and it provides an average reuse percent of 76%. However, it has still some weaknesses like being much dependent on the quality of the model repository and having low tolerance in case of inconsistency in the model repository. Conclusion: Enabling model reuse in the early stages of a model based development approach is very important in reducing development costs. This paper proposes a semi-automatic approach to reuse activity diagrams through their adaptation for new use cases. The approach is demonstrated to be promising although it has still some limitations. © 2014 Elsevier B.V. All rights reserved.</v>
      </c>
      <c r="H547" s="8" t="str">
        <f>IFERROR(__xludf.DUMMYFUNCTION("""COMPUTED_VALUE"""),"Activity diagram; Adaptation; Model reuse; Semantic web; Use case")</f>
        <v>Activity diagram; Adaptation; Model reuse; Semantic web; Use case</v>
      </c>
      <c r="I547" s="10" t="b">
        <v>0</v>
      </c>
      <c r="J547" s="10" t="b">
        <v>0</v>
      </c>
      <c r="K547" s="10" t="b">
        <v>0</v>
      </c>
      <c r="L547" s="10" t="b">
        <v>0</v>
      </c>
      <c r="M547" s="10" t="b">
        <v>0</v>
      </c>
      <c r="N547" s="10" t="b">
        <v>0</v>
      </c>
      <c r="O547" s="11" t="b">
        <f t="shared" si="1"/>
        <v>0</v>
      </c>
      <c r="P547" s="16" t="b">
        <v>0</v>
      </c>
      <c r="Q547" s="7"/>
    </row>
    <row r="548">
      <c r="A548" s="5" t="b">
        <v>1</v>
      </c>
      <c r="B548" s="5" t="s">
        <v>590</v>
      </c>
      <c r="C548" s="6" t="str">
        <f>IFERROR(__xludf.DUMMYFUNCTION("""COMPUTED_VALUE"""),"10.1016/j.infsof.2020.106456")</f>
        <v>10.1016/j.infsof.2020.106456</v>
      </c>
      <c r="D548" s="7" t="str">
        <f>IFERROR(__xludf.DUMMYFUNCTION("""COMPUTED_VALUE"""),"Ma Z.; Yuan Z.; Yan L.")</f>
        <v>Ma Z.; Yuan Z.; Yan L.</v>
      </c>
      <c r="E548" s="7" t="str">
        <f>IFERROR(__xludf.DUMMYFUNCTION("""COMPUTED_VALUE"""),"Two-level clustering of UML class diagrams based on semantics and structure")</f>
        <v>Two-level clustering of UML class diagrams based on semantics and structure</v>
      </c>
      <c r="F548" s="7" t="str">
        <f>IFERROR(__xludf.DUMMYFUNCTION("""COMPUTED_VALUE"""),"IST")</f>
        <v>IST</v>
      </c>
      <c r="G548" s="7" t="str">
        <f>IFERROR(__xludf.DUMMYFUNCTION("""COMPUTED_VALUE"""),"Context: The reuse of software design has been an important issue of software reuse. UML class diagrams are widely applied in software design and has become DE factor standard. As a result, the reuse of UML class diagrams has received more attention. With"&amp;" the increasing number of class diagrams stored in reuse repository, their retrieval becomes a time-consuming job. The clustering can narrow down retrieval range and improve the retrieval efficiency. But few efforts have been done in clustering UML class "&amp;"diagrams. This paper tries to propose a clustering approach for UML class diagrams. Objective: This paper proposes a two-level clustering of UML class diagrams, namely, semantic clustering and structural clustering. The UML class diagrams stored in reuse "&amp;"repository are clustered into a few domains based on semantics in the first level and a few categories based on structure in the second level. Method: We propose a clustering algorithm named CUFS, in which the idea of partitioning and hierarchical cluster"&amp;"ing is combined and feature similarity is proposed for the similarity measure between two clusters in order to merge clusters. A better feature representation of a cluster, namely, feature class diagram, is proposed in this paper. In order to form each su"&amp;"b-cluster, the semantic and structural similarities between UML class diagrams are defined, respectively. Results: A series of experimental results show that, the proposed feature similarity measure not only speeds up the clustering process, but also expr"&amp;"esses the closeness degree between clusters for merging clusters. The proposed algorithm shows a good clustering quality and efficiency under the condition of different size and distribution of UML class diagrams. Conclusion: It is concluded that the prop"&amp;"osed two-level clustering method considers both semantics and structure contained in a class diagram, which can flexibly adapt to different clustering requirements. Also, the proposed clustering algorithm performs better than other related algorithms, reg"&amp;"ardless of in semantic, structural and hybrid clustering. © 2020")</f>
        <v>Context: The reuse of software design has been an important issue of software reuse. UML class diagrams are widely applied in software design and has become DE factor standard. As a result, the reuse of UML class diagrams has received more attention. With the increasing number of class diagrams stored in reuse repository, their retrieval becomes a time-consuming job. The clustering can narrow down retrieval range and improve the retrieval efficiency. But few efforts have been done in clustering UML class diagrams. This paper tries to propose a clustering approach for UML class diagrams. Objective: This paper proposes a two-level clustering of UML class diagrams, namely, semantic clustering and structural clustering. The UML class diagrams stored in reuse repository are clustered into a few domains based on semantics in the first level and a few categories based on structure in the second level. Method: We propose a clustering algorithm named CUFS, in which the idea of partitioning and hierarchical clustering is combined and feature similarity is proposed for the similarity measure between two clusters in order to merge clusters. A better feature representation of a cluster, namely, feature class diagram, is proposed in this paper. In order to form each sub-cluster, the semantic and structural similarities between UML class diagrams are defined, respectively. Results: A series of experimental results show that, the proposed feature similarity measure not only speeds up the clustering process, but also expresses the closeness degree between clusters for merging clusters. The proposed algorithm shows a good clustering quality and efficiency under the condition of different size and distribution of UML class diagrams. Conclusion: It is concluded that the proposed two-level clustering method considers both semantics and structure contained in a class diagram, which can flexibly adapt to different clustering requirements. Also, the proposed clustering algorithm performs better than other related algorithms, regardless of in semantic, structural and hybrid clustering. © 2020</v>
      </c>
      <c r="H548" s="8" t="str">
        <f>IFERROR(__xludf.DUMMYFUNCTION("""COMPUTED_VALUE"""),"Clustering; Feature similarity; Retrieval; Reuse; Similarity measure; UML class diagram")</f>
        <v>Clustering; Feature similarity; Retrieval; Reuse; Similarity measure; UML class diagram</v>
      </c>
      <c r="I548" s="10" t="b">
        <v>0</v>
      </c>
      <c r="J548" s="10" t="b">
        <v>0</v>
      </c>
      <c r="K548" s="10" t="b">
        <v>0</v>
      </c>
      <c r="L548" s="10" t="b">
        <v>0</v>
      </c>
      <c r="M548" s="10" t="b">
        <v>0</v>
      </c>
      <c r="N548" s="10" t="b">
        <v>0</v>
      </c>
      <c r="O548" s="11" t="b">
        <f t="shared" si="1"/>
        <v>0</v>
      </c>
      <c r="P548" s="16" t="b">
        <v>0</v>
      </c>
      <c r="Q548" s="7"/>
    </row>
    <row r="549">
      <c r="A549" s="5" t="b">
        <v>1</v>
      </c>
      <c r="B549" s="5" t="s">
        <v>591</v>
      </c>
      <c r="C549" s="6" t="str">
        <f>IFERROR(__xludf.DUMMYFUNCTION("""COMPUTED_VALUE"""),"10.1016/j.infsof.2019.01.011")</f>
        <v>10.1016/j.infsof.2019.01.011</v>
      </c>
      <c r="D549" s="7" t="str">
        <f>IFERROR(__xludf.DUMMYFUNCTION("""COMPUTED_VALUE"""),"Hotomski S.; Glinz M.")</f>
        <v>Hotomski S.; Glinz M.</v>
      </c>
      <c r="E549" s="7" t="str">
        <f>IFERROR(__xludf.DUMMYFUNCTION("""COMPUTED_VALUE"""),"GuideGen: An approach for keeping requirements and acceptance tests aligned via automatically generated guidance")</f>
        <v>GuideGen: An approach for keeping requirements and acceptance tests aligned via automatically generated guidance</v>
      </c>
      <c r="F549" s="7" t="str">
        <f>IFERROR(__xludf.DUMMYFUNCTION("""COMPUTED_VALUE"""),"IST")</f>
        <v>IST</v>
      </c>
      <c r="G549" s="7" t="str">
        <f>IFERROR(__xludf.DUMMYFUNCTION("""COMPUTED_VALUE"""),"Context: When software-based systems evolve, their requirements change. The changes in requirements affect the associated acceptance tests, which should be adapted accordingly. In practice, however, requirements and their acceptance tests are not always k"&amp;"ept up-to-date nor aligned. Such inconsistencies may introduce software quality problems, unintended costs and project delays. Objective: In order to keep evolving requirements and their acceptance tests aligned, we are developing an approach called Guide"&amp;"Gen. GuideGen automatically generates guidance in natural language about how to adapt the impacted acceptance tests when their requirements change. Method: We have implemented GuideGen as a prototype tool and evaluated it in two studies: first, by assessi"&amp;"ng the correctness, completeness, understandability and relevance of the generated guidance using three data sets from industry and second, by assessing the applicability and usefulness of the approach and the tool with 23 practitioners from ten companies"&amp;". When a requirement having more than one associated acceptance test is changed, GuideGen currently generates guidance for all of them together. As a first step towards overcoming this limitation, we assessed how well existing methods for change impact an"&amp;"alysis can identify the tests actually impacted by the changes in a requirement. Results: In the first study, we found that GuideGen produced correct guidance in about 67 to 89 percent of all changes. Our approach performed better for agile requirements t"&amp;"han for traditional ones. The results of the second study show that GuideGen is perceived to be useful, but that the practitioners would prefer a GuideGen plug-in for commercial tools instead of a standalone tool. Further, in our experiment we could corre"&amp;"ctly identify the affected acceptance tests for 63% to 91% of the changes in the requirements. Conclusion: Our approach facilitates the alignment of acceptance tests with the actual requirements and can improve the communication between requirements engin"&amp;"eers and testers. © 2019 Elsevier B.V.")</f>
        <v>Context: When software-based systems evolve, their requirements change. The changes in requirements affect the associated acceptance tests, which should be adapted accordingly. In practice, however, requirements and their acceptance tests are not always kept up-to-date nor aligned. Such inconsistencies may introduce software quality problems, unintended costs and project delays. Objective: In order to keep evolving requirements and their acceptance tests aligned, we are developing an approach called GuideGen. GuideGen automatically generates guidance in natural language about how to adapt the impacted acceptance tests when their requirements change. Method: We have implemented GuideGen as a prototype tool and evaluated it in two studies: first, by assessing the correctness, completeness, understandability and relevance of the generated guidance using three data sets from industry and second, by assessing the applicability and usefulness of the approach and the tool with 23 practitioners from ten companies. When a requirement having more than one associated acceptance test is changed, GuideGen currently generates guidance for all of them together. As a first step towards overcoming this limitation, we assessed how well existing methods for change impact analysis can identify the tests actually impacted by the changes in a requirement. Results: In the first study, we found that GuideGen produced correct guidance in about 67 to 89 percent of all changes. Our approach performed better for agile requirements than for traditional ones. The results of the second study show that GuideGen is perceived to be useful, but that the practitioners would prefer a GuideGen plug-in for commercial tools instead of a standalone tool. Further, in our experiment we could correctly identify the affected acceptance tests for 63% to 91% of the changes in the requirements. Conclusion: Our approach facilitates the alignment of acceptance tests with the actual requirements and can improve the communication between requirements engineers and testers. © 2019 Elsevier B.V.</v>
      </c>
      <c r="H549" s="8" t="str">
        <f>IFERROR(__xludf.DUMMYFUNCTION("""COMPUTED_VALUE"""),"Acceptance tests; Document alignment; Requirements; Software engineering tools; Software evolution;")</f>
        <v>Acceptance tests; Document alignment; Requirements; Software engineering tools; Software evolution;</v>
      </c>
      <c r="I549" s="9" t="b">
        <v>1</v>
      </c>
      <c r="J549" s="10" t="b">
        <v>0</v>
      </c>
      <c r="K549" s="9" t="b">
        <v>1</v>
      </c>
      <c r="L549" s="10" t="b">
        <v>0</v>
      </c>
      <c r="M549" s="10" t="b">
        <v>0</v>
      </c>
      <c r="N549" s="10" t="b">
        <v>0</v>
      </c>
      <c r="O549" s="11" t="b">
        <f t="shared" si="1"/>
        <v>0</v>
      </c>
      <c r="P549" s="16" t="b">
        <v>0</v>
      </c>
      <c r="Q549" s="7"/>
    </row>
    <row r="550">
      <c r="A550" s="5" t="b">
        <v>1</v>
      </c>
      <c r="B550" s="5" t="s">
        <v>592</v>
      </c>
      <c r="C550" s="6" t="str">
        <f>IFERROR(__xludf.DUMMYFUNCTION("""COMPUTED_VALUE"""),"10.1016/j.infsof.2022.106991")</f>
        <v>10.1016/j.infsof.2022.106991</v>
      </c>
      <c r="D550" s="7" t="str">
        <f>IFERROR(__xludf.DUMMYFUNCTION("""COMPUTED_VALUE"""),"Leelaprute P.; Amasaki S.")</f>
        <v>Leelaprute P.; Amasaki S.</v>
      </c>
      <c r="E550" s="7" t="str">
        <f>IFERROR(__xludf.DUMMYFUNCTION("""COMPUTED_VALUE"""),"A comparative study on vectorization methods for non-functional requirements classification")</f>
        <v>A comparative study on vectorization methods for non-functional requirements classification</v>
      </c>
      <c r="F550" s="7" t="str">
        <f>IFERROR(__xludf.DUMMYFUNCTION("""COMPUTED_VALUE"""),"IST")</f>
        <v>IST</v>
      </c>
      <c r="G550" s="7" t="str">
        <f>IFERROR(__xludf.DUMMYFUNCTION("""COMPUTED_VALUE"""),"Context: Identifying non-functional requirements (NFRs) and their categories at the early phase is crucial for analysts to design software systems and recognize constraints. Automatic non-functional requirements classification methods have been studied fo"&amp;"r reducing the costs of that labor-intensive task. Our previous study focused on the differences among vectorization methods that converted requirements written in natural language into numerical vectors for classification. It had some limitations regardi"&amp;"ng the number of datasets used, the types of vectorization methods supporting pre-trained data, and the performance evaluation procedure. Objective: To examine whether different vectorization methods lead to differences in the classification performance o"&amp;"f NFRs and their categories with extended settings. Methods: Comparative experiments were conducted with five open data. Nine vectorization methods, including ones with pre-trained data and four supervised classification methods, were supplied. Performanc"&amp;"e was evaluated with AUC and Scott-Knott ESD test. Results: Some advanced methods could achieve better performance than traditional ones when combined with some classifiers. The use of pre-trained data was useful for some categories. Conclusion: It is ben"&amp;"eficial to consider using some combinations of vectorization methods and classifiers for classifying non-functional requirements categories. © 2022 Elsevier B.V.")</f>
        <v>Context: Identifying non-functional requirements (NFRs) and their categories at the early phase is crucial for analysts to design software systems and recognize constraints. Automatic non-functional requirements classification methods have been studied for reducing the costs of that labor-intensive task. Our previous study focused on the differences among vectorization methods that converted requirements written in natural language into numerical vectors for classification. It had some limitations regarding the number of datasets used, the types of vectorization methods supporting pre-trained data, and the performance evaluation procedure. Objective: To examine whether different vectorization methods lead to differences in the classification performance of NFRs and their categories with extended settings. Methods: Comparative experiments were conducted with five open data. Nine vectorization methods, including ones with pre-trained data and four supervised classification methods, were supplied. Performance was evaluated with AUC and Scott-Knott ESD test. Results: Some advanced methods could achieve better performance than traditional ones when combined with some classifiers. The use of pre-trained data was useful for some categories. Conclusion: It is beneficial to consider using some combinations of vectorization methods and classifiers for classifying non-functional requirements categories. © 2022 Elsevier B.V.</v>
      </c>
      <c r="H550" s="8" t="str">
        <f>IFERROR(__xludf.DUMMYFUNCTION("""COMPUTED_VALUE"""),"Comparative study; Requirements classification; Vectorization methods")</f>
        <v>Comparative study; Requirements classification; Vectorization methods</v>
      </c>
      <c r="I550" s="10" t="b">
        <v>0</v>
      </c>
      <c r="J550" s="10" t="b">
        <v>0</v>
      </c>
      <c r="K550" s="10" t="b">
        <v>0</v>
      </c>
      <c r="L550" s="10" t="b">
        <v>0</v>
      </c>
      <c r="M550" s="10" t="b">
        <v>0</v>
      </c>
      <c r="N550" s="10" t="b">
        <v>0</v>
      </c>
      <c r="O550" s="11" t="b">
        <f t="shared" si="1"/>
        <v>0</v>
      </c>
      <c r="P550" s="16" t="b">
        <v>0</v>
      </c>
      <c r="Q550" s="7"/>
    </row>
    <row r="551">
      <c r="A551" s="5" t="b">
        <v>1</v>
      </c>
      <c r="B551" s="5" t="s">
        <v>593</v>
      </c>
      <c r="C551" s="6" t="str">
        <f>IFERROR(__xludf.DUMMYFUNCTION("""COMPUTED_VALUE"""),"10.1016/j.infsof.2013.05.001")</f>
        <v>10.1016/j.infsof.2013.05.001</v>
      </c>
      <c r="D551" s="7" t="str">
        <f>IFERROR(__xludf.DUMMYFUNCTION("""COMPUTED_VALUE"""),"Hummer W.; Gaubatz P.; Strembeck M.; Zdun U.; Dustdar S.")</f>
        <v>Hummer W.; Gaubatz P.; Strembeck M.; Zdun U.; Dustdar S.</v>
      </c>
      <c r="E551" s="7" t="str">
        <f>IFERROR(__xludf.DUMMYFUNCTION("""COMPUTED_VALUE"""),"Enforcement of entailment constraints in distributed service-based business processes")</f>
        <v>Enforcement of entailment constraints in distributed service-based business processes</v>
      </c>
      <c r="F551" s="7" t="str">
        <f>IFERROR(__xludf.DUMMYFUNCTION("""COMPUTED_VALUE"""),"IST")</f>
        <v>IST</v>
      </c>
      <c r="G551" s="7" t="str">
        <f>IFERROR(__xludf.DUMMYFUNCTION("""COMPUTED_VALUE"""),"Context A distributed business process is executed in a distributed computing environment. The service-oriented architecture (SOA) paradigm is a popular option for the integration of software services and execution of distributed business processes. Entai"&amp;"lment constraints, such as mutual exclusion and binding constraints, are important means to control process execution. Mutually exclusive tasks result from the division of powerful rights and responsibilities to prevent fraud and abuse. In contrast, bindi"&amp;"ng constraints define that a subject who performed one task must also perform the corresponding bound task(s). Objective We aim to provide a model-driven approach for the specification and enforcement of task-based entailment constraints in distributed se"&amp;"rvice-based business processes. Method Based on a generic metamodel, we define a domain-specific language (DSL) that maps the different modeling-level artifacts to the implementation-level. The DSL integrates elements from role-based access control (RBAC)"&amp;" with the tasks that are performed in a business process. Process definitions are annotated using the DSL, and our software platform uses automated model transformations to produce executable WS-BPEL specifications which enforce the entailment constraints"&amp;". We evaluate the impact of constraint enforcement on runtime performance for five selected service-based processes from existing literature. Results Our evaluation demonstrates that the approach correctly enforces task-based entailment constraints at run"&amp;"time. The performance experiments illustrate that the runtime enforcement operates with an overhead that scales well up to the order of several ten thousand logged invocations. Using our DSL annotations, the user-defined process definition remains declara"&amp;"tive and clean of security enforcement code. Conclusion Our approach decouples the concerns of (non-technical) domain experts from technical details of entailment constraint enforcement. The developed framework integrates seamlessly with WS-BPEL and the W"&amp;"eb services technology stack. Our prototype implementation shows the feasibility of the approach, and the evaluation points to future work and further performance optimizations. © 2013 Elsevier B.V. All rights reserved.")</f>
        <v>Context A distributed business process is executed in a distributed computing environment. The service-oriented architecture (SOA) paradigm is a popular option for the integration of software services and execution of distributed business processes. Entailment constraints, such as mutual exclusion and binding constraints, are important means to control process execution. Mutually exclusive tasks result from the division of powerful rights and responsibilities to prevent fraud and abuse. In contrast, binding constraints define that a subject who performed one task must also perform the corresponding bound task(s). Objective We aim to provide a model-driven approach for the specification and enforcement of task-based entailment constraints in distributed service-based business processes. Method Based on a generic metamodel, we define a domain-specific language (DSL) that maps the different modeling-level artifacts to the implementation-level. The DSL integrates elements from role-based access control (RBAC) with the tasks that are performed in a business process. Process definitions are annotated using the DSL, and our software platform uses automated model transformations to produce executable WS-BPEL specifications which enforce the entailment constraints. We evaluate the impact of constraint enforcement on runtime performance for five selected service-based processes from existing literature. Results Our evaluation demonstrates that the approach correctly enforces task-based entailment constraints at runtime. The performance experiments illustrate that the runtime enforcement operates with an overhead that scales well up to the order of several ten thousand logged invocations. Using our DSL annotations, the user-defined process definition remains declarative and clean of security enforcement code. Conclusion Our approach decouples the concerns of (non-technical) domain experts from technical details of entailment constraint enforcement. The developed framework integrates seamlessly with WS-BPEL and the Web services technology stack. Our prototype implementation shows the feasibility of the approach, and the evaluation points to future work and further performance optimizations. © 2013 Elsevier B.V. All rights reserved.</v>
      </c>
      <c r="H551" s="8" t="str">
        <f>IFERROR(__xludf.DUMMYFUNCTION("""COMPUTED_VALUE"""),"Architecture (SOA); Business process management; Entailment constraints; Identity and access management; Service-Oriented; WS-BPEL")</f>
        <v>Architecture (SOA); Business process management; Entailment constraints; Identity and access management; Service-Oriented; WS-BPEL</v>
      </c>
      <c r="I551" s="10" t="b">
        <v>0</v>
      </c>
      <c r="J551" s="10" t="b">
        <v>0</v>
      </c>
      <c r="K551" s="10" t="b">
        <v>0</v>
      </c>
      <c r="L551" s="10" t="b">
        <v>0</v>
      </c>
      <c r="M551" s="10" t="b">
        <v>0</v>
      </c>
      <c r="N551" s="10" t="b">
        <v>0</v>
      </c>
      <c r="O551" s="11" t="b">
        <f t="shared" si="1"/>
        <v>0</v>
      </c>
      <c r="P551" s="16" t="b">
        <v>0</v>
      </c>
      <c r="Q551" s="7"/>
    </row>
    <row r="552">
      <c r="A552" s="5" t="b">
        <v>1</v>
      </c>
      <c r="B552" s="5" t="s">
        <v>594</v>
      </c>
      <c r="C552" s="6" t="str">
        <f>IFERROR(__xludf.DUMMYFUNCTION("""COMPUTED_VALUE"""),"10.1016/j.infsof.2019.06.004")</f>
        <v>10.1016/j.infsof.2019.06.004</v>
      </c>
      <c r="D552" s="7" t="str">
        <f>IFERROR(__xludf.DUMMYFUNCTION("""COMPUTED_VALUE"""),"Magalhaes A.P.F.; Andrade A.M.S.; Maciel R.S.P.")</f>
        <v>Magalhaes A.P.F.; Andrade A.M.S.; Maciel R.S.P.</v>
      </c>
      <c r="E552" s="7" t="str">
        <f>IFERROR(__xludf.DUMMYFUNCTION("""COMPUTED_VALUE"""),"Model driven transformation development (MDTD): An approach for developing model to model transformation")</f>
        <v>Model driven transformation development (MDTD): An approach for developing model to model transformation</v>
      </c>
      <c r="F552" s="7" t="str">
        <f>IFERROR(__xludf.DUMMYFUNCTION("""COMPUTED_VALUE"""),"IST")</f>
        <v>IST</v>
      </c>
      <c r="G552" s="7" t="str">
        <f>IFERROR(__xludf.DUMMYFUNCTION("""COMPUTED_VALUE"""),"Context: In the Model Driven Development (MDD) approach, model transformations are responsible for the semi-automation of software development process converting models between different abstraction levels. The development of model transformations involve"&amp;"s a complexity inherent to the transformation domain, in addition to the complexity of software development in general. Therefore, the construction of model transformations requires software engineering feature such as processes and languages to facilitat"&amp;"e its development and maintenance. Objective: This paper presents a framework to develop unidirectional relational model transformation using the MDD approach itself, which integrates: (i) a software development process suitable for the model transformati"&amp;"on domain (ii) a Domain specific language for transformation modeling (iii) a transformation chain, to (semi) automate the proposed process, and (iv) a development environment to support it. Methods: The proposal systematizes the development of model tran"&amp;"sformation, following the MDD principles. An iterative and incremental process guides transformation development from requirement specification to transformation codification. The proposal has been evaluated through a case study and a controlled experimen"&amp;"t. Results: The framework enables model transformation specification at a high abstraction level and (semi) automatically transforms it into models at a low abstraction level until the transformation code. The results of the case study showed that people "&amp;"with different levels of knowledge of MDD, or without experience in transformation languages, were able to develop transformations through the framework and generated executable code. Conclusions: The framework integrates the essential elements involved i"&amp;"n the development of model transformation and enables the abstraction of technological details. The results of the case study and controlled experiment showed the feasibility of the proposal and its use in dealing with the complexity involved in model tra"&amp;"nsformation development. © 2019 Elsevier B.V.")</f>
        <v>Context: In the Model Driven Development (MDD) approach, model transformations are responsible for the semi-automation of software development process converting models between different abstraction levels. The development of model transformations involves a complexity inherent to the transformation domain, in addition to the complexity of software development in general. Therefore, the construction of model transformations requires software engineering feature such as processes and languages to facilitate its development and maintenance. Objective: This paper presents a framework to develop unidirectional relational model transformation using the MDD approach itself, which integrates: (i) a software development process suitable for the model transformation domain (ii) a Domain specific language for transformation modeling (iii) a transformation chain, to (semi) automate the proposed process, and (iv) a development environment to support it. Methods: The proposal systematizes the development of model transformation, following the MDD principles. An iterative and incremental process guides transformation development from requirement specification to transformation codification. The proposal has been evaluated through a case study and a controlled experiment. Results: The framework enables model transformation specification at a high abstraction level and (semi) automatically transforms it into models at a low abstraction level until the transformation code. The results of the case study showed that people with different levels of knowledge of MDD, or without experience in transformation languages, were able to develop transformations through the framework and generated executable code. Conclusions: The framework integrates the essential elements involved in the development of model transformation and enables the abstraction of technological details. The results of the case study and controlled experiment showed the feasibility of the proposal and its use in dealing with the complexity involved in model transformation development. © 2019 Elsevier B.V.</v>
      </c>
      <c r="H552" s="8" t="str">
        <f>IFERROR(__xludf.DUMMYFUNCTION("""COMPUTED_VALUE"""),"Development process; Framework; Model to model transformation; Modeling language; Uml profile")</f>
        <v>Development process; Framework; Model to model transformation; Modeling language; Uml profile</v>
      </c>
      <c r="I552" s="9" t="b">
        <v>1</v>
      </c>
      <c r="J552" s="10" t="b">
        <v>0</v>
      </c>
      <c r="K552" s="9" t="b">
        <v>1</v>
      </c>
      <c r="L552" s="10" t="b">
        <v>0</v>
      </c>
      <c r="M552" s="10" t="b">
        <v>0</v>
      </c>
      <c r="N552" s="10" t="b">
        <v>0</v>
      </c>
      <c r="O552" s="11" t="b">
        <f t="shared" si="1"/>
        <v>0</v>
      </c>
      <c r="P552" s="16" t="b">
        <v>0</v>
      </c>
      <c r="Q552" s="7"/>
    </row>
    <row r="553">
      <c r="A553" s="5" t="b">
        <v>1</v>
      </c>
      <c r="B553" s="5" t="s">
        <v>595</v>
      </c>
      <c r="C553" s="6" t="str">
        <f>IFERROR(__xludf.DUMMYFUNCTION("""COMPUTED_VALUE"""),"10.1016/j.infsof.2016.11.011")</f>
        <v>10.1016/j.infsof.2016.11.011</v>
      </c>
      <c r="D553" s="7" t="str">
        <f>IFERROR(__xludf.DUMMYFUNCTION("""COMPUTED_VALUE"""),"Jokhio M.S.; Sun J.; Dobbie G.; Hu T.")</f>
        <v>Jokhio M.S.; Sun J.; Dobbie G.; Hu T.</v>
      </c>
      <c r="E553" s="7" t="str">
        <f>IFERROR(__xludf.DUMMYFUNCTION("""COMPUTED_VALUE"""),"Goal-based testing of semantic web services")</f>
        <v>Goal-based testing of semantic web services</v>
      </c>
      <c r="F553" s="7" t="str">
        <f>IFERROR(__xludf.DUMMYFUNCTION("""COMPUTED_VALUE"""),"IST")</f>
        <v>IST</v>
      </c>
      <c r="G553" s="7" t="str">
        <f>IFERROR(__xludf.DUMMYFUNCTION("""COMPUTED_VALUE"""),"Context: Recent years have witnessed growing interests in semantic web and its related technologies. While various frameworks have been proposed for designing semantic web services (SWS), few of them aim at testing. Objective: This paper investigates into"&amp;" the technologies for automatically deriving test cases from semantic web service descriptions based on the Web Service Modeling Ontology (WSMO) framework. Method: WSMO goal specifications were translated into B abstract machines. Test cases were generate"&amp;"d via model checking with calculated trap properties from coverage criteria. Furthermore, we employed mutation analysis to evaluate the test suite. In this approach, the model-based test case generation and code-based evaluation techniques are independent"&amp;" of each other, which provides much more accurate measures of the testing results. Results: We applied our approach to a real-world case study of the Amazon E-Commerce Service (ECS). The experimental results have validated the effectiveness of the propose"&amp;"d solution. Conclusion: It is concluded that our approach is capable of automatically generating an effective set of test cases from the WSMO goal descriptions for SWS testing. The quality of test cases was measured in terms of their abilities to discover"&amp;" the injected faults at the code level. We implemented a tool to automate the steps for the mutation-based evaluation. © 2016")</f>
        <v>Context: Recent years have witnessed growing interests in semantic web and its related technologies. While various frameworks have been proposed for designing semantic web services (SWS), few of them aim at testing. Objective: This paper investigates into the technologies for automatically deriving test cases from semantic web service descriptions based on the Web Service Modeling Ontology (WSMO) framework. Method: WSMO goal specifications were translated into B abstract machines. Test cases were generated via model checking with calculated trap properties from coverage criteria. Furthermore, we employed mutation analysis to evaluate the test suite. In this approach, the model-based test case generation and code-based evaluation techniques are independent of each other, which provides much more accurate measures of the testing results. Results: We applied our approach to a real-world case study of the Amazon E-Commerce Service (ECS). The experimental results have validated the effectiveness of the proposed solution. Conclusion: It is concluded that our approach is capable of automatically generating an effective set of test cases from the WSMO goal descriptions for SWS testing. The quality of test cases was measured in terms of their abilities to discover the injected faults at the code level. We implemented a tool to automate the steps for the mutation-based evaluation. © 2016</v>
      </c>
      <c r="H553" s="8" t="str">
        <f>IFERROR(__xludf.DUMMYFUNCTION("""COMPUTED_VALUE"""),"Formal methods; Model checking; Mutation analysis; Semantic web services; Web Service Modeling Ontology")</f>
        <v>Formal methods; Model checking; Mutation analysis; Semantic web services; Web Service Modeling Ontology</v>
      </c>
      <c r="I553" s="10" t="b">
        <v>0</v>
      </c>
      <c r="J553" s="10" t="b">
        <v>0</v>
      </c>
      <c r="K553" s="10" t="b">
        <v>0</v>
      </c>
      <c r="L553" s="10" t="b">
        <v>0</v>
      </c>
      <c r="M553" s="10" t="b">
        <v>0</v>
      </c>
      <c r="N553" s="10" t="b">
        <v>0</v>
      </c>
      <c r="O553" s="11" t="b">
        <f t="shared" si="1"/>
        <v>0</v>
      </c>
      <c r="P553" s="16" t="b">
        <v>0</v>
      </c>
      <c r="Q553" s="7"/>
    </row>
    <row r="554">
      <c r="A554" s="5" t="b">
        <v>1</v>
      </c>
      <c r="B554" s="5" t="s">
        <v>596</v>
      </c>
      <c r="C554" s="6" t="str">
        <f>IFERROR(__xludf.DUMMYFUNCTION("""COMPUTED_VALUE"""),"10.1016/j.infsof.2016.01.019")</f>
        <v>10.1016/j.infsof.2016.01.019</v>
      </c>
      <c r="D554" s="7" t="str">
        <f>IFERROR(__xludf.DUMMYFUNCTION("""COMPUTED_VALUE"""),"Arcaini P.; Gargantini A.; Riccobene E.; Vavassori P.")</f>
        <v>Arcaini P.; Gargantini A.; Riccobene E.; Vavassori P.</v>
      </c>
      <c r="E554" s="7" t="str">
        <f>IFERROR(__xludf.DUMMYFUNCTION("""COMPUTED_VALUE"""),"A novel use of equivalent mutants for static anomaly detection in software artifacts")</f>
        <v>A novel use of equivalent mutants for static anomaly detection in software artifacts</v>
      </c>
      <c r="F554" s="7" t="str">
        <f>IFERROR(__xludf.DUMMYFUNCTION("""COMPUTED_VALUE"""),"IST")</f>
        <v>IST</v>
      </c>
      <c r="G554" s="7" t="str">
        <f>IFERROR(__xludf.DUMMYFUNCTION("""COMPUTED_VALUE"""),"Context: In mutation analysis, a mutant of a software artifact, either a program or a model, is said equivalent if it leaves the artifact meaning unchanged. Equivalent mutants are usually seen as an inconvenience and they reduce the applicability of mutat"&amp;"ion analysis. Objective: Instead, we here claim that equivalent mutants can be useful to define, detect, and remove static anomalies, i.e., deficiencies of given qualities: If an equivalent mutant has a better quality value than the original artifact, the"&amp;"n an anomaly has been found and removed. Method: We present a process for detecting static anomalies based on mutation, equivalence checking, and quality measurement. Results: Our proposal and the originating technique are applicable to different kinds of"&amp;" software artifacts. We present anomalies and conduct several experiments in different contexts, at specification, design, and implementation level. Conclusion: We claim that in mutation analysis a new research direction should be followed, in which equiv"&amp;"alent mutants and operators generating them are welcome. © 2016")</f>
        <v>Context: In mutation analysis, a mutant of a software artifact, either a program or a model, is said equivalent if it leaves the artifact meaning unchanged. Equivalent mutants are usually seen as an inconvenience and they reduce the applicability of mutation analysis. Objective: Instead, we here claim that equivalent mutants can be useful to define, detect, and remove static anomalies, i.e., deficiencies of given qualities: If an equivalent mutant has a better quality value than the original artifact, then an anomaly has been found and removed. Method: We present a process for detecting static anomalies based on mutation, equivalence checking, and quality measurement. Results: Our proposal and the originating technique are applicable to different kinds of software artifacts. We present anomalies and conduct several experiments in different contexts, at specification, design, and implementation level. Conclusion: We claim that in mutation analysis a new research direction should be followed, in which equivalent mutants and operators generating them are welcome. © 2016</v>
      </c>
      <c r="H554" s="8" t="str">
        <f>IFERROR(__xludf.DUMMYFUNCTION("""COMPUTED_VALUE"""),"Equivalent mutant; Quality measure; Static anomaly")</f>
        <v>Equivalent mutant; Quality measure; Static anomaly</v>
      </c>
      <c r="I554" s="10" t="b">
        <v>0</v>
      </c>
      <c r="J554" s="10" t="b">
        <v>0</v>
      </c>
      <c r="K554" s="10" t="b">
        <v>0</v>
      </c>
      <c r="L554" s="10" t="b">
        <v>0</v>
      </c>
      <c r="M554" s="10" t="b">
        <v>0</v>
      </c>
      <c r="N554" s="10" t="b">
        <v>0</v>
      </c>
      <c r="O554" s="11" t="b">
        <f t="shared" si="1"/>
        <v>0</v>
      </c>
      <c r="P554" s="16" t="b">
        <v>0</v>
      </c>
      <c r="Q554" s="7"/>
    </row>
    <row r="555">
      <c r="A555" s="5" t="b">
        <v>1</v>
      </c>
      <c r="B555" s="5" t="s">
        <v>597</v>
      </c>
      <c r="C555" s="6" t="str">
        <f>IFERROR(__xludf.DUMMYFUNCTION("""COMPUTED_VALUE"""),"10.1016/j.infsof.2023.107370")</f>
        <v>10.1016/j.infsof.2023.107370</v>
      </c>
      <c r="D555" s="7" t="str">
        <f>IFERROR(__xludf.DUMMYFUNCTION("""COMPUTED_VALUE"""),"Petalotis C.; Krumpak L.; Floroiu M.S.; Ahmad L.F.; Athreya S.; Malavolta I.")</f>
        <v>Petalotis C.; Krumpak L.; Floroiu M.S.; Ahmad L.F.; Athreya S.; Malavolta I.</v>
      </c>
      <c r="E555" s="7" t="str">
        <f>IFERROR(__xludf.DUMMYFUNCTION("""COMPUTED_VALUE"""),"An empirical study on the performance and energy costs of ads and analytics in mobile web apps")</f>
        <v>An empirical study on the performance and energy costs of ads and analytics in mobile web apps</v>
      </c>
      <c r="F555" s="7" t="str">
        <f>IFERROR(__xludf.DUMMYFUNCTION("""COMPUTED_VALUE"""),"IST")</f>
        <v>IST</v>
      </c>
      <c r="G555" s="7" t="str">
        <f>IFERROR(__xludf.DUMMYFUNCTION("""COMPUTED_VALUE"""),"Context: As the use of mobile devices has increased immensely through the years, the presence of analytics and advertisements on web and native applications has become prevalent. However, serving ads and analytics comes with costs, as they are associated "&amp;"with additional code and network requests to execute properly. Subsequently, more computing resources are used, having an impact on the energy consumption and the performance of web applications. Previous work has focused only on native Android applicatio"&amp;"ns, has used different metrics for performance, or has focused on other aspects of web applications. Goal: This paper aims to investigate the costs of including advertisements and analytics in web applications. This is done in terms of energy consumption "&amp;"and performance. For energy, the consumption is measured in Joules. For performance, the following metrics are used: first contentful paint and full page load time. The results of this study could influence the decisions of web developers and web browser "&amp;"vendors related to ads and analytics usage, while providing the foundation for further research on this topic. Method: To collect reliable and population-representative results, the research focused on 9 popular web applications included in the Tranco lis"&amp;"t. Energy consumption and performance metrics were gathered for 3 versions of each web application — original version with ads and analytics, without ads, and without analytics. A cross-over paired comparison design is conducted. Multiple executions of ea"&amp;"ch run were performed in random order to ascertain rigorous measures. The experiment is carried out on an Android tablet using two browsers, Google Chrome and Opera. Results: Ads significantly impact the energy consumption of mobile web apps for both brow"&amp;"sers, with a large effect size; analytics have a significant impact on the energy consumption of Chrome (with a medium effect size), but not on Opera. In terms of performance, both ads and analytics do not significantly impact the first contentful paint m"&amp;"etric on both browsers; differently, both ads and analytics significantly impact the full page load time of the mobile web apps on both browsers, but with a small effect size. Conclusions: This study provides evidence that both ads and analytics can have "&amp;"a significant impact on the energy consumption and performance of mobile web apps loaded either on Opera or Chrome. Depending on the requirements of the mobile web app, it is advisable to limit both ads and analytics in a mobile web app in order to reduce"&amp;" its energy consumption and improve its full page load time. Special attention should be paid to the presence of ads since they resulted to be the most impactful in terms of energy consumption. © 2023 The Author(s)")</f>
        <v>Context: As the use of mobile devices has increased immensely through the years, the presence of analytics and advertisements on web and native applications has become prevalent. However, serving ads and analytics comes with costs, as they are associated with additional code and network requests to execute properly. Subsequently, more computing resources are used, having an impact on the energy consumption and the performance of web applications. Previous work has focused only on native Android applications, has used different metrics for performance, or has focused on other aspects of web applications. Goal: This paper aims to investigate the costs of including advertisements and analytics in web applications. This is done in terms of energy consumption and performance. For energy, the consumption is measured in Joules. For performance, the following metrics are used: first contentful paint and full page load time. The results of this study could influence the decisions of web developers and web browser vendors related to ads and analytics usage, while providing the foundation for further research on this topic. Method: To collect reliable and population-representative results, the research focused on 9 popular web applications included in the Tranco list. Energy consumption and performance metrics were gathered for 3 versions of each web application — original version with ads and analytics, without ads, and without analytics. A cross-over paired comparison design is conducted. Multiple executions of each run were performed in random order to ascertain rigorous measures. The experiment is carried out on an Android tablet using two browsers, Google Chrome and Opera. Results: Ads significantly impact the energy consumption of mobile web apps for both browsers, with a large effect size; analytics have a significant impact on the energy consumption of Chrome (with a medium effect size), but not on Opera. In terms of performance, both ads and analytics do not significantly impact the first contentful paint metric on both browsers; differently, both ads and analytics significantly impact the full page load time of the mobile web apps on both browsers, but with a small effect size. Conclusions: This study provides evidence that both ads and analytics can have a significant impact on the energy consumption and performance of mobile web apps loaded either on Opera or Chrome. Depending on the requirements of the mobile web app, it is advisable to limit both ads and analytics in a mobile web app in order to reduce its energy consumption and improve its full page load time. Special attention should be paid to the presence of ads since they resulted to be the most impactful in terms of energy consumption. © 2023 The Author(s)</v>
      </c>
      <c r="H555" s="8" t="str">
        <f>IFERROR(__xludf.DUMMYFUNCTION("""COMPUTED_VALUE"""),"Controlled experiment; Empirical study; Energy efficiency; Mobile web; Performance")</f>
        <v>Controlled experiment; Empirical study; Energy efficiency; Mobile web; Performance</v>
      </c>
      <c r="I555" s="10" t="b">
        <v>0</v>
      </c>
      <c r="J555" s="10" t="b">
        <v>0</v>
      </c>
      <c r="K555" s="10" t="b">
        <v>0</v>
      </c>
      <c r="L555" s="10" t="b">
        <v>0</v>
      </c>
      <c r="M555" s="10" t="b">
        <v>0</v>
      </c>
      <c r="N555" s="10" t="b">
        <v>0</v>
      </c>
      <c r="O555" s="11" t="b">
        <f t="shared" si="1"/>
        <v>0</v>
      </c>
      <c r="P555" s="16" t="b">
        <v>0</v>
      </c>
      <c r="Q555" s="7"/>
    </row>
    <row r="556">
      <c r="A556" s="5" t="b">
        <v>1</v>
      </c>
      <c r="B556" s="5" t="s">
        <v>598</v>
      </c>
      <c r="C556" s="6" t="str">
        <f>IFERROR(__xludf.DUMMYFUNCTION("""COMPUTED_VALUE"""),"10.1016/j.infsof.2020.106455")</f>
        <v>10.1016/j.infsof.2020.106455</v>
      </c>
      <c r="D556" s="7" t="str">
        <f>IFERROR(__xludf.DUMMYFUNCTION("""COMPUTED_VALUE"""),"Sülün E.; Tüzün E.; Doğrusöz U.")</f>
        <v>Sülün E.; Tüzün E.; Doğrusöz U.</v>
      </c>
      <c r="E556" s="7" t="str">
        <f>IFERROR(__xludf.DUMMYFUNCTION("""COMPUTED_VALUE"""),"RSTrace+: Reviewer suggestion using software artifact traceability graphs")</f>
        <v>RSTrace+: Reviewer suggestion using software artifact traceability graphs</v>
      </c>
      <c r="F556" s="7" t="str">
        <f>IFERROR(__xludf.DUMMYFUNCTION("""COMPUTED_VALUE"""),"IST")</f>
        <v>IST</v>
      </c>
      <c r="G556" s="7" t="str">
        <f>IFERROR(__xludf.DUMMYFUNCTION("""COMPUTED_VALUE"""),"Context: Various types of artifacts (requirements, source code, test cases, documents, etc.) are produced throughout the lifecycle of a software. These artifacts are connected with each other via traceability links that are stored in modern application li"&amp;"fecycle management repositories. Throughout the lifecycle of a software, various types of changes can arise in any one of these artifacts. It is important to review such changes to minimize their potential negative impacts. To make sure the review is cond"&amp;"ucted properly, the reviewer(s) should be chosen appropriately. Objective: We previously introduced a novel approach, named RSTrace, to automatically recommend reviewers that are best suited based on their familiarity with a given artifact. In this study,"&amp;" we introduce an advanced version of RSTrace, named RSTrace+ that accounts for recency information of traceability links including practical tool support for GitHub. Methods: In this study, we conducted a series of experiments on finding the appropriate c"&amp;"ode reviewer(s) using RSTrace+ and provided a comparison with the other code reviewer recommendation approaches. Results: We had initially tested RSTrace+ on an open source project (Qt 3D Studio) and achieved a top-3 accuracy of 0.89 with an MRR (mean rec"&amp;"iprocal ranking) of 0.81. In a further empirical evaluation of 40 open source projects, we compared RSTrace+ with Naive-Bayes, RevFinder and Profile based approach, and observed higher accuracies on the average. Conclusion: We confirmed that the proposed "&amp;"reviewer recommendation approach yields promising top-k and MRR scores on the average compared to the existing reviewer recommendation approaches. Unlike other code reviewer recommendation approaches, RSTrace+ is not limited to recommending reviewers for "&amp;"source code artifacts and can potentially be used for recommending reviewers for other types of artifacts. Our approach can also visualize the affected artifacts and help the developer to make assessments of the potential impacts of change to the reviewed"&amp;" artifact. © 2020 Elsevier B.V.")</f>
        <v>Context: Various types of artifacts (requirements, source code, test cases, documents, etc.) are produced throughout the lifecycle of a software. These artifacts are connected with each other via traceability links that are stored in modern application lifecycle management repositories. Throughout the lifecycle of a software, various types of changes can arise in any one of these artifacts. It is important to review such changes to minimize their potential negative impacts. To make sure the review is conducted properly, the reviewer(s) should be chosen appropriately. Objective: We previously introduced a novel approach, named RSTrace, to automatically recommend reviewers that are best suited based on their familiarity with a given artifact. In this study, we introduce an advanced version of RSTrace, named RSTrace+ that accounts for recency information of traceability links including practical tool support for GitHub. Methods: In this study, we conducted a series of experiments on finding the appropriate code reviewer(s) using RSTrace+ and provided a comparison with the other code reviewer recommendation approaches. Results: We had initially tested RSTrace+ on an open source project (Qt 3D Studio) and achieved a top-3 accuracy of 0.89 with an MRR (mean reciprocal ranking) of 0.81. In a further empirical evaluation of 40 open source projects, we compared RSTrace+ with Naive-Bayes, RevFinder and Profile based approach, and observed higher accuracies on the average. Conclusion: We confirmed that the proposed reviewer recommendation approach yields promising top-k and MRR scores on the average compared to the existing reviewer recommendation approaches. Unlike other code reviewer recommendation approaches, RSTrace+ is not limited to recommending reviewers for source code artifacts and can potentially be used for recommending reviewers for other types of artifacts. Our approach can also visualize the affected artifacts and help the developer to make assessments of the potential impacts of change to the reviewed artifact. © 2020 Elsevier B.V.</v>
      </c>
      <c r="H556" s="8" t="str">
        <f>IFERROR(__xludf.DUMMYFUNCTION("""COMPUTED_VALUE"""),"Graph mining; Modern code review; Pull-request review; Reviewer recommendation; Software traceability; Suggesting reviewers")</f>
        <v>Graph mining; Modern code review; Pull-request review; Reviewer recommendation; Software traceability; Suggesting reviewers</v>
      </c>
      <c r="I556" s="10" t="b">
        <v>0</v>
      </c>
      <c r="J556" s="10" t="b">
        <v>0</v>
      </c>
      <c r="K556" s="10" t="b">
        <v>0</v>
      </c>
      <c r="L556" s="10" t="b">
        <v>0</v>
      </c>
      <c r="M556" s="10" t="b">
        <v>0</v>
      </c>
      <c r="N556" s="10" t="b">
        <v>0</v>
      </c>
      <c r="O556" s="11" t="b">
        <f t="shared" si="1"/>
        <v>0</v>
      </c>
      <c r="P556" s="16" t="b">
        <v>0</v>
      </c>
      <c r="Q556" s="7"/>
    </row>
    <row r="557">
      <c r="A557" s="5" t="b">
        <v>1</v>
      </c>
      <c r="B557" s="5" t="s">
        <v>599</v>
      </c>
      <c r="C557" s="6" t="str">
        <f>IFERROR(__xludf.DUMMYFUNCTION("""COMPUTED_VALUE"""),"10.1016/j.infsof.2017.07.002")</f>
        <v>10.1016/j.infsof.2017.07.002</v>
      </c>
      <c r="D557" s="7" t="str">
        <f>IFERROR(__xludf.DUMMYFUNCTION("""COMPUTED_VALUE"""),"Laghouaouta Y.; Anwar A.; Nassar M.; Coulette B.")</f>
        <v>Laghouaouta Y.; Anwar A.; Nassar M.; Coulette B.</v>
      </c>
      <c r="E557" s="7" t="str">
        <f>IFERROR(__xludf.DUMMYFUNCTION("""COMPUTED_VALUE"""),"A dedicated approach for model composition traceability")</f>
        <v>A dedicated approach for model composition traceability</v>
      </c>
      <c r="F557" s="7" t="str">
        <f>IFERROR(__xludf.DUMMYFUNCTION("""COMPUTED_VALUE"""),"IST")</f>
        <v>IST</v>
      </c>
      <c r="G557" s="7" t="str">
        <f>IFERROR(__xludf.DUMMYFUNCTION("""COMPUTED_VALUE"""),"Context: Software systems are often too complex to be expressed by a single model. Recognizing this, the Model Driven Engineering (MDE) proposes multi-modeling approaches to allow developers to describe a system from different perspectives. In this contex"&amp;"t, model composition has become important since the combination of those partial representations is inevitable. Nevertheless, no approach has been defined for keeping track of the composition effects, and this operation has been overshadowed by model tran"&amp;"sformations. Objective This paper presents a traceability approach dedicated to the composition of models. Two aspects of quality are considered: producing relevant traces; and dealing with scalability. Method The composition of softgoal trees has been se"&amp;"lected to motivate the need for tracing the composition of models and to illustrate our approach. The base principle is to augment the specification of the composition with the behavior needed to generate the expected composed model accompanied with a tra"&amp;"ce model. This latter includes traces of the execution details. For that, traceability is considered as a crosscutting concern and encapsulated in an aspect. As part of the proposal, an Eclipse plug-in has been implemented as a tool support. Besides, a co"&amp;"mparative experiment has been conducted to assess the traces relevance. We also used the regression method to validate the scalability of the tool support. Results Our experiments show that the proposed approach allows generating relevant traces. In addit"&amp;"ion, the obtained results reveal that tracing a growing number of elements causes an acceptable increase of response time. Conclusion This paper presents a traceability approach dedicated to the composition of models and its application to softgoal trees."&amp;" The experiment results reveal that our proposal considers the composition specificities for producing valuable traceability information while supporting scalability. © 2017 Elsevier B.V.")</f>
        <v>Context: Software systems are often too complex to be expressed by a single model. Recognizing this, the Model Driven Engineering (MDE) proposes multi-modeling approaches to allow developers to describe a system from different perspectives. In this context, model composition has become important since the combination of those partial representations is inevitable. Nevertheless, no approach has been defined for keeping track of the composition effects, and this operation has been overshadowed by model transformations. Objective This paper presents a traceability approach dedicated to the composition of models. Two aspects of quality are considered: producing relevant traces; and dealing with scalability. Method The composition of softgoal trees has been selected to motivate the need for tracing the composition of models and to illustrate our approach. The base principle is to augment the specification of the composition with the behavior needed to generate the expected composed model accompanied with a trace model. This latter includes traces of the execution details. For that, traceability is considered as a crosscutting concern and encapsulated in an aspect. As part of the proposal, an Eclipse plug-in has been implemented as a tool support. Besides, a comparative experiment has been conducted to assess the traces relevance. We also used the regression method to validate the scalability of the tool support. Results Our experiments show that the proposed approach allows generating relevant traces. In addition, the obtained results reveal that tracing a growing number of elements causes an acceptable increase of response time. Conclusion This paper presents a traceability approach dedicated to the composition of models and its application to softgoal trees. The experiment results reveal that our proposal considers the composition specificities for producing valuable traceability information while supporting scalability. © 2017 Elsevier B.V.</v>
      </c>
      <c r="H557" s="8" t="str">
        <f>IFERROR(__xludf.DUMMYFUNCTION("""COMPUTED_VALUE"""),"Aspect-oriented modeling; Graph transformations; Model composition; Model traceability; NFR framework")</f>
        <v>Aspect-oriented modeling; Graph transformations; Model composition; Model traceability; NFR framework</v>
      </c>
      <c r="I557" s="10" t="b">
        <v>0</v>
      </c>
      <c r="J557" s="10" t="b">
        <v>0</v>
      </c>
      <c r="K557" s="10" t="b">
        <v>0</v>
      </c>
      <c r="L557" s="10" t="b">
        <v>0</v>
      </c>
      <c r="M557" s="10" t="b">
        <v>0</v>
      </c>
      <c r="N557" s="10" t="b">
        <v>0</v>
      </c>
      <c r="O557" s="11" t="b">
        <f t="shared" si="1"/>
        <v>0</v>
      </c>
      <c r="P557" s="16" t="b">
        <v>0</v>
      </c>
      <c r="Q557" s="7"/>
    </row>
    <row r="558">
      <c r="A558" s="5" t="b">
        <v>1</v>
      </c>
      <c r="B558" s="5" t="s">
        <v>600</v>
      </c>
      <c r="C558" s="6" t="str">
        <f>IFERROR(__xludf.DUMMYFUNCTION("""COMPUTED_VALUE"""),"10.1016/j.infsof.2021.106592")</f>
        <v>10.1016/j.infsof.2021.106592</v>
      </c>
      <c r="D558" s="7" t="str">
        <f>IFERROR(__xludf.DUMMYFUNCTION("""COMPUTED_VALUE"""),"Lavalle A.; Maté A.; Trujillo J.; Teruel M.A.; Rizzi S.")</f>
        <v>Lavalle A.; Maté A.; Trujillo J.; Teruel M.A.; Rizzi S.</v>
      </c>
      <c r="E558" s="7" t="str">
        <f>IFERROR(__xludf.DUMMYFUNCTION("""COMPUTED_VALUE"""),"A methodology to automatically translate user requirements into visualizations: Experimental validation")</f>
        <v>A methodology to automatically translate user requirements into visualizations: Experimental validation</v>
      </c>
      <c r="F558" s="7" t="str">
        <f>IFERROR(__xludf.DUMMYFUNCTION("""COMPUTED_VALUE"""),"IST")</f>
        <v>IST</v>
      </c>
      <c r="G558" s="7" t="str">
        <f>IFERROR(__xludf.DUMMYFUNCTION("""COMPUTED_VALUE"""),"Context: Information visualization is paramount for the analysis of Big Data. The volume of data requiring interpretation is continuously growing. However, users are usually not experts in information visualization. Thus, defining the visualization that b"&amp;"est suits a determined context is a very challenging task for them. Moreover, it is often the case that users do not have a clear idea of what objectives they are building the visualizations for. Consequently, it is possible that graphics are misinterpret"&amp;"ed, making wrong decisions that lead to missed opportunities. One of the underlying problems in this process is the lack of methodologies and tools that non-expert users in visualizations can use to define their objectives and visualizations. Objective: T"&amp;"he main objectives of this paper are to (i) enable non-expert users in data visualization to communicate their analytical needs with little effort, (ii) generate the visualizations that best fit their requirements, and (iii) evaluate the impact of our pro"&amp;"posal with reference to a case study, describing an experiment with 97 non-expert users in data visualization. Methods: We propose a methodology that collects user requirements and semi-automatically creates suitable visualizations. Our proposal covers th"&amp;"e whole process, from the definition of requirements to the implementation of visualizations. The methodology has been tested with several groups to measure its effectiveness and perceived usefulness. Results: The experiments increase our confidence about"&amp;" the utility of our methodology. It significantly improves over the case when users face the same problem manually. Specifically: (i) users are allowed to cover more analytical questions, (ii) the visualizations produced are more effective, and (iii) the "&amp;"overall satisfaction of the users is larger. Conclusion: By following our proposal, non-expert users will be able to more effectively express their analytical needs and obtain the set of visualizations that best suits their goals. © 2021")</f>
        <v>Context: Information visualization is paramount for the analysis of Big Data. The volume of data requiring interpretation is continuously growing. However, users are usually not experts in information visualization. Thus, defining the visualization that best suits a determined context is a very challenging task for them. Moreover, it is often the case that users do not have a clear idea of what objectives they are building the visualizations for. Consequently, it is possible that graphics are misinterpreted, making wrong decisions that lead to missed opportunities. One of the underlying problems in this process is the lack of methodologies and tools that non-expert users in visualizations can use to define their objectives and visualizations. Objective: The main objectives of this paper are to (i) enable non-expert users in data visualization to communicate their analytical needs with little effort, (ii) generate the visualizations that best fit their requirements, and (iii) evaluate the impact of our proposal with reference to a case study, describing an experiment with 97 non-expert users in data visualization. Methods: We propose a methodology that collects user requirements and semi-automatically creates suitable visualizations. Our proposal covers the whole process, from the definition of requirements to the implementation of visualizations. The methodology has been tested with several groups to measure its effectiveness and perceived usefulness. Results: The experiments increase our confidence about the utility of our methodology. It significantly improves over the case when users face the same problem manually. Specifically: (i) users are allowed to cover more analytical questions, (ii) the visualizations produced are more effective, and (iii) the overall satisfaction of the users is larger. Conclusion: By following our proposal, non-expert users will be able to more effectively express their analytical needs and obtain the set of visualizations that best suits their goals. © 2021</v>
      </c>
      <c r="H558" s="8" t="str">
        <f>IFERROR(__xludf.DUMMYFUNCTION("""COMPUTED_VALUE"""),"Big data analytics; Data visualization; Experimental validation; Model-driven development; Requirements engineering")</f>
        <v>Big data analytics; Data visualization; Experimental validation; Model-driven development; Requirements engineering</v>
      </c>
      <c r="I558" s="9" t="b">
        <v>1</v>
      </c>
      <c r="J558" s="10" t="b">
        <v>0</v>
      </c>
      <c r="K558" s="9" t="b">
        <v>1</v>
      </c>
      <c r="L558" s="10" t="b">
        <v>0</v>
      </c>
      <c r="M558" s="10" t="b">
        <v>0</v>
      </c>
      <c r="N558" s="10" t="b">
        <v>0</v>
      </c>
      <c r="O558" s="11" t="b">
        <f t="shared" si="1"/>
        <v>0</v>
      </c>
      <c r="P558" s="16" t="b">
        <v>0</v>
      </c>
      <c r="Q558" s="7"/>
    </row>
    <row r="559">
      <c r="A559" s="5" t="b">
        <v>1</v>
      </c>
      <c r="B559" s="5" t="s">
        <v>601</v>
      </c>
      <c r="C559" s="6" t="str">
        <f>IFERROR(__xludf.DUMMYFUNCTION("""COMPUTED_VALUE"""),"10.1016/j.infsof.2016.11.008")</f>
        <v>10.1016/j.infsof.2016.11.008</v>
      </c>
      <c r="D559" s="7" t="str">
        <f>IFERROR(__xludf.DUMMYFUNCTION("""COMPUTED_VALUE"""),"De Sanctis M.; Trubiani C.; Cortellessa V.; Di Marco A.; Flamminj M.")</f>
        <v>De Sanctis M.; Trubiani C.; Cortellessa V.; Di Marco A.; Flamminj M.</v>
      </c>
      <c r="E559" s="7" t="str">
        <f>IFERROR(__xludf.DUMMYFUNCTION("""COMPUTED_VALUE"""),"A model-driven approach to catch performance antipatterns in ADL specifications")</f>
        <v>A model-driven approach to catch performance antipatterns in ADL specifications</v>
      </c>
      <c r="F559" s="7" t="str">
        <f>IFERROR(__xludf.DUMMYFUNCTION("""COMPUTED_VALUE"""),"IST")</f>
        <v>IST</v>
      </c>
      <c r="G559" s="7" t="str">
        <f>IFERROR(__xludf.DUMMYFUNCTION("""COMPUTED_VALUE"""),"Context: While the performance analysis of a software architecture is a quite well-assessed task nowadays, the issue of interpreting the performance results for providing feedback to software architects is still very critical. Performance antipatterns rep"&amp;"resent effective instruments to tackle this issue, because they document common mistakes leading to performance problems as well as their solutions. Objective: Up today performance antipatterns have been only studied in the context of software modeling la"&amp;"nguages like UML, whereas in this manuscript our objective is to catch them in the context of ADL-based software architectures to investigate their effectiveness. Method: We have implemented a model-driven approach that allows the automatic detection of f"&amp;"our performance antipatterns in Æmilia, that is a stochastic process algebraic ADL for performance-aware component-oriented modeling of software systems. Results: We evaluate the approach by applying it to three case studies in different application domai"&amp;"ns. Experimental results demonstrate the effectiveness of our approach to support the performance improvement of ADL-based software architectures. Conclusion: We can conclude that the detection of performance antipatterns, from the earliest stages of soft"&amp;"ware development, represents an effective instrument to tackle the issue of identifying flaws and improving system performance. © 2016")</f>
        <v>Context: While the performance analysis of a software architecture is a quite well-assessed task nowadays, the issue of interpreting the performance results for providing feedback to software architects is still very critical. Performance antipatterns represent effective instruments to tackle this issue, because they document common mistakes leading to performance problems as well as their solutions. Objective: Up today performance antipatterns have been only studied in the context of software modeling languages like UML, whereas in this manuscript our objective is to catch them in the context of ADL-based software architectures to investigate their effectiveness. Method: We have implemented a model-driven approach that allows the automatic detection of four performance antipatterns in Æmilia, that is a stochastic process algebraic ADL for performance-aware component-oriented modeling of software systems. Results: We evaluate the approach by applying it to three case studies in different application domains. Experimental results demonstrate the effectiveness of our approach to support the performance improvement of ADL-based software architectures. Conclusion: We can conclude that the detection of performance antipatterns, from the earliest stages of software development, represents an effective instrument to tackle the issue of identifying flaws and improving system performance. © 2016</v>
      </c>
      <c r="H559" s="8" t="str">
        <f>IFERROR(__xludf.DUMMYFUNCTION("""COMPUTED_VALUE"""),"Architecture description languages; Model-driven engineering; Performance antipatterns; Software performance analysis; Æmilia ADL")</f>
        <v>Architecture description languages; Model-driven engineering; Performance antipatterns; Software performance analysis; Æmilia ADL</v>
      </c>
      <c r="I559" s="10" t="b">
        <v>0</v>
      </c>
      <c r="J559" s="10" t="b">
        <v>0</v>
      </c>
      <c r="K559" s="10" t="b">
        <v>0</v>
      </c>
      <c r="L559" s="10" t="b">
        <v>0</v>
      </c>
      <c r="M559" s="10" t="b">
        <v>0</v>
      </c>
      <c r="N559" s="10" t="b">
        <v>0</v>
      </c>
      <c r="O559" s="11" t="b">
        <f t="shared" si="1"/>
        <v>0</v>
      </c>
      <c r="P559" s="16" t="b">
        <v>0</v>
      </c>
      <c r="Q559" s="7"/>
    </row>
    <row r="560">
      <c r="A560" s="5" t="b">
        <v>1</v>
      </c>
      <c r="B560" s="5" t="s">
        <v>602</v>
      </c>
      <c r="C560" s="6" t="str">
        <f>IFERROR(__xludf.DUMMYFUNCTION("""COMPUTED_VALUE"""),"10.1016/j.infsof.2015.11.006")</f>
        <v>10.1016/j.infsof.2015.11.006</v>
      </c>
      <c r="D560" s="7" t="str">
        <f>IFERROR(__xludf.DUMMYFUNCTION("""COMPUTED_VALUE"""),"Misra J.")</f>
        <v>Misra J.</v>
      </c>
      <c r="E560" s="7" t="str">
        <f>IFERROR(__xludf.DUMMYFUNCTION("""COMPUTED_VALUE"""),"Terminological inconsistency analysis of natural language requirements")</f>
        <v>Terminological inconsistency analysis of natural language requirements</v>
      </c>
      <c r="F560" s="7" t="str">
        <f>IFERROR(__xludf.DUMMYFUNCTION("""COMPUTED_VALUE"""),"IST")</f>
        <v>IST</v>
      </c>
      <c r="G560" s="7" t="str">
        <f>IFERROR(__xludf.DUMMYFUNCTION("""COMPUTED_VALUE"""),"Context: Terminological inconsistencies owing to errors in usage of terms in requirements specifications could result into subtle yet critical problems in interpreting and applying these specifications into various phases of SDLC. Objective: In this paper"&amp;", we consider special class of terminological inconsistencies arising from term-aliasing, wherein multiple terms spread across a corpus of natural language text requirements may be referring to the same entity. Identification of such alias entity-terms is"&amp;" a difficult problem for manual analysis as well as for developing tool support. Method: We consider the case of syntactic as well as semantic aliasing and propose a systematic approach for identifying these. Identification of syntactic aliasing involves "&amp;"automated generation of patterns for identifying syntactic variances of terms including abbreviations and introduced-aliases. Identification of semantic aliasing involves extracting multidimensional features (linguistic, statistical, and locational) from "&amp;"given requirement text to estimate semantic relatedness among terms. Based upon the estimated relatedness and standard language database based refinement, clusters of potential semantic aliases are generated. Results of these analyses with user refinement"&amp;" lead to generation of entity-term alias glossary and unification of term usage across requirements. Results: A prototype tool was developed to assess the effectiveness of the proposed approach for an automated analysis of term-aliasing in the requirement"&amp;"s given as plain English language text. Experimental results suggest that approach is effective in identifying syntactic as well as semantic aliases, however, when aiming for higher recall on larger corpus, user selection is necessary to eliminate false p"&amp;"ositives. Conclusion: This proposed approach reduces the time-consuming and error-prone task of identifying multiple terms which might be referring to the same entity to a process of tool assisted identification of such term-aliases. © 2015 Elsevier B.V. "&amp;"All rights reserved.")</f>
        <v>Context: Terminological inconsistencies owing to errors in usage of terms in requirements specifications could result into subtle yet critical problems in interpreting and applying these specifications into various phases of SDLC. Objective: In this paper, we consider special class of terminological inconsistencies arising from term-aliasing, wherein multiple terms spread across a corpus of natural language text requirements may be referring to the same entity. Identification of such alias entity-terms is a difficult problem for manual analysis as well as for developing tool support. Method: We consider the case of syntactic as well as semantic aliasing and propose a systematic approach for identifying these. Identification of syntactic aliasing involves automated generation of patterns for identifying syntactic variances of terms including abbreviations and introduced-aliases. Identification of semantic aliasing involves extracting multidimensional features (linguistic, statistical, and locational) from given requirement text to estimate semantic relatedness among terms. Based upon the estimated relatedness and standard language database based refinement, clusters of potential semantic aliases are generated. Results of these analyses with user refinement lead to generation of entity-term alias glossary and unification of term usage across requirements. Results: A prototype tool was developed to assess the effectiveness of the proposed approach for an automated analysis of term-aliasing in the requirements given as plain English language text. Experimental results suggest that approach is effective in identifying syntactic as well as semantic aliases, however, when aiming for higher recall on larger corpus, user selection is necessary to eliminate false positives. Conclusion: This proposed approach reduces the time-consuming and error-prone task of identifying multiple terms which might be referring to the same entity to a process of tool assisted identification of such term-aliases. © 2015 Elsevier B.V. All rights reserved.</v>
      </c>
      <c r="H560" s="8" t="str">
        <f>IFERROR(__xludf.DUMMYFUNCTION("""COMPUTED_VALUE"""),"Alias identification; Entity disambiguation; Latent semantic analysis; Requirements analysis; Requirements management; Terminological inconsistency analysis")</f>
        <v>Alias identification; Entity disambiguation; Latent semantic analysis; Requirements analysis; Requirements management; Terminological inconsistency analysis</v>
      </c>
      <c r="I560" s="10" t="b">
        <v>0</v>
      </c>
      <c r="J560" s="10" t="b">
        <v>0</v>
      </c>
      <c r="K560" s="10" t="b">
        <v>0</v>
      </c>
      <c r="L560" s="10" t="b">
        <v>0</v>
      </c>
      <c r="M560" s="10" t="b">
        <v>0</v>
      </c>
      <c r="N560" s="10" t="b">
        <v>0</v>
      </c>
      <c r="O560" s="11" t="b">
        <f t="shared" si="1"/>
        <v>0</v>
      </c>
      <c r="P560" s="16" t="b">
        <v>0</v>
      </c>
      <c r="Q560" s="7"/>
    </row>
    <row r="561">
      <c r="A561" s="5" t="b">
        <v>1</v>
      </c>
      <c r="B561" s="5" t="s">
        <v>603</v>
      </c>
      <c r="C561" s="6" t="str">
        <f>IFERROR(__xludf.DUMMYFUNCTION("""COMPUTED_VALUE"""),"10.1016/j.infsof.2018.05.002")</f>
        <v>10.1016/j.infsof.2018.05.002</v>
      </c>
      <c r="D561" s="7" t="str">
        <f>IFERROR(__xludf.DUMMYFUNCTION("""COMPUTED_VALUE"""),"Kallel S.; Tibermacine C.; Kallel S.; Kacem A.H.; Dony C.")</f>
        <v>Kallel S.; Tibermacine C.; Kallel S.; Kacem A.H.; Dony C.</v>
      </c>
      <c r="E561" s="7" t="str">
        <f>IFERROR(__xludf.DUMMYFUNCTION("""COMPUTED_VALUE"""),"Specification and automatic checking of architecture constraints on object oriented programs")</f>
        <v>Specification and automatic checking of architecture constraints on object oriented programs</v>
      </c>
      <c r="F561" s="7" t="str">
        <f>IFERROR(__xludf.DUMMYFUNCTION("""COMPUTED_VALUE"""),"IST")</f>
        <v>IST</v>
      </c>
      <c r="G561" s="7" t="str">
        <f>IFERROR(__xludf.DUMMYFUNCTION("""COMPUTED_VALUE"""),"Context: Architecture constraints are specifications of conditions to which an architecture model must adhere in order to satisfy an architecture decision imposed by a given design principle. These constraints can be specified with predicate languages lik"&amp;"e OCL at design time and checked on design artifacts. Objective: Many works in the literature studied the importance of checking these constraints to guarantee quality on design models, and to prevent technical debt and maintenance difficulties. In this p"&amp;"aper, we propose a process whose ultimate goal is to enable the checking of these constraints in the implementation stage. Method: The proposed process takes as input a textual specification of an architecture constraint specified at design stage. It tran"&amp;"slates this specification into meta-programs and then it uses them with aspect-oriented programming to check constraints at the implementation stage and at run-time on object-oriented programs. Results: We experimented an implementation of this process on"&amp;" a set of 12 architecture constraints. The results of this experimentation showed that our process is able to statically and dynamically detect architecture constraint violations on toy object-oriented applications, but also on real-world ones. Conclusion"&amp;": The automatic checking of architecture constraints is important at source code level and at runtime. It avoids the disappearance of architecture decision knowledge in implementation artifacts, and facilitates later their maintenance. © 2018")</f>
        <v>Context: Architecture constraints are specifications of conditions to which an architecture model must adhere in order to satisfy an architecture decision imposed by a given design principle. These constraints can be specified with predicate languages like OCL at design time and checked on design artifacts. Objective: Many works in the literature studied the importance of checking these constraints to guarantee quality on design models, and to prevent technical debt and maintenance difficulties. In this paper, we propose a process whose ultimate goal is to enable the checking of these constraints in the implementation stage. Method: The proposed process takes as input a textual specification of an architecture constraint specified at design stage. It translates this specification into meta-programs and then it uses them with aspect-oriented programming to check constraints at the implementation stage and at run-time on object-oriented programs. Results: We experimented an implementation of this process on a set of 12 architecture constraints. The results of this experimentation showed that our process is able to statically and dynamically detect architecture constraint violations on toy object-oriented applications, but also on real-world ones. Conclusion: The automatic checking of architecture constraints is important at source code level and at runtime. It avoids the disappearance of architecture decision knowledge in implementation artifacts, and facilitates later their maintenance. © 2018</v>
      </c>
      <c r="H561" s="8" t="str">
        <f>IFERROR(__xludf.DUMMYFUNCTION("""COMPUTED_VALUE"""),"AOP; Architecture constraint; Aspectj; Java reflect; Meta-program; Object constraint language")</f>
        <v>AOP; Architecture constraint; Aspectj; Java reflect; Meta-program; Object constraint language</v>
      </c>
      <c r="I561" s="10" t="b">
        <v>0</v>
      </c>
      <c r="J561" s="10" t="b">
        <v>0</v>
      </c>
      <c r="K561" s="10" t="b">
        <v>0</v>
      </c>
      <c r="L561" s="10" t="b">
        <v>0</v>
      </c>
      <c r="M561" s="10" t="b">
        <v>0</v>
      </c>
      <c r="N561" s="10" t="b">
        <v>0</v>
      </c>
      <c r="O561" s="11" t="b">
        <f t="shared" si="1"/>
        <v>0</v>
      </c>
      <c r="P561" s="16" t="b">
        <v>0</v>
      </c>
      <c r="Q561" s="7"/>
    </row>
    <row r="562">
      <c r="A562" s="5" t="b">
        <v>1</v>
      </c>
      <c r="B562" s="5" t="s">
        <v>604</v>
      </c>
      <c r="C562" s="6" t="str">
        <f>IFERROR(__xludf.DUMMYFUNCTION("""COMPUTED_VALUE"""),"10.1016/j.infsof.2023.107202")</f>
        <v>10.1016/j.infsof.2023.107202</v>
      </c>
      <c r="D562" s="7" t="str">
        <f>IFERROR(__xludf.DUMMYFUNCTION("""COMPUTED_VALUE"""),"Alhoshan W.; Ferrari A.; Zhao L.")</f>
        <v>Alhoshan W.; Ferrari A.; Zhao L.</v>
      </c>
      <c r="E562" s="7" t="str">
        <f>IFERROR(__xludf.DUMMYFUNCTION("""COMPUTED_VALUE"""),"Zero-shot learning for requirements classification: An exploratory study")</f>
        <v>Zero-shot learning for requirements classification: An exploratory study</v>
      </c>
      <c r="F562" s="7" t="str">
        <f>IFERROR(__xludf.DUMMYFUNCTION("""COMPUTED_VALUE"""),"IST")</f>
        <v>IST</v>
      </c>
      <c r="G562" s="7" t="str">
        <f>IFERROR(__xludf.DUMMYFUNCTION("""COMPUTED_VALUE"""),"Context: Requirements engineering (RE) researchers have been experimenting with machine learning (ML) and deep learning (DL) approaches for a range of RE tasks, such as requirements classification, requirements tracing, ambiguity detection, and modelling."&amp;" However, most of today's ML/DL approaches are based on supervised learning techniques, meaning that they need to be trained using a large amount of task-specific labelled training data. This constraint poses an enormous challenge to RE researchers, as th"&amp;"e lack of labelled data makes it difficult for them to fully exploit the benefit of advanced ML/DL technologies. Objective: This paper addresses this problem by showing how a zero-shot learning (ZSL) approach can be used for requirements classification wi"&amp;"thout using any labelled training data. We focus on the classification task because many RE tasks can be framed as classification problems. Methods: The ZSL approach used in our study employs contextual word-embeddings and transformer-based language model"&amp;"s (LMs). We demonstrate this approach through a series of experiments to perform three classification tasks: (1) FR/NFR — classification functional requirements vs non-functional requirements; (2) NFR — identification of NFR classes; (3) Security — classi"&amp;"fication of security vs non-security requirements. Results: The study shows that the ZSL approach achieves an F1 score of 0.66 for the FR/NFR task. For the NFR task, the approach yields F1∼0.72−0.80, considering the most frequent classes. For the Security"&amp;" task, F1 ∼0.66. All of the aforementioned F1 scores are achieved with zero-training efforts. Conclusion: This study demonstrates the potential of ZSL for requirements classification. An important implication is that it is possible to have very little or "&amp;"no training data to perform classification tasks. The proposed approach thus contributes to the solution of the long-standing problem of data shortage in RE. © 2023 The Author(s)")</f>
        <v>Context: Requirements engineering (RE) researchers have been experimenting with machine learning (ML) and deep learning (DL) approaches for a range of RE tasks, such as requirements classification, requirements tracing, ambiguity detection, and modelling. However, most of today's ML/DL approaches are based on supervised learning techniques, meaning that they need to be trained using a large amount of task-specific labelled training data. This constraint poses an enormous challenge to RE researchers, as the lack of labelled data makes it difficult for them to fully exploit the benefit of advanced ML/DL technologies. Objective: This paper addresses this problem by showing how a zero-shot learning (ZSL) approach can be used for requirements classification without using any labelled training data. We focus on the classification task because many RE tasks can be framed as classification problems. Methods: The ZSL approach used in our study employs contextual word-embeddings and transformer-based language models (LMs). We demonstrate this approach through a series of experiments to perform three classification tasks: (1) FR/NFR — classification functional requirements vs non-functional requirements; (2) NFR — identification of NFR classes; (3) Security — classification of security vs non-security requirements. Results: The study shows that the ZSL approach achieves an F1 score of 0.66 for the FR/NFR task. For the NFR task, the approach yields F1∼0.72−0.80, considering the most frequent classes. For the Security task, F1 ∼0.66. All of the aforementioned F1 scores are achieved with zero-training efforts. Conclusion: This study demonstrates the potential of ZSL for requirements classification. An important implication is that it is possible to have very little or no training data to perform classification tasks. The proposed approach thus contributes to the solution of the long-standing problem of data shortage in RE. © 2023 The Author(s)</v>
      </c>
      <c r="H562" s="8" t="str">
        <f>IFERROR(__xludf.DUMMYFUNCTION("""COMPUTED_VALUE"""),"AI for requirements engineering; AI for software engineering; Contextual word-embeddings; Deep learning; Language models; Multi-label classification; Requirements classification; Requirements engineering; Transfer learning; Unsupervised learning; Zero-sho"&amp;"t learning; Zero-shot text classification")</f>
        <v>AI for requirements engineering; AI for software engineering; Contextual word-embeddings; Deep learning; Language models; Multi-label classification; Requirements classification; Requirements engineering; Transfer learning; Unsupervised learning; Zero-shot learning; Zero-shot text classification</v>
      </c>
      <c r="I562" s="10" t="b">
        <v>0</v>
      </c>
      <c r="J562" s="10" t="b">
        <v>0</v>
      </c>
      <c r="K562" s="10" t="b">
        <v>0</v>
      </c>
      <c r="L562" s="10" t="b">
        <v>0</v>
      </c>
      <c r="M562" s="10" t="b">
        <v>0</v>
      </c>
      <c r="N562" s="10" t="b">
        <v>0</v>
      </c>
      <c r="O562" s="11" t="b">
        <f t="shared" si="1"/>
        <v>0</v>
      </c>
      <c r="P562" s="16" t="b">
        <v>0</v>
      </c>
      <c r="Q562" s="7"/>
    </row>
    <row r="563">
      <c r="A563" s="5" t="b">
        <v>1</v>
      </c>
      <c r="B563" s="5" t="s">
        <v>605</v>
      </c>
      <c r="C563" s="6" t="str">
        <f>IFERROR(__xludf.DUMMYFUNCTION("""COMPUTED_VALUE"""),"10.1016/j.infsof.2014.04.009")</f>
        <v>10.1016/j.infsof.2014.04.009</v>
      </c>
      <c r="D563" s="7" t="str">
        <f>IFERROR(__xludf.DUMMYFUNCTION("""COMPUTED_VALUE"""),"Del Bianco V.; Lavazza L.; Liu G.; Morasca S.; Abualkishik A.Z.")</f>
        <v>Del Bianco V.; Lavazza L.; Liu G.; Morasca S.; Abualkishik A.Z.</v>
      </c>
      <c r="E563" s="7" t="str">
        <f>IFERROR(__xludf.DUMMYFUNCTION("""COMPUTED_VALUE"""),"Model-based early and rapid estimation of COSMIC functional size - An experimental evaluation")</f>
        <v>Model-based early and rapid estimation of COSMIC functional size - An experimental evaluation</v>
      </c>
      <c r="F563" s="7" t="str">
        <f>IFERROR(__xludf.DUMMYFUNCTION("""COMPUTED_VALUE"""),"IST")</f>
        <v>IST</v>
      </c>
      <c r="G563" s="7" t="str">
        <f>IFERROR(__xludf.DUMMYFUNCTION("""COMPUTED_VALUE"""),"Context Functional size measurement methods are widely used but have two major shortcomings: they require a complete and detailed knowledge of user requirements, and they involve relatively expensive and lengthy processes. Objective UML is routinely used "&amp;"in the software industry to effectively describe software requirements in an incremental way, so UML models grow in detail and completeness through the requirements analysis phase. Here, we aim at defining the characteristics of increasingly more refined "&amp;"UML requirements models that support increasingly more sophisticated - hence presumably more accurate - size estimation processes. Method We consider the COSMIC method and three alternative processes (two of which are proposed in this paper) to estimate C"&amp;"OSMIC size measures that can be applied to UML diagrams at progressive stages of the requirements definition phase. Then, we check the accuracy of the estimates by comparing the results obtained on a set of projects to the functional size values obtained "&amp;"with the standard COSMIC method. Results Our analysis shows that it is possible to write increasingly more detailed and complete UML models of user requirements that provide the data required by COSMIC size estimation methods, which in turn yield increasi"&amp;"ngly more accurate size measure estimates of the modeled software. Initial estimates are based on simple models and are obtained quickly and with little effort. The estimates increase their accuracy as models grow in completeness and detail, i.e., as the "&amp;"requirements definition phase progresses. Conclusion Developers that use UML for requirements modeling can obtain an early estimation of the application size at the beginning of the development process, when only a very simple UML model has been built for"&amp;" the application, and can obtain increasingly more accurate size estimates while the knowledge of the product increases and UML models are refined accordingly. © 2014 Elsevier B.V. All rights reserved.")</f>
        <v>Context Functional size measurement methods are widely used but have two major shortcomings: they require a complete and detailed knowledge of user requirements, and they involve relatively expensive and lengthy processes. Objective UML is routinely used in the software industry to effectively describe software requirements in an incremental way, so UML models grow in detail and completeness through the requirements analysis phase. Here, we aim at defining the characteristics of increasingly more refined UML requirements models that support increasingly more sophisticated - hence presumably more accurate - size estimation processes. Method We consider the COSMIC method and three alternative processes (two of which are proposed in this paper) to estimate COSMIC size measures that can be applied to UML diagrams at progressive stages of the requirements definition phase. Then, we check the accuracy of the estimates by comparing the results obtained on a set of projects to the functional size values obtained with the standard COSMIC method. Results Our analysis shows that it is possible to write increasingly more detailed and complete UML models of user requirements that provide the data required by COSMIC size estimation methods, which in turn yield increasingly more accurate size measure estimates of the modeled software. Initial estimates are based on simple models and are obtained quickly and with little effort. The estimates increase their accuracy as models grow in completeness and detail, i.e., as the requirements definition phase progresses. Conclusion Developers that use UML for requirements modeling can obtain an early estimation of the application size at the beginning of the development process, when only a very simple UML model has been built for the application, and can obtain increasingly more accurate size estimates while the knowledge of the product increases and UML models are refined accordingly. © 2014 Elsevier B.V. All rights reserved.</v>
      </c>
      <c r="H563" s="8" t="str">
        <f>IFERROR(__xludf.DUMMYFUNCTION("""COMPUTED_VALUE"""),"Approximate software sizing methods; COSMIC Function Points; Functional size measurement; Model-based measurement; Size estimation methods; UML")</f>
        <v>Approximate software sizing methods; COSMIC Function Points; Functional size measurement; Model-based measurement; Size estimation methods; UML</v>
      </c>
      <c r="I563" s="10" t="b">
        <v>0</v>
      </c>
      <c r="J563" s="10" t="b">
        <v>0</v>
      </c>
      <c r="K563" s="10" t="b">
        <v>0</v>
      </c>
      <c r="L563" s="10" t="b">
        <v>0</v>
      </c>
      <c r="M563" s="10" t="b">
        <v>0</v>
      </c>
      <c r="N563" s="10" t="b">
        <v>0</v>
      </c>
      <c r="O563" s="11" t="b">
        <f t="shared" si="1"/>
        <v>0</v>
      </c>
      <c r="P563" s="16" t="b">
        <v>0</v>
      </c>
      <c r="Q563" s="7"/>
    </row>
    <row r="564">
      <c r="A564" s="5" t="b">
        <v>1</v>
      </c>
      <c r="B564" s="5" t="s">
        <v>606</v>
      </c>
      <c r="C564" s="6" t="str">
        <f>IFERROR(__xludf.DUMMYFUNCTION("""COMPUTED_VALUE"""),"10.1016/j.infsof.2020.106483")</f>
        <v>10.1016/j.infsof.2020.106483</v>
      </c>
      <c r="D564" s="7" t="str">
        <f>IFERROR(__xludf.DUMMYFUNCTION("""COMPUTED_VALUE"""),"Ahrens M.; Schneider K.")</f>
        <v>Ahrens M.; Schneider K.</v>
      </c>
      <c r="E564" s="7" t="str">
        <f>IFERROR(__xludf.DUMMYFUNCTION("""COMPUTED_VALUE"""),"Improving requirements specification use by transferring attention with eye tracking data")</f>
        <v>Improving requirements specification use by transferring attention with eye tracking data</v>
      </c>
      <c r="F564" s="7" t="str">
        <f>IFERROR(__xludf.DUMMYFUNCTION("""COMPUTED_VALUE"""),"IST")</f>
        <v>IST</v>
      </c>
      <c r="G564" s="7" t="str">
        <f>IFERROR(__xludf.DUMMYFUNCTION("""COMPUTED_VALUE"""),"Context: Software requirements specifications are the main point of reference in traditional software projects. Especially in large projects, these documents get read by multiple people, multiple times. Several guidelines and templates already exist to su"&amp;"pport writing a good specification. However, not much research has been done in investigating how to support the use of specifications and help readers to find relevant information and navigate in the document more efficiently. Objective: We aim to ease t"&amp;"he reading process of requirements specifications by making use of previously recorded attention data. Therefore, we created three different attention transfer features based on eye tracking data obtained from observing readers when using specifications. "&amp;"Method: In a student experiment, we evaluated if these attention visualizations positively affect the roles software architect, UI-designer and tester when reading a specification for the first time. Results: The results show that the attention visualizat"&amp;"ions did not decrease navigation effort, but helped to draw the readers’ attention towards highlighted parts and decreased the average time spent on pages. They were mostly perceived as valuable by the readers. Conclusions: We explored and evaluated the a"&amp;"pproach of visualizing other readers’ attention focus to help support new readers. Our results include interesting findings on what works well, what does not and what could be enhanced. We present several suggestions on how attention data could be used to"&amp;" fasten document navigation, direct reading and facilitate user-specific reading. © 2020 Elsevier B.V.")</f>
        <v>Context: Software requirements specifications are the main point of reference in traditional software projects. Especially in large projects, these documents get read by multiple people, multiple times. Several guidelines and templates already exist to support writing a good specification. However, not much research has been done in investigating how to support the use of specifications and help readers to find relevant information and navigate in the document more efficiently. Objective: We aim to ease the reading process of requirements specifications by making use of previously recorded attention data. Therefore, we created three different attention transfer features based on eye tracking data obtained from observing readers when using specifications. Method: In a student experiment, we evaluated if these attention visualizations positively affect the roles software architect, UI-designer and tester when reading a specification for the first time. Results: The results show that the attention visualizations did not decrease navigation effort, but helped to draw the readers’ attention towards highlighted parts and decreased the average time spent on pages. They were mostly perceived as valuable by the readers. Conclusions: We explored and evaluated the approach of visualizing other readers’ attention focus to help support new readers. Our results include interesting findings on what works well, what does not and what could be enhanced. We present several suggestions on how attention data could be used to fasten document navigation, direct reading and facilitate user-specific reading. © 2020 Elsevier B.V.</v>
      </c>
      <c r="H564" s="8" t="str">
        <f>IFERROR(__xludf.DUMMYFUNCTION("""COMPUTED_VALUE"""),"Attention transfer; Empirical study; Eye tracking; Requirements document; Software requirements specification; Visualization")</f>
        <v>Attention transfer; Empirical study; Eye tracking; Requirements document; Software requirements specification; Visualization</v>
      </c>
      <c r="I564" s="9" t="b">
        <v>1</v>
      </c>
      <c r="J564" s="9" t="b">
        <v>1</v>
      </c>
      <c r="K564" s="9" t="b">
        <v>1</v>
      </c>
      <c r="L564" s="10" t="b">
        <v>0</v>
      </c>
      <c r="M564" s="10" t="b">
        <v>0</v>
      </c>
      <c r="N564" s="10" t="b">
        <v>0</v>
      </c>
      <c r="O564" s="11" t="b">
        <f t="shared" si="1"/>
        <v>1</v>
      </c>
      <c r="P564" s="16" t="b">
        <v>0</v>
      </c>
      <c r="Q564" s="7"/>
    </row>
    <row r="565">
      <c r="A565" s="5" t="b">
        <v>1</v>
      </c>
      <c r="B565" s="5" t="s">
        <v>607</v>
      </c>
      <c r="C565" s="6" t="str">
        <f>IFERROR(__xludf.DUMMYFUNCTION("""COMPUTED_VALUE"""),"10.1016/j.infsof.2022.106865")</f>
        <v>10.1016/j.infsof.2022.106865</v>
      </c>
      <c r="D565" s="7" t="str">
        <f>IFERROR(__xludf.DUMMYFUNCTION("""COMPUTED_VALUE"""),"Yi J.; Ismayilzada E.")</f>
        <v>Yi J.; Ismayilzada E.</v>
      </c>
      <c r="E565" s="7" t="str">
        <f>IFERROR(__xludf.DUMMYFUNCTION("""COMPUTED_VALUE"""),"Speeding up constraint-based program repair using a search-based technique")</f>
        <v>Speeding up constraint-based program repair using a search-based technique</v>
      </c>
      <c r="F565" s="7" t="str">
        <f>IFERROR(__xludf.DUMMYFUNCTION("""COMPUTED_VALUE"""),"IST")</f>
        <v>IST</v>
      </c>
      <c r="G565" s="7" t="str">
        <f>IFERROR(__xludf.DUMMYFUNCTION("""COMPUTED_VALUE"""),"Context: Constraint-based program repair has been developed as one of the main techniques for automated program repair. Given a buggy program and a test suite, constraint-based program repair first extracts a repair constraint φ, and then synthesizes a pa"&amp;"tch satisfying φ. Since a patch is synthesized in a correct-by-construction manner (rather than compiling and testing each repair candidate source code), the constraint-based approach, in theory, requires less runtime overhead than the G&amp;V approach. Never"&amp;"theless, the performance of existing constraint-based approaches is still suboptimal. Objective: In this work, we propose a novel technique to expedite constraint-based program repair. We aim to boost runtime performance without sacrificing repairability "&amp;"and patch quality. Method: The existing constraint-based program repair searches for a patch specification in an unguided manner. We introduce a novel guided search algorithm based on MCMC sampling. Results: Our experimental results for the 50 buggy versi"&amp;"ons of 5 real-world subjects (i.e., LIBTIFF, PHP, GMP, GZIP, and WIRESHARK) show that our method named FANGELIX is on average an order of magnitude faster than ANGELIX (a state-of-the-art constraint-based program repair tool), showing up to 23 times speed"&amp;"-up. This speed-up is achieved without sacrificing repairability and patch quality. Conclusion: This paper proposes a novel technique that expedites constraint-based program repair, using a search-based technique based on MCMC sampling. Our experimental r"&amp;"esults show the promise of our approach. © 2022 Elsevier B.V.")</f>
        <v>Context: Constraint-based program repair has been developed as one of the main techniques for automated program repair. Given a buggy program and a test suite, constraint-based program repair first extracts a repair constraint φ, and then synthesizes a patch satisfying φ. Since a patch is synthesized in a correct-by-construction manner (rather than compiling and testing each repair candidate source code), the constraint-based approach, in theory, requires less runtime overhead than the G&amp;V approach. Nevertheless, the performance of existing constraint-based approaches is still suboptimal. Objective: In this work, we propose a novel technique to expedite constraint-based program repair. We aim to boost runtime performance without sacrificing repairability and patch quality. Method: The existing constraint-based program repair searches for a patch specification in an unguided manner. We introduce a novel guided search algorithm based on MCMC sampling. Results: Our experimental results for the 50 buggy versions of 5 real-world subjects (i.e., LIBTIFF, PHP, GMP, GZIP, and WIRESHARK) show that our method named FANGELIX is on average an order of magnitude faster than ANGELIX (a state-of-the-art constraint-based program repair tool), showing up to 23 times speed-up. This speed-up is achieved without sacrificing repairability and patch quality. Conclusion: This paper proposes a novel technique that expedites constraint-based program repair, using a search-based technique based on MCMC sampling. Our experimental results show the promise of our approach. © 2022 Elsevier B.V.</v>
      </c>
      <c r="H565" s="8" t="str">
        <f>IFERROR(__xludf.DUMMYFUNCTION("""COMPUTED_VALUE"""),"Automated program repair; Constraint-based program repair; Guided search; MCMC sampling")</f>
        <v>Automated program repair; Constraint-based program repair; Guided search; MCMC sampling</v>
      </c>
      <c r="I565" s="10" t="b">
        <v>0</v>
      </c>
      <c r="J565" s="10" t="b">
        <v>0</v>
      </c>
      <c r="K565" s="10" t="b">
        <v>0</v>
      </c>
      <c r="L565" s="10" t="b">
        <v>0</v>
      </c>
      <c r="M565" s="10" t="b">
        <v>0</v>
      </c>
      <c r="N565" s="10" t="b">
        <v>0</v>
      </c>
      <c r="O565" s="11" t="b">
        <f t="shared" si="1"/>
        <v>0</v>
      </c>
      <c r="P565" s="16" t="b">
        <v>0</v>
      </c>
      <c r="Q565" s="7"/>
    </row>
    <row r="566">
      <c r="A566" s="5" t="b">
        <v>1</v>
      </c>
      <c r="B566" s="5" t="s">
        <v>608</v>
      </c>
      <c r="C566" s="6" t="str">
        <f>IFERROR(__xludf.DUMMYFUNCTION("""COMPUTED_VALUE"""),"10.1016/j.infsof.2023.107247")</f>
        <v>10.1016/j.infsof.2023.107247</v>
      </c>
      <c r="D566" s="7" t="str">
        <f>IFERROR(__xludf.DUMMYFUNCTION("""COMPUTED_VALUE"""),"Hao J.; Luo S.; Pan L.")</f>
        <v>Hao J.; Luo S.; Pan L.</v>
      </c>
      <c r="E566" s="7" t="str">
        <f>IFERROR(__xludf.DUMMYFUNCTION("""COMPUTED_VALUE"""),"A novel vulnerability severity assessment method for source code based on a graph neural network")</f>
        <v>A novel vulnerability severity assessment method for source code based on a graph neural network</v>
      </c>
      <c r="F566" s="7" t="str">
        <f>IFERROR(__xludf.DUMMYFUNCTION("""COMPUTED_VALUE"""),"IST")</f>
        <v>IST</v>
      </c>
      <c r="G566" s="7" t="str">
        <f>IFERROR(__xludf.DUMMYFUNCTION("""COMPUTED_VALUE"""),"Context: Vulnerability severity assessment is an important part of vulnerability management that can help security personnel determine the priority of vulnerability repair work. Objective: Aiming at the problems of low evaluation efficiency and poor timel"&amp;"iness in the existing method, a vulnerability severity evaluation method combining a function call graph and vulnerability attribute graph is proposed. Method: This method constructs a function call graph centered on vulnerable functions and uses the call"&amp;" relationship between vulnerable functions and sensitive API functions to reflect the severity of the damage of the vulnerable functions. The graph attention neural network algorithm is used to mine the key vulnerability characteristics in the function ca"&amp;"ll graph and the vulnerability attribute graph to realize the assessment of vulnerability severity. Results: The ablation experiment results showed that the combined vulnerability attribute graph and function call graph had higher evaluation accuracy than"&amp;" the vulnerability attribute graph or function call graph alone, which increased by 6.85% and 32.90%, respectively. Compared with other existing methods, our method has achieved a better evaluation effect, and the evaluation accuracy has increased by 10%."&amp;" Conclusion: The vulnerability severity assessment method incorporating function call graphs and vulnerability property graphs demonstrates an enhancement in the ability to represent the severity of vulnerabilities and increases the efficiency of vulnerab"&amp;"ility severity evaluation through elimination of the requirement for manual analysis. © 2023")</f>
        <v>Context: Vulnerability severity assessment is an important part of vulnerability management that can help security personnel determine the priority of vulnerability repair work. Objective: Aiming at the problems of low evaluation efficiency and poor timeliness in the existing method, a vulnerability severity evaluation method combining a function call graph and vulnerability attribute graph is proposed. Method: This method constructs a function call graph centered on vulnerable functions and uses the call relationship between vulnerable functions and sensitive API functions to reflect the severity of the damage of the vulnerable functions. The graph attention neural network algorithm is used to mine the key vulnerability characteristics in the function call graph and the vulnerability attribute graph to realize the assessment of vulnerability severity. Results: The ablation experiment results showed that the combined vulnerability attribute graph and function call graph had higher evaluation accuracy than the vulnerability attribute graph or function call graph alone, which increased by 6.85% and 32.90%, respectively. Compared with other existing methods, our method has achieved a better evaluation effect, and the evaluation accuracy has increased by 10%. Conclusion: The vulnerability severity assessment method incorporating function call graphs and vulnerability property graphs demonstrates an enhancement in the ability to represent the severity of vulnerabilities and increases the efficiency of vulnerability severity evaluation through elimination of the requirement for manual analysis. © 2023</v>
      </c>
      <c r="H566" s="8" t="str">
        <f>IFERROR(__xludf.DUMMYFUNCTION("""COMPUTED_VALUE"""),"Function call graph; Source code; Vulnerability property graph; Vulnerability severity assessment")</f>
        <v>Function call graph; Source code; Vulnerability property graph; Vulnerability severity assessment</v>
      </c>
      <c r="I566" s="10" t="b">
        <v>0</v>
      </c>
      <c r="J566" s="10" t="b">
        <v>0</v>
      </c>
      <c r="K566" s="10" t="b">
        <v>0</v>
      </c>
      <c r="L566" s="10" t="b">
        <v>0</v>
      </c>
      <c r="M566" s="10" t="b">
        <v>0</v>
      </c>
      <c r="N566" s="10" t="b">
        <v>0</v>
      </c>
      <c r="O566" s="11" t="b">
        <f t="shared" si="1"/>
        <v>0</v>
      </c>
      <c r="P566" s="16" t="b">
        <v>0</v>
      </c>
      <c r="Q566" s="7"/>
    </row>
    <row r="567">
      <c r="A567" s="5" t="b">
        <v>1</v>
      </c>
      <c r="B567" s="5" t="s">
        <v>609</v>
      </c>
      <c r="C567" s="6" t="str">
        <f>IFERROR(__xludf.DUMMYFUNCTION("""COMPUTED_VALUE"""),"10.1016/j.infsof.2018.09.004")</f>
        <v>10.1016/j.infsof.2018.09.004</v>
      </c>
      <c r="D567" s="7" t="str">
        <f>IFERROR(__xludf.DUMMYFUNCTION("""COMPUTED_VALUE"""),"Zubcoff J.; Garrigós I.; Casteleyn S.; Mazón J.-N.; Aguilar J.-A.; Gomariz-Castillo F.")</f>
        <v>Zubcoff J.; Garrigós I.; Casteleyn S.; Mazón J.-N.; Aguilar J.-A.; Gomariz-Castillo F.</v>
      </c>
      <c r="E567" s="7" t="str">
        <f>IFERROR(__xludf.DUMMYFUNCTION("""COMPUTED_VALUE"""),"Evaluating different i*-based approaches for selecting functional requirements while balancing and optimizing non-functional requirements: A controlled experiment")</f>
        <v>Evaluating different i*-based approaches for selecting functional requirements while balancing and optimizing non-functional requirements: A controlled experiment</v>
      </c>
      <c r="F567" s="7" t="str">
        <f>IFERROR(__xludf.DUMMYFUNCTION("""COMPUTED_VALUE"""),"IST")</f>
        <v>IST</v>
      </c>
      <c r="G567" s="7" t="str">
        <f>IFERROR(__xludf.DUMMYFUNCTION("""COMPUTED_VALUE"""),"Context: A relevant question in requirements engineering is which set of functional requirements (FR) to prioritize and implement, while keeping non-functional requirements (NFR) balanced and optimized. Objective: We aim to provide empirical evidence that"&amp;" requirement engineers may perform better at the task of selecting FRs while optimizing and balancing NFRs using an alternative (automated) i* post-processed model, compared to the original i* model. Method: We performed a controlled experiment, designed "&amp;"to compare the original i* graphical notation, with our post-processed i* visualizations based on Pareto efficiency (a tabular and a radar chart visualization). Our experiment consisted of solving different exercises of various complexity for selecting FR"&amp;"s while balancing NFR. We considered the efficiency (time spent to correctly answer exercises), and the effectiveness (regarding time: time spent to solve exercises, independent of correctness; and regarding correctness of the answer, independent of time)"&amp;". Results: The efficiency analysis shows it is 3.51 times more likely to solve exercises correctly with our tabular and radar chart visualizations than with i*. Actually, i* was the most time-consuming (effectiveness regarding time), had a lower number of"&amp;" correct answers (effectiveness regarding correctness), and was affected by complexity. Visual or textual preference of the subjects had no effect on the score. Beginners took more time to solve exercises than experts if i* is used (no distinction if our "&amp;"Pareto-based visualizations are used). Conclusion: For complex model instances, the Pareto front based tabular visualization results in more correct answers, compared to radar chart visualization. When we consider effectiveness regarding time, the i* grap"&amp;"hical notation is the most time consuming visualization, independent of the complexity of the exercise. Finally, regarding efficiency, subjects consume less time when using radar chart visualization than tabular visualization, and even more so compared to"&amp;" the original i* graphical notation. © 2018 Elsevier B.V.")</f>
        <v>Context: A relevant question in requirements engineering is which set of functional requirements (FR) to prioritize and implement, while keeping non-functional requirements (NFR) balanced and optimized. Objective: We aim to provide empirical evidence that requirement engineers may perform better at the task of selecting FRs while optimizing and balancing NFRs using an alternative (automated) i* post-processed model, compared to the original i* model. Method: We performed a controlled experiment, designed to compare the original i* graphical notation, with our post-processed i* visualizations based on Pareto efficiency (a tabular and a radar chart visualization). Our experiment consisted of solving different exercises of various complexity for selecting FRs while balancing NFR. We considered the efficiency (time spent to correctly answer exercises), and the effectiveness (regarding time: time spent to solve exercises, independent of correctness; and regarding correctness of the answer, independent of time). Results: The efficiency analysis shows it is 3.51 times more likely to solve exercises correctly with our tabular and radar chart visualizations than with i*. Actually, i* was the most time-consuming (effectiveness regarding time), had a lower number of correct answers (effectiveness regarding correctness), and was affected by complexity. Visual or textual preference of the subjects had no effect on the score. Beginners took more time to solve exercises than experts if i* is used (no distinction if our Pareto-based visualizations are used). Conclusion: For complex model instances, the Pareto front based tabular visualization results in more correct answers, compared to radar chart visualization. When we consider effectiveness regarding time, the i* graphical notation is the most time consuming visualization, independent of the complexity of the exercise. Finally, regarding efficiency, subjects consume less time when using radar chart visualization than tabular visualization, and even more so compared to the original i* graphical notation. © 2018 Elsevier B.V.</v>
      </c>
      <c r="H567" s="8" t="str">
        <f>IFERROR(__xludf.DUMMYFUNCTION("""COMPUTED_VALUE"""),"Controlled experiment; I*; Pareto efficiency; Requirements engineering")</f>
        <v>Controlled experiment; I*; Pareto efficiency; Requirements engineering</v>
      </c>
      <c r="I567" s="9" t="b">
        <v>1</v>
      </c>
      <c r="J567" s="9" t="b">
        <v>1</v>
      </c>
      <c r="K567" s="9" t="b">
        <v>1</v>
      </c>
      <c r="L567" s="10" t="b">
        <v>0</v>
      </c>
      <c r="M567" s="10" t="b">
        <v>0</v>
      </c>
      <c r="N567" s="10" t="b">
        <v>0</v>
      </c>
      <c r="O567" s="11" t="b">
        <f t="shared" si="1"/>
        <v>1</v>
      </c>
      <c r="P567" s="16" t="b">
        <v>0</v>
      </c>
      <c r="Q567" s="7"/>
    </row>
    <row r="568">
      <c r="A568" s="5" t="b">
        <v>1</v>
      </c>
      <c r="B568" s="5" t="s">
        <v>610</v>
      </c>
      <c r="C568" s="6" t="str">
        <f>IFERROR(__xludf.DUMMYFUNCTION("""COMPUTED_VALUE"""),"10.1016/j.infsof.2016.11.001")</f>
        <v>10.1016/j.infsof.2016.11.001</v>
      </c>
      <c r="D568" s="7" t="str">
        <f>IFERROR(__xludf.DUMMYFUNCTION("""COMPUTED_VALUE"""),"Sedrakyan G.; Poelmans S.; Snoeck M.")</f>
        <v>Sedrakyan G.; Poelmans S.; Snoeck M.</v>
      </c>
      <c r="E568" s="7" t="str">
        <f>IFERROR(__xludf.DUMMYFUNCTION("""COMPUTED_VALUE"""),"Assessing the influence of feedback-inclusive rapid prototyping on understanding the semantics of parallel UML statecharts by novice modellers")</f>
        <v>Assessing the influence of feedback-inclusive rapid prototyping on understanding the semantics of parallel UML statecharts by novice modellers</v>
      </c>
      <c r="F568" s="7" t="str">
        <f>IFERROR(__xludf.DUMMYFUNCTION("""COMPUTED_VALUE"""),"IST")</f>
        <v>IST</v>
      </c>
      <c r="G568" s="7" t="str">
        <f>IFERROR(__xludf.DUMMYFUNCTION("""COMPUTED_VALUE"""),"Context UML diagrams are the de facto standard for analysing, communicating and designing software systems, as well as automated code generation. However there is a certain degree of difficulty in understanding a system represented by means of UML diagram"&amp;"s. Object Our previous research demonstrates a significant improvement in understanding the structural aspects of a system represented as a UML class diagram when using a feedback-inclusive prototype of a model. This paper extends our previous work with a"&amp;"n empirical validation study for the effectiveness of the feedback-inclusive rapid prototyping (FIRP) method, on the comprehension of system dynamics represented as multiple interacting UML statecharts. Because models often combine structural and behaviou"&amp;"ral views that are highly intertwined, we additionally evaluate the effectiveness of the proposed method with respect to comprehension of the between-view consistency. Method The FIRP environment was built following the principles of Design Science Resear"&amp;"ch in Information Systems. This study targets the empirical validation of the effectiveness of the proposed technique using an experimental study method. Two experiments were conducted with the participation of 65 final-year master students in the context"&amp;" of different modelling courses from different study programs at KU Leuven using two two-group factorial experimental designs. The effectiveness of the FIRP method was measured by comparing students’ performance between the cycles with and without the use"&amp;" of the method, using the understandability (comprehension test results) as the dependent variable and the use of FIRP as the independent variable. Effects from unknown variables were neutralized by means of randomized group compositions. The effectivenes"&amp;"s of FIRP was additionally assessed with respect to personal characteristics (age, gender, previous knowledge, self-efficacy) and user acceptance (perceived ease of use, perceived utility, preference, satisfaction). Results The findings reveal a significa"&amp;"nt positive impact of the use of the prototyping technique on students’ comprehension of system dynamics represented as multiple interacting statecharts. Conclusions The findings provide empirical support for the advantage of the use of FIRP over manual i"&amp;"nspection of interacting statecharts. The findings also suggest that the method is suitable for training system's analysis and modelling skills when UML statecharts are involved. © 2016 Elsevier B.V.")</f>
        <v>Context UML diagrams are the de facto standard for analysing, communicating and designing software systems, as well as automated code generation. However there is a certain degree of difficulty in understanding a system represented by means of UML diagrams. Object Our previous research demonstrates a significant improvement in understanding the structural aspects of a system represented as a UML class diagram when using a feedback-inclusive prototype of a model. This paper extends our previous work with an empirical validation study for the effectiveness of the feedback-inclusive rapid prototyping (FIRP) method, on the comprehension of system dynamics represented as multiple interacting UML statecharts. Because models often combine structural and behavioural views that are highly intertwined, we additionally evaluate the effectiveness of the proposed method with respect to comprehension of the between-view consistency. Method The FIRP environment was built following the principles of Design Science Research in Information Systems. This study targets the empirical validation of the effectiveness of the proposed technique using an experimental study method. Two experiments were conducted with the participation of 65 final-year master students in the context of different modelling courses from different study programs at KU Leuven using two two-group factorial experimental designs. The effectiveness of the FIRP method was measured by comparing students’ performance between the cycles with and without the use of the method, using the understandability (comprehension test results) as the dependent variable and the use of FIRP as the independent variable. Effects from unknown variables were neutralized by means of randomized group compositions. The effectiveness of FIRP was additionally assessed with respect to personal characteristics (age, gender, previous knowledge, self-efficacy) and user acceptance (perceived ease of use, perceived utility, preference, satisfaction). Results The findings reveal a significant positive impact of the use of the prototyping technique on students’ comprehension of system dynamics represented as multiple interacting statecharts. Conclusions The findings provide empirical support for the advantage of the use of FIRP over manual inspection of interacting statecharts. The findings also suggest that the method is suitable for training system's analysis and modelling skills when UML statecharts are involved. © 2016 Elsevier B.V.</v>
      </c>
      <c r="H568" s="8" t="str">
        <f>IFERROR(__xludf.DUMMYFUNCTION("""COMPUTED_VALUE"""),"Automated feedback; Conceptual modelling; Model pragmatics; Prototyping/simulation; Statechart; Testability of requirements")</f>
        <v>Automated feedback; Conceptual modelling; Model pragmatics; Prototyping/simulation; Statechart; Testability of requirements</v>
      </c>
      <c r="I568" s="9" t="b">
        <v>1</v>
      </c>
      <c r="J568" s="9" t="b">
        <v>1</v>
      </c>
      <c r="K568" s="9" t="b">
        <v>1</v>
      </c>
      <c r="L568" s="10" t="b">
        <v>0</v>
      </c>
      <c r="M568" s="10" t="b">
        <v>0</v>
      </c>
      <c r="N568" s="10" t="b">
        <v>0</v>
      </c>
      <c r="O568" s="11" t="b">
        <f t="shared" si="1"/>
        <v>1</v>
      </c>
      <c r="P568" s="12" t="b">
        <v>0</v>
      </c>
      <c r="Q568" s="13" t="s">
        <v>611</v>
      </c>
    </row>
    <row r="569">
      <c r="A569" s="5" t="b">
        <v>1</v>
      </c>
      <c r="B569" s="5" t="s">
        <v>612</v>
      </c>
      <c r="C569" s="6" t="str">
        <f>IFERROR(__xludf.DUMMYFUNCTION("""COMPUTED_VALUE"""),"10.1016/j.infsof.2016.02.001")</f>
        <v>10.1016/j.infsof.2016.02.001</v>
      </c>
      <c r="D569" s="7" t="str">
        <f>IFERROR(__xludf.DUMMYFUNCTION("""COMPUTED_VALUE"""),"Türker U.C.; Ünluÿurt T.; Yenigün H.")</f>
        <v>Türker U.C.; Ünluÿurt T.; Yenigün H.</v>
      </c>
      <c r="E569" s="7" t="str">
        <f>IFERROR(__xludf.DUMMYFUNCTION("""COMPUTED_VALUE"""),"Effective algorithms for constructing minimum cost adaptive distinguishing sequences")</f>
        <v>Effective algorithms for constructing minimum cost adaptive distinguishing sequences</v>
      </c>
      <c r="F569" s="7" t="str">
        <f>IFERROR(__xludf.DUMMYFUNCTION("""COMPUTED_VALUE"""),"IST")</f>
        <v>IST</v>
      </c>
      <c r="G569" s="7" t="str">
        <f>IFERROR(__xludf.DUMMYFUNCTION("""COMPUTED_VALUE"""),"Context: Given a Finite State Machine (FSM), a checking sequence is a test sequence that determines whether the system under test is correct as long as certain standard assumptions hold. Many checking sequence generation methods use an adaptive distinguis"&amp;"hing sequence (ADS), which is an experiment that distinguishes the states of the specification machine. Furthermore, it has been shown that the use of shorter ADSs yields shorter checking sequences. It is also known, on the other hand, that constructing a"&amp;" minimum cost ADS is an NP-hard problem and it is NP-hard to approximate. This motivates studying and investigating effective ADS construction methods. Objective: The main objective of this paper is to suggest new methods that can compute compact ADSs to "&amp;"be used in the construction of checking sequences. Method: We briefly present the existing ADS construction algorithms. We then propose generalizations of these approaches with a set of heuristics. We also conduct experiments to compare the size of the re"&amp;"sultant ADSs and the length of the checking sequences constructed using these ADSs. Results: The results indicate that when the ADSs are constructed with the proposed methods, the length of the checking sequences may reduce up to 54% (40% on the average)."&amp;" Conclusions: In this paper, we present the state of the art ADS construction methods for FSMs and we propose generalizations of these methods. We show that our methods are effective in terms of computation time and ADS quality. © 2016 Elsevier B.V. All r"&amp;"ights reserved.")</f>
        <v>Context: Given a Finite State Machine (FSM), a checking sequence is a test sequence that determines whether the system under test is correct as long as certain standard assumptions hold. Many checking sequence generation methods use an adaptive distinguishing sequence (ADS), which is an experiment that distinguishes the states of the specification machine. Furthermore, it has been shown that the use of shorter ADSs yields shorter checking sequences. It is also known, on the other hand, that constructing a minimum cost ADS is an NP-hard problem and it is NP-hard to approximate. This motivates studying and investigating effective ADS construction methods. Objective: The main objective of this paper is to suggest new methods that can compute compact ADSs to be used in the construction of checking sequences. Method: We briefly present the existing ADS construction algorithms. We then propose generalizations of these approaches with a set of heuristics. We also conduct experiments to compare the size of the resultant ADSs and the length of the checking sequences constructed using these ADSs. Results: The results indicate that when the ADSs are constructed with the proposed methods, the length of the checking sequences may reduce up to 54% (40% on the average). Conclusions: In this paper, we present the state of the art ADS construction methods for FSMs and we propose generalizations of these methods. We show that our methods are effective in terms of computation time and ADS quality. © 2016 Elsevier B.V. All rights reserved.</v>
      </c>
      <c r="H569" s="8" t="str">
        <f>IFERROR(__xludf.DUMMYFUNCTION("""COMPUTED_VALUE"""),"Adaptive distinguishing sequences; Checking sequences; Finite State Machines")</f>
        <v>Adaptive distinguishing sequences; Checking sequences; Finite State Machines</v>
      </c>
      <c r="I569" s="10" t="b">
        <v>0</v>
      </c>
      <c r="J569" s="10" t="b">
        <v>0</v>
      </c>
      <c r="K569" s="10" t="b">
        <v>0</v>
      </c>
      <c r="L569" s="10" t="b">
        <v>0</v>
      </c>
      <c r="M569" s="10" t="b">
        <v>0</v>
      </c>
      <c r="N569" s="10" t="b">
        <v>0</v>
      </c>
      <c r="O569" s="11" t="b">
        <f t="shared" si="1"/>
        <v>0</v>
      </c>
      <c r="P569" s="16" t="b">
        <v>0</v>
      </c>
      <c r="Q569" s="7"/>
    </row>
    <row r="570">
      <c r="A570" s="5" t="b">
        <v>1</v>
      </c>
      <c r="B570" s="5" t="s">
        <v>613</v>
      </c>
      <c r="C570" s="6" t="str">
        <f>IFERROR(__xludf.DUMMYFUNCTION("""COMPUTED_VALUE"""),"10.1016/j.infsof.2016.07.001")</f>
        <v>10.1016/j.infsof.2016.07.001</v>
      </c>
      <c r="D570" s="7" t="str">
        <f>IFERROR(__xludf.DUMMYFUNCTION("""COMPUTED_VALUE"""),"Häser F.; Felderer M.; Breu R.")</f>
        <v>Häser F.; Felderer M.; Breu R.</v>
      </c>
      <c r="E570" s="7" t="str">
        <f>IFERROR(__xludf.DUMMYFUNCTION("""COMPUTED_VALUE"""),"Is business domain language support beneficial for creating test case specifications: A controlled experiment")</f>
        <v>Is business domain language support beneficial for creating test case specifications: A controlled experiment</v>
      </c>
      <c r="F570" s="7" t="str">
        <f>IFERROR(__xludf.DUMMYFUNCTION("""COMPUTED_VALUE"""),"IST")</f>
        <v>IST</v>
      </c>
      <c r="G570" s="7" t="str">
        <f>IFERROR(__xludf.DUMMYFUNCTION("""COMPUTED_VALUE"""),"Context: Behavior Driven Development (BDD), widely used in modern software development, enables easy creation of acceptance test case specifications and serves as a communication basis between business- and technical-oriented stakeholders. BDD is largely "&amp;"facilitated through simple domain specific languages (DSL) and usually restricted to technical test domain concepts. Integrating business domain concepts to implement a ubiquitous language for all members of the development team is an appealing test langu"&amp;"age improvement issue. But the integration of business domain concepts into BDD toolkits has so far not been investigated. Objective: The objective of the study presented in this paper is to examine whether supporting the ubiquitous language features insi"&amp;"de a DSL, by extending a DSL with business domain concepts, is beneficial over using a DSL without those concepts. In the context of the study, benefit is measured in terms of perceived quality, creation time and length of the created test case specificat"&amp;"ions. In addition, we analyze if participants feel supported when using predefined business domain concepts. Method: We investigate the creation of test case specifications, similar to BDD, in a controlled student experiment performed with graduate studen"&amp;"ts based on a novel platform for DSL experimentation. The experiment was carried out by two groups, each solving a similar comparable test case, one with the simple DSL, the other one with the DSL that includes business domain concepts. A crossover design"&amp;" was chosen for evaluating the perceived quality of the resulting specifications. Results: Our experiment indicates that a business domain aware language allows significant faster creation of documents without lowering the perceived quality. Subjects felt"&amp;" better supported by the DSL with business concepts. Conclusion: Based on our findings we propose that existing BDD toolkits could be further improved by integrating business domain concepts. © 2016 Elsevier B.V.")</f>
        <v>Context: Behavior Driven Development (BDD), widely used in modern software development, enables easy creation of acceptance test case specifications and serves as a communication basis between business- and technical-oriented stakeholders. BDD is largely facilitated through simple domain specific languages (DSL) and usually restricted to technical test domain concepts. Integrating business domain concepts to implement a ubiquitous language for all members of the development team is an appealing test language improvement issue. But the integration of business domain concepts into BDD toolkits has so far not been investigated. Objective: The objective of the study presented in this paper is to examine whether supporting the ubiquitous language features inside a DSL, by extending a DSL with business domain concepts, is beneficial over using a DSL without those concepts. In the context of the study, benefit is measured in terms of perceived quality, creation time and length of the created test case specifications. In addition, we analyze if participants feel supported when using predefined business domain concepts. Method: We investigate the creation of test case specifications, similar to BDD, in a controlled student experiment performed with graduate students based on a novel platform for DSL experimentation. The experiment was carried out by two groups, each solving a similar comparable test case, one with the simple DSL, the other one with the DSL that includes business domain concepts. A crossover design was chosen for evaluating the perceived quality of the resulting specifications. Results: Our experiment indicates that a business domain aware language allows significant faster creation of documents without lowering the perceived quality. Subjects felt better supported by the DSL with business concepts. Conclusion: Based on our findings we propose that existing BDD toolkits could be further improved by integrating business domain concepts. © 2016 Elsevier B.V.</v>
      </c>
      <c r="H570" s="8" t="str">
        <f>IFERROR(__xludf.DUMMYFUNCTION("""COMPUTED_VALUE"""),"Behavior driven development; Controlled experiment; Domain Specific Languages (DSL); Software testing; Student experiment")</f>
        <v>Behavior driven development; Controlled experiment; Domain Specific Languages (DSL); Software testing; Student experiment</v>
      </c>
      <c r="I570" s="9" t="b">
        <v>1</v>
      </c>
      <c r="J570" s="9" t="b">
        <v>1</v>
      </c>
      <c r="K570" s="9" t="b">
        <v>1</v>
      </c>
      <c r="L570" s="10" t="b">
        <v>0</v>
      </c>
      <c r="M570" s="10" t="b">
        <v>0</v>
      </c>
      <c r="N570" s="10" t="b">
        <v>0</v>
      </c>
      <c r="O570" s="11" t="b">
        <f t="shared" si="1"/>
        <v>1</v>
      </c>
      <c r="P570" s="16" t="b">
        <v>0</v>
      </c>
      <c r="Q570" s="7"/>
    </row>
    <row r="571">
      <c r="A571" s="5" t="b">
        <v>1</v>
      </c>
      <c r="B571" s="5" t="s">
        <v>614</v>
      </c>
      <c r="C571" s="6" t="str">
        <f>IFERROR(__xludf.DUMMYFUNCTION("""COMPUTED_VALUE"""),"10.1016/j.infsof.2022.107083")</f>
        <v>10.1016/j.infsof.2022.107083</v>
      </c>
      <c r="D571" s="7" t="str">
        <f>IFERROR(__xludf.DUMMYFUNCTION("""COMPUTED_VALUE"""),"Chen Y.; Xu D.; Chen N.; Wu X.")</f>
        <v>Chen Y.; Xu D.; Chen N.; Wu X.</v>
      </c>
      <c r="E571" s="7" t="str">
        <f>IFERROR(__xludf.DUMMYFUNCTION("""COMPUTED_VALUE"""),"FRL-MFPG: Propagation-aware fault root cause location for microservice intelligent operation and maintenance")</f>
        <v>FRL-MFPG: Propagation-aware fault root cause location for microservice intelligent operation and maintenance</v>
      </c>
      <c r="F571" s="7" t="str">
        <f>IFERROR(__xludf.DUMMYFUNCTION("""COMPUTED_VALUE"""),"IST")</f>
        <v>IST</v>
      </c>
      <c r="G571" s="7" t="str">
        <f>IFERROR(__xludf.DUMMYFUNCTION("""COMPUTED_VALUE"""),"Context: Due to the continuous updates and complex dependencies of microservices, the probability of a fault occurrence and the difficulty of doing a diagnosis have increased, making it hard for operation and maintenance staff to quickly and accurately tr"&amp;"oubleshoot a fault and locate its root cause. Objective: To fulfill the requirements of artificial intelligence for IT operations, called AIOps, this paper studies microservice fault root cause location technology from two aspects, microservice fault prop"&amp;"agation relationships and fault root cause location. Method: First, this paper designs a microservice fault propagation graph construction method MFPG-FC based on fault correlation. The method effectively depicts the propagation relationship and the scope"&amp;" of influence of microservice faults and improves the accuracy of locating a fault's root cause. Second, in terms of fault root cause location, this paper proposes a microservice fault root cause location algorithm based on a microservice fault propagatio"&amp;"n relationship graph called FRL-MFPG. The FRL-MFPG algorithm is designed to improve the globalization, flexibility and accuracy of the fault location search range and rate. Finally, an AIOps-oriented microservice fault root cause location framework (AIOps"&amp;"-MFRL) is designed. Results: The experimental results show that, compared with the traditional method, the method proposed in this paper is more accurate and can locate the root cause of a fault more accurately. After detecting the fault of microservices,"&amp;" it can achieve the goal of locating the root cause of the fault, which is helpful to improve the efficiency of intelligent operation and maintenance. Conclusion: The method in this paper can effectively locate the root cause of a fault and identify the r"&amp;"oot cause indicators of the fault after the fault is detected in the microservice. It has better timeliness and accuracy, reduces troubleshooting time and the losses caused by faults, and improves operation and maintenance efficiency. © 2022 Elsevier B.V.")</f>
        <v>Context: Due to the continuous updates and complex dependencies of microservices, the probability of a fault occurrence and the difficulty of doing a diagnosis have increased, making it hard for operation and maintenance staff to quickly and accurately troubleshoot a fault and locate its root cause. Objective: To fulfill the requirements of artificial intelligence for IT operations, called AIOps, this paper studies microservice fault root cause location technology from two aspects, microservice fault propagation relationships and fault root cause location. Method: First, this paper designs a microservice fault propagation graph construction method MFPG-FC based on fault correlation. The method effectively depicts the propagation relationship and the scope of influence of microservice faults and improves the accuracy of locating a fault's root cause. Second, in terms of fault root cause location, this paper proposes a microservice fault root cause location algorithm based on a microservice fault propagation relationship graph called FRL-MFPG. The FRL-MFPG algorithm is designed to improve the globalization, flexibility and accuracy of the fault location search range and rate. Finally, an AIOps-oriented microservice fault root cause location framework (AIOps-MFRL) is designed. Results: The experimental results show that, compared with the traditional method, the method proposed in this paper is more accurate and can locate the root cause of a fault more accurately. After detecting the fault of microservices, it can achieve the goal of locating the root cause of the fault, which is helpful to improve the efficiency of intelligent operation and maintenance. Conclusion: The method in this paper can effectively locate the root cause of a fault and identify the root cause indicators of the fault after the fault is detected in the microservice. It has better timeliness and accuracy, reduces troubleshooting time and the losses caused by faults, and improves operation and maintenance efficiency. © 2022 Elsevier B.V.</v>
      </c>
      <c r="H571" s="8" t="str">
        <f>IFERROR(__xludf.DUMMYFUNCTION("""COMPUTED_VALUE"""),"Artificial intelligence for IT operations; Container; Fault propagation; Fault root cause location; Microservice")</f>
        <v>Artificial intelligence for IT operations; Container; Fault propagation; Fault root cause location; Microservice</v>
      </c>
      <c r="I571" s="10" t="b">
        <v>0</v>
      </c>
      <c r="J571" s="10" t="b">
        <v>0</v>
      </c>
      <c r="K571" s="10" t="b">
        <v>0</v>
      </c>
      <c r="L571" s="10" t="b">
        <v>0</v>
      </c>
      <c r="M571" s="10" t="b">
        <v>0</v>
      </c>
      <c r="N571" s="10" t="b">
        <v>0</v>
      </c>
      <c r="O571" s="11" t="b">
        <f t="shared" si="1"/>
        <v>0</v>
      </c>
      <c r="P571" s="16" t="b">
        <v>0</v>
      </c>
      <c r="Q571" s="7"/>
    </row>
    <row r="572">
      <c r="A572" s="5" t="b">
        <v>1</v>
      </c>
      <c r="B572" s="5" t="s">
        <v>615</v>
      </c>
      <c r="C572" s="6" t="str">
        <f>IFERROR(__xludf.DUMMYFUNCTION("""COMPUTED_VALUE"""),"10.1016/j.infsof.2023.107164")</f>
        <v>10.1016/j.infsof.2023.107164</v>
      </c>
      <c r="D572" s="7" t="str">
        <f>IFERROR(__xludf.DUMMYFUNCTION("""COMPUTED_VALUE"""),"Gómez-Abajo P.; Cañizares P.C.; Núñez A.; Guerra E.; de Lara J.")</f>
        <v>Gómez-Abajo P.; Cañizares P.C.; Núñez A.; Guerra E.; de Lara J.</v>
      </c>
      <c r="E572" s="7" t="str">
        <f>IFERROR(__xludf.DUMMYFUNCTION("""COMPUTED_VALUE"""),"Automated engineering of domain-specific metamorphic testing environments")</f>
        <v>Automated engineering of domain-specific metamorphic testing environments</v>
      </c>
      <c r="F572" s="7" t="str">
        <f>IFERROR(__xludf.DUMMYFUNCTION("""COMPUTED_VALUE"""),"IST")</f>
        <v>IST</v>
      </c>
      <c r="G572" s="7" t="str">
        <f>IFERROR(__xludf.DUMMYFUNCTION("""COMPUTED_VALUE"""),"Context: Testing is essential to improve the correctness of software systems. Metamorphic testing (MT) is an approach especially suited when the system under test lacks oracles, or they are expensive to compute. However, building an MT environment for a p"&amp;"articular domain (e.g., cloud simulation, model transformation, machine learning) requires substantial effort. Objective: Our goal is to facilitate the construction of MT environments for specific domains. Method: We propose a model-driven engineering app"&amp;"roach to automate the construction of MT environments. Starting from a meta-model capturing the domain concepts, and a description of the domain execution environment, our approach produces an MT environment featuring comprehensive support for the MT proc"&amp;"ess. This includes the definition of domain-specific metamorphic relations, their evaluation, detailed reporting of the testing results, and the automated search-based generation of follow-up test cases. Results: Our method is supported by an extensible p"&amp;"latform for Eclipse, called GOTTEN. We demonstrate its effectiveness by creating an MT environment for simulation-based testing of data centres and comparing with existing tools; its suitability to conduct MT processes by replicating previous experiments;"&amp;" and its generality by building another MT environment for video streaming APIs. Conclusion: GOTTEN is the first platform targeted at reducing the development effort of domain-specific MT environments. The environments created with GOTTEN facilitate the s"&amp;"pecification of metamorphic relations, their evaluation, and the generation of new test cases. © 2023 The Author(s)")</f>
        <v>Context: Testing is essential to improve the correctness of software systems. Metamorphic testing (MT) is an approach especially suited when the system under test lacks oracles, or they are expensive to compute. However, building an MT environment for a particular domain (e.g., cloud simulation, model transformation, machine learning) requires substantial effort. Objective: Our goal is to facilitate the construction of MT environments for specific domains. Method: We propose a model-driven engineering approach to automate the construction of MT environments. Starting from a meta-model capturing the domain concepts, and a description of the domain execution environment, our approach produces an MT environment featuring comprehensive support for the MT process. This includes the definition of domain-specific metamorphic relations, their evaluation, detailed reporting of the testing results, and the automated search-based generation of follow-up test cases. Results: Our method is supported by an extensible platform for Eclipse, called GOTTEN. We demonstrate its effectiveness by creating an MT environment for simulation-based testing of data centres and comparing with existing tools; its suitability to conduct MT processes by replicating previous experiments; and its generality by building another MT environment for video streaming APIs. Conclusion: GOTTEN is the first platform targeted at reducing the development effort of domain-specific MT environments. The environments created with GOTTEN facilitate the specification of metamorphic relations, their evaluation, and the generation of new test cases. © 2023 The Author(s)</v>
      </c>
      <c r="H572" s="8" t="str">
        <f>IFERROR(__xludf.DUMMYFUNCTION("""COMPUTED_VALUE"""),"Cloud computing; Domain-specific languages; Metamorphic testing; Model-driven engineering; Simulation")</f>
        <v>Cloud computing; Domain-specific languages; Metamorphic testing; Model-driven engineering; Simulation</v>
      </c>
      <c r="I572" s="10" t="b">
        <v>0</v>
      </c>
      <c r="J572" s="10" t="b">
        <v>0</v>
      </c>
      <c r="K572" s="10" t="b">
        <v>0</v>
      </c>
      <c r="L572" s="10" t="b">
        <v>0</v>
      </c>
      <c r="M572" s="10" t="b">
        <v>0</v>
      </c>
      <c r="N572" s="10" t="b">
        <v>0</v>
      </c>
      <c r="O572" s="11" t="b">
        <f t="shared" si="1"/>
        <v>0</v>
      </c>
      <c r="P572" s="16" t="b">
        <v>0</v>
      </c>
      <c r="Q572" s="7"/>
    </row>
    <row r="573">
      <c r="A573" s="5" t="b">
        <v>1</v>
      </c>
      <c r="B573" s="5" t="s">
        <v>616</v>
      </c>
      <c r="C573" s="6" t="str">
        <f>IFERROR(__xludf.DUMMYFUNCTION("""COMPUTED_VALUE"""),"10.1016/j.infsof.2021.106551")</f>
        <v>10.1016/j.infsof.2021.106551</v>
      </c>
      <c r="D573" s="7" t="str">
        <f>IFERROR(__xludf.DUMMYFUNCTION("""COMPUTED_VALUE"""),"Auer F.; Ros R.; Kaltenbrunner L.; Runeson P.; Felderer M.")</f>
        <v>Auer F.; Ros R.; Kaltenbrunner L.; Runeson P.; Felderer M.</v>
      </c>
      <c r="E573" s="7" t="str">
        <f>IFERROR(__xludf.DUMMYFUNCTION("""COMPUTED_VALUE"""),"Controlled experimentation in continuous experimentation: Knowledge and challenges")</f>
        <v>Controlled experimentation in continuous experimentation: Knowledge and challenges</v>
      </c>
      <c r="F573" s="7" t="str">
        <f>IFERROR(__xludf.DUMMYFUNCTION("""COMPUTED_VALUE"""),"IST")</f>
        <v>IST</v>
      </c>
      <c r="G573" s="7" t="str">
        <f>IFERROR(__xludf.DUMMYFUNCTION("""COMPUTED_VALUE"""),"Context: Continuous experimentation and A/B testing is an established industry practice that has been researched for more than 10 years. Our aim is to synthesize the conducted research. Objective: We wanted to find the core constituents of a framework for"&amp;" continuous experimentation and the solutions that are applied within the field. Finally, we were interested in the challenges and benefits reported of continuous experimentation. Methods: We applied forward snowballing on a known set of papers and identi"&amp;"fied a total of 128 relevant papers. Based on this set of papers we performed two qualitative narrative syntheses and a thematic synthesis to answer the research questions. Results: The framework constituents for continuous experimentation include experim"&amp;"entation processes as well as supportive technical and organizational infrastructure. The solutions found in the literature were synthesized to nine themes, e.g. experiment design, automated experiments, or metric specification. Concerning the challenges "&amp;"of continuous experimentation, the analysis identified cultural, organizational, business, technical, statistical, ethical, and domain-specific challenges. Further, the study concludes that the benefits of experimentation are mostly implicit in the studie"&amp;"s. Conclusion: The research on continuous experimentation has yielded a large body of knowledge on experimentation. The synthesis of published research presented within include recommended infrastructure and experimentation process models, guidelines to m"&amp;"itigate the identified challenges, and what problems the various published solutions solve. © 2021 The Authors")</f>
        <v>Context: Continuous experimentation and A/B testing is an established industry practice that has been researched for more than 10 years. Our aim is to synthesize the conducted research. Objective: We wanted to find the core constituents of a framework for continuous experimentation and the solutions that are applied within the field. Finally, we were interested in the challenges and benefits reported of continuous experimentation. Methods: We applied forward snowballing on a known set of papers and identified a total of 128 relevant papers. Based on this set of papers we performed two qualitative narrative syntheses and a thematic synthesis to answer the research questions. Results: The framework constituents for continuous experimentation include experimentation processes as well as supportive technical and organizational infrastructure. The solutions found in the literature were synthesized to nine themes, e.g. experiment design, automated experiments, or metric specification. Concerning the challenges of continuous experimentation, the analysis identified cultural, organizational, business, technical, statistical, ethical, and domain-specific challenges. Further, the study concludes that the benefits of experimentation are mostly implicit in the studies. Conclusion: The research on continuous experimentation has yielded a large body of knowledge on experimentation. The synthesis of published research presented within include recommended infrastructure and experimentation process models, guidelines to mitigate the identified challenges, and what problems the various published solutions solve. © 2021 The Authors</v>
      </c>
      <c r="H573" s="8" t="str">
        <f>IFERROR(__xludf.DUMMYFUNCTION("""COMPUTED_VALUE"""),"A/B testing; Continuous experimentation; Online controlled experiments; Systematic literature review")</f>
        <v>A/B testing; Continuous experimentation; Online controlled experiments; Systematic literature review</v>
      </c>
      <c r="I573" s="10" t="b">
        <v>0</v>
      </c>
      <c r="J573" s="10" t="b">
        <v>0</v>
      </c>
      <c r="K573" s="10" t="b">
        <v>0</v>
      </c>
      <c r="L573" s="10" t="b">
        <v>0</v>
      </c>
      <c r="M573" s="10" t="b">
        <v>0</v>
      </c>
      <c r="N573" s="10" t="b">
        <v>0</v>
      </c>
      <c r="O573" s="11" t="b">
        <f t="shared" si="1"/>
        <v>0</v>
      </c>
      <c r="P573" s="16" t="b">
        <v>0</v>
      </c>
      <c r="Q573" s="7"/>
    </row>
    <row r="574">
      <c r="A574" s="5" t="b">
        <v>1</v>
      </c>
      <c r="B574" s="5" t="s">
        <v>617</v>
      </c>
      <c r="C574" s="6" t="str">
        <f>IFERROR(__xludf.DUMMYFUNCTION("""COMPUTED_VALUE"""),"10.1016/j.infsof.2016.08.008")</f>
        <v>10.1016/j.infsof.2016.08.008</v>
      </c>
      <c r="D574" s="7" t="str">
        <f>IFERROR(__xludf.DUMMYFUNCTION("""COMPUTED_VALUE"""),"de Oliveira Neto F.G.; Torkar R.; Machado P.D.L.")</f>
        <v>de Oliveira Neto F.G.; Torkar R.; Machado P.D.L.</v>
      </c>
      <c r="E574" s="7" t="str">
        <f>IFERROR(__xludf.DUMMYFUNCTION("""COMPUTED_VALUE"""),"Full modification coverage through automatic similarity-based test case selection")</f>
        <v>Full modification coverage through automatic similarity-based test case selection</v>
      </c>
      <c r="F574" s="7" t="str">
        <f>IFERROR(__xludf.DUMMYFUNCTION("""COMPUTED_VALUE"""),"IST")</f>
        <v>IST</v>
      </c>
      <c r="G574" s="7" t="str">
        <f>IFERROR(__xludf.DUMMYFUNCTION("""COMPUTED_VALUE"""),"Context: This paper presents the similarity approach for regression testing (SART), where a similarity-based test case selection technique (STCS) is used in a model-based testing process to provide selection of test cases exercising modified parts of a sp"&amp;"ecification model. Unlike other model-based regression testing techniques, SART relies on similarity analysis among test cases to identify modifications, instead of comparing models, hence reducing the dependency on specific types of model. Objective: To "&amp;"present convincing evidence of the usage of similarity measures for modification-traversing test case selection. Method: We investigate SART in a case study and an experiment. The case study uses artefacts from industry and should be seen as a sanity chec"&amp;"k of SART, while the experiment focuses on gaining statistical power through the generation of synthetical models in order to provide convincing evidence of SART's effectiveness. Through posthoc analysis we obtain p-values and effect sizes to observe stat"&amp;"istically significant differences between treatments with respect to transition and modification coverage. Results: The case study with industrial artefacts revealed that SART is able to uncover the same number of defects as known similarity-based test ca"&amp;"se selection techniques. In turn, the experiment shows that SART, unlike the other investigated techniques, presents 100% modification coverage. In addition, all techniques covered a similar percentage of model transitions. Conclusions: In summary, not on"&amp;"ly does SART provide transition and defect coverage equal to known STCS techniques, but it exceeds greatly in covering modified parts of the specification model, being a suitable candidate for model-based regression testing. © 2016 Elsevier B.V.")</f>
        <v>Context: This paper presents the similarity approach for regression testing (SART), where a similarity-based test case selection technique (STCS) is used in a model-based testing process to provide selection of test cases exercising modified parts of a specification model. Unlike other model-based regression testing techniques, SART relies on similarity analysis among test cases to identify modifications, instead of comparing models, hence reducing the dependency on specific types of model. Objective: To present convincing evidence of the usage of similarity measures for modification-traversing test case selection. Method: We investigate SART in a case study and an experiment. The case study uses artefacts from industry and should be seen as a sanity check of SART, while the experiment focuses on gaining statistical power through the generation of synthetical models in order to provide convincing evidence of SART's effectiveness. Through posthoc analysis we obtain p-values and effect sizes to observe statistically significant differences between treatments with respect to transition and modification coverage. Results: The case study with industrial artefacts revealed that SART is able to uncover the same number of defects as known similarity-based test case selection techniques. In turn, the experiment shows that SART, unlike the other investigated techniques, presents 100% modification coverage. In addition, all techniques covered a similar percentage of model transitions. Conclusions: In summary, not only does SART provide transition and defect coverage equal to known STCS techniques, but it exceeds greatly in covering modified parts of the specification model, being a suitable candidate for model-based regression testing. © 2016 Elsevier B.V.</v>
      </c>
      <c r="H574" s="8" t="str">
        <f>IFERROR(__xludf.DUMMYFUNCTION("""COMPUTED_VALUE"""),"Experimental study; Model-based testing; Regression testing; Test case selection")</f>
        <v>Experimental study; Model-based testing; Regression testing; Test case selection</v>
      </c>
      <c r="I574" s="10" t="b">
        <v>0</v>
      </c>
      <c r="J574" s="10" t="b">
        <v>0</v>
      </c>
      <c r="K574" s="10" t="b">
        <v>0</v>
      </c>
      <c r="L574" s="10" t="b">
        <v>0</v>
      </c>
      <c r="M574" s="10" t="b">
        <v>0</v>
      </c>
      <c r="N574" s="10" t="b">
        <v>0</v>
      </c>
      <c r="O574" s="11" t="b">
        <f t="shared" si="1"/>
        <v>0</v>
      </c>
      <c r="P574" s="16" t="b">
        <v>0</v>
      </c>
      <c r="Q574" s="7"/>
    </row>
    <row r="575">
      <c r="A575" s="5" t="b">
        <v>1</v>
      </c>
      <c r="B575" s="5" t="s">
        <v>618</v>
      </c>
      <c r="C575" s="6" t="str">
        <f>IFERROR(__xludf.DUMMYFUNCTION("""COMPUTED_VALUE"""),"10.1016/j.infsof.2023.107226")</f>
        <v>10.1016/j.infsof.2023.107226</v>
      </c>
      <c r="D575" s="7" t="str">
        <f>IFERROR(__xludf.DUMMYFUNCTION("""COMPUTED_VALUE"""),"van Oosten W.; Rasiman R.; Dalpiaz F.; Hurkmans T.")</f>
        <v>van Oosten W.; Rasiman R.; Dalpiaz F.; Hurkmans T.</v>
      </c>
      <c r="E575" s="7" t="str">
        <f>IFERROR(__xludf.DUMMYFUNCTION("""COMPUTED_VALUE"""),"On the effectiveness of automated tracing from model changes to project issues")</f>
        <v>On the effectiveness of automated tracing from model changes to project issues</v>
      </c>
      <c r="F575" s="7" t="str">
        <f>IFERROR(__xludf.DUMMYFUNCTION("""COMPUTED_VALUE"""),"IST")</f>
        <v>IST</v>
      </c>
      <c r="G575" s="7" t="str">
        <f>IFERROR(__xludf.DUMMYFUNCTION("""COMPUTED_VALUE"""),"Context: Requirements Traceability (RT) is concerned with monitoring and documenting the lifecycle of requirements. Although researchers have proposed several automated tracing tools, trace link establishment and maintenance are still prevalently manual a"&amp;"ctivities. Objective: In order to foster the adoption of automated tracing tools, we study their empirical effectiveness in the context of model-driven development (MDD). We focus on trace link recovery (TLR) from (i) SVN revisions of MDD models to (ii) J"&amp;"IRA issues that represent requirements and bugs. Method: Based on the state-of-the-art in automated TLR, we propose the LCDTRACE tool that uses 131 features to train a machine learning classifier. Some of these features use specific information for MDD co"&amp;"ntexts. We conduct three experiments on ten datasets from seven MDD projects. First, we evaluate the effectiveness of three ML algorithms and four rebalancing strategies using all 131 features, and we derive two optimal combinations for trace link recomme"&amp;"ndation and for trace maintenance. Second, we investigate whether the MDD-specific features convey higher performance than a version of LCDTRACE that excludes those features. Third, we employ automated feature selection and study whether we can reduce the"&amp;" number of features while keeping similar performance, thereby boosting time and energy efficiency. Results: In our experiments, the gradient boosting models outperform those based on random forests. The best combinations for trace recommendation and main"&amp;"tenance achieve an F2-score of 61% and F0.5-score of 67%, respectively. While MDD-specific features do not provide additional value, automated feature selection succeeds at reducing feature numerosity without compromising performance. Conclusion: We provi"&amp;"de insights on the effectiveness of state-of-the-art TLR techniques in MDD. Our findings are a baseline for devising and experimenting with alternative TLR approaches. © 2023 The Author(s)")</f>
        <v>Context: Requirements Traceability (RT) is concerned with monitoring and documenting the lifecycle of requirements. Although researchers have proposed several automated tracing tools, trace link establishment and maintenance are still prevalently manual activities. Objective: In order to foster the adoption of automated tracing tools, we study their empirical effectiveness in the context of model-driven development (MDD). We focus on trace link recovery (TLR) from (i) SVN revisions of MDD models to (ii) JIRA issues that represent requirements and bugs. Method: Based on the state-of-the-art in automated TLR, we propose the LCDTRACE tool that uses 131 features to train a machine learning classifier. Some of these features use specific information for MDD contexts. We conduct three experiments on ten datasets from seven MDD projects. First, we evaluate the effectiveness of three ML algorithms and four rebalancing strategies using all 131 features, and we derive two optimal combinations for trace link recommendation and for trace maintenance. Second, we investigate whether the MDD-specific features convey higher performance than a version of LCDTRACE that excludes those features. Third, we employ automated feature selection and study whether we can reduce the number of features while keeping similar performance, thereby boosting time and energy efficiency. Results: In our experiments, the gradient boosting models outperform those based on random forests. The best combinations for trace recommendation and maintenance achieve an F2-score of 61% and F0.5-score of 67%, respectively. While MDD-specific features do not provide additional value, automated feature selection succeeds at reducing feature numerosity without compromising performance. Conclusion: We provide insights on the effectiveness of state-of-the-art TLR techniques in MDD. Our findings are a baseline for devising and experimenting with alternative TLR approaches. © 2023 The Author(s)</v>
      </c>
      <c r="H575" s="8" t="str">
        <f>IFERROR(__xludf.DUMMYFUNCTION("""COMPUTED_VALUE"""),"Low-code development; Machine learning; Model-driven development; Requirement Traceability; Trace link recovery")</f>
        <v>Low-code development; Machine learning; Model-driven development; Requirement Traceability; Trace link recovery</v>
      </c>
      <c r="I575" s="10" t="b">
        <v>0</v>
      </c>
      <c r="J575" s="10" t="b">
        <v>0</v>
      </c>
      <c r="K575" s="10" t="b">
        <v>0</v>
      </c>
      <c r="L575" s="10" t="b">
        <v>0</v>
      </c>
      <c r="M575" s="10" t="b">
        <v>0</v>
      </c>
      <c r="N575" s="10" t="b">
        <v>0</v>
      </c>
      <c r="O575" s="11" t="b">
        <f t="shared" si="1"/>
        <v>0</v>
      </c>
      <c r="P575" s="16" t="b">
        <v>0</v>
      </c>
      <c r="Q575" s="7"/>
    </row>
    <row r="576">
      <c r="A576" s="5" t="b">
        <v>1</v>
      </c>
      <c r="B576" s="5" t="s">
        <v>619</v>
      </c>
      <c r="C576" s="6" t="str">
        <f>IFERROR(__xludf.DUMMYFUNCTION("""COMPUTED_VALUE"""),"10.1016/j.infsof.2021.106558")</f>
        <v>10.1016/j.infsof.2021.106558</v>
      </c>
      <c r="D576" s="7" t="str">
        <f>IFERROR(__xludf.DUMMYFUNCTION("""COMPUTED_VALUE"""),"Javed M.; Lin Y.")</f>
        <v>Javed M.; Lin Y.</v>
      </c>
      <c r="E576" s="7" t="str">
        <f>IFERROR(__xludf.DUMMYFUNCTION("""COMPUTED_VALUE"""),"iMER: Iterative process of entity relationship and business process model extraction from the requirements")</f>
        <v>iMER: Iterative process of entity relationship and business process model extraction from the requirements</v>
      </c>
      <c r="F576" s="7" t="str">
        <f>IFERROR(__xludf.DUMMYFUNCTION("""COMPUTED_VALUE"""),"IST")</f>
        <v>IST</v>
      </c>
      <c r="G576" s="7" t="str">
        <f>IFERROR(__xludf.DUMMYFUNCTION("""COMPUTED_VALUE"""),"Context: Extracting conceptual models, e.g., entity relationship model or Business Process model, from software requirement document is an essential task in the software development life cycle. Business process model presents a clear picture of required s"&amp;"ystem's functionality. Operations in business process model together with the data entity consumed, help the software developers to understand the database design and operations to be implemented. Researchers have been aiming at automatic extraction of th"&amp;"ese artefacts from the requirement document. Objective: In this paper, we present an automated approach to extract the entity relationship and business process models from requirements, which are possibly in different formats such as general requirements,"&amp;" use case specification and user stories. Our approach is based on the efficient natural language processing techniques. Method: It is an iterative approach of Models Extraction from the Requirements (iMER). iMER has multiple iterations where each iterati"&amp;"on is to address a sub-problem. In the first iteration, iMER extracts the data entities and attributes. Second iteration is to find the relationships between data entities, while extracting cardinalities is in the third step. Business process model is gen"&amp;"erated in the fourth iteration, containing the external (actors’) and internal (system's) operations. Evaluation: To evaluate the performance and accuracy of iMER, experiments are conducted on various formats of the requirement documents. Additionally, we"&amp;" have also evaluated our approaches using the requirement documents which been modified by shuffling the sentences and by merging with other requirements. Comparative study is also performed. The preliminary results show a noticeable improvement. Conclusi"&amp;"on: The iMER is an efficient automated iterative approach that is able to extract the conceptual models from the various formats of requirements. © 2021")</f>
        <v>Context: Extracting conceptual models, e.g., entity relationship model or Business Process model, from software requirement document is an essential task in the software development life cycle. Business process model presents a clear picture of required system's functionality. Operations in business process model together with the data entity consumed, help the software developers to understand the database design and operations to be implemented. Researchers have been aiming at automatic extraction of these artefacts from the requirement document. Objective: In this paper, we present an automated approach to extract the entity relationship and business process models from requirements, which are possibly in different formats such as general requirements, use case specification and user stories. Our approach is based on the efficient natural language processing techniques. Method: It is an iterative approach of Models Extraction from the Requirements (iMER). iMER has multiple iterations where each iteration is to address a sub-problem. In the first iteration, iMER extracts the data entities and attributes. Second iteration is to find the relationships between data entities, while extracting cardinalities is in the third step. Business process model is generated in the fourth iteration, containing the external (actors’) and internal (system's) operations. Evaluation: To evaluate the performance and accuracy of iMER, experiments are conducted on various formats of the requirement documents. Additionally, we have also evaluated our approaches using the requirement documents which been modified by shuffling the sentences and by merging with other requirements. Comparative study is also performed. The preliminary results show a noticeable improvement. Conclusion: The iMER is an efficient automated iterative approach that is able to extract the conceptual models from the various formats of requirements. © 2021</v>
      </c>
      <c r="H576" s="8" t="str">
        <f>IFERROR(__xludf.DUMMYFUNCTION("""COMPUTED_VALUE"""),"Business process model; Entity relationship model; General requirements; Natural language processing; Use case specification; User stories")</f>
        <v>Business process model; Entity relationship model; General requirements; Natural language processing; Use case specification; User stories</v>
      </c>
      <c r="I576" s="10" t="b">
        <v>0</v>
      </c>
      <c r="J576" s="9" t="b">
        <v>1</v>
      </c>
      <c r="K576" s="9" t="b">
        <v>1</v>
      </c>
      <c r="L576" s="10" t="b">
        <v>0</v>
      </c>
      <c r="M576" s="10" t="b">
        <v>0</v>
      </c>
      <c r="N576" s="10" t="b">
        <v>0</v>
      </c>
      <c r="O576" s="11" t="b">
        <f t="shared" si="1"/>
        <v>0</v>
      </c>
      <c r="P576" s="16" t="b">
        <v>0</v>
      </c>
      <c r="Q576" s="7"/>
    </row>
    <row r="577">
      <c r="A577" s="5" t="b">
        <v>1</v>
      </c>
      <c r="B577" s="5" t="s">
        <v>620</v>
      </c>
      <c r="C577" s="6" t="str">
        <f>IFERROR(__xludf.DUMMYFUNCTION("""COMPUTED_VALUE"""),"10.1016/j.infsof.2015.09.005")</f>
        <v>10.1016/j.infsof.2015.09.005</v>
      </c>
      <c r="D577" s="7" t="str">
        <f>IFERROR(__xludf.DUMMYFUNCTION("""COMPUTED_VALUE"""),"Ali N.; Lai R.")</f>
        <v>Ali N.; Lai R.</v>
      </c>
      <c r="E577" s="7" t="str">
        <f>IFERROR(__xludf.DUMMYFUNCTION("""COMPUTED_VALUE"""),"A method of requirements change management for Global software development")</f>
        <v>A method of requirements change management for Global software development</v>
      </c>
      <c r="F577" s="7" t="str">
        <f>IFERROR(__xludf.DUMMYFUNCTION("""COMPUTED_VALUE"""),"IST")</f>
        <v>IST</v>
      </c>
      <c r="G577" s="7" t="str">
        <f>IFERROR(__xludf.DUMMYFUNCTION("""COMPUTED_VALUE"""),"Context:: Requirements change is an inevitable software development activity and can occur due to changes in user requirements, increased understanding of the stakeholders' needs, customer organizational restructure, and availability of new technologies. "&amp;"Timely management of these changes is vital to successful software development, which can be achieved through a rigorous requirements change management (RCM) process. RCM is not straight forward in collocated software development; and with the presences o"&amp;"f geographical, social, cultural and temporal factors in Global Software Development (GSD), it makes RCM even more difficult for GSD. Existing RCM methods do not take into consideration of the GSD issues. Objective:: In this paper, we present a method for"&amp;" managing requirements changes for GSD. Method:: Our method consists of three stages: (i)an understanding of the changes required between different GSD sites is to be established; (ii) a change analysis is to be performed with respect to the development w"&amp;"ork, which might be either directly or indirectly affected by the changes; and (iii) a finalization of the changes will be made between GSD sites. Past researchers used student groups in a university environment to play the roles of stakeholders in experi"&amp;"ments in GSD studies. We validate our method by applying it to a case study of an online shopping system, where the roles of stakeholders were played by a group of students. Results:: The results showed that our method facilitates stakeholders to manage r"&amp;"equirements changes for GSD better than the existing methods could. Conclusion:: Managing changes in requirements at the right time improves the chance of developing a GSD project successfully by minimizing the risks associated with it. © 2015 Elsevier B."&amp;"V. All rights reserved.")</f>
        <v>Context:: Requirements change is an inevitable software development activity and can occur due to changes in user requirements, increased understanding of the stakeholders' needs, customer organizational restructure, and availability of new technologies. Timely management of these changes is vital to successful software development, which can be achieved through a rigorous requirements change management (RCM) process. RCM is not straight forward in collocated software development; and with the presences of geographical, social, cultural and temporal factors in Global Software Development (GSD), it makes RCM even more difficult for GSD. Existing RCM methods do not take into consideration of the GSD issues. Objective:: In this paper, we present a method for managing requirements changes for GSD. Method:: Our method consists of three stages: (i)an understanding of the changes required between different GSD sites is to be established; (ii) a change analysis is to be performed with respect to the development work, which might be either directly or indirectly affected by the changes; and (iii) a finalization of the changes will be made between GSD sites. Past researchers used student groups in a university environment to play the roles of stakeholders in experiments in GSD studies. We validate our method by applying it to a case study of an online shopping system, where the roles of stakeholders were played by a group of students. Results:: The results showed that our method facilitates stakeholders to manage requirements changes for GSD better than the existing methods could. Conclusion:: Managing changes in requirements at the right time improves the chance of developing a GSD project successfully by minimizing the risks associated with it. © 2015 Elsevier B.V. All rights reserved.</v>
      </c>
      <c r="H577" s="8" t="str">
        <f>IFERROR(__xludf.DUMMYFUNCTION("""COMPUTED_VALUE"""),"Distributed teams; Global Software Development; Requirements change management")</f>
        <v>Distributed teams; Global Software Development; Requirements change management</v>
      </c>
      <c r="I577" s="10" t="b">
        <v>0</v>
      </c>
      <c r="J577" s="9" t="b">
        <v>1</v>
      </c>
      <c r="K577" s="10" t="b">
        <v>0</v>
      </c>
      <c r="L577" s="10" t="b">
        <v>0</v>
      </c>
      <c r="M577" s="10" t="b">
        <v>0</v>
      </c>
      <c r="N577" s="10" t="b">
        <v>0</v>
      </c>
      <c r="O577" s="11" t="b">
        <f t="shared" si="1"/>
        <v>0</v>
      </c>
      <c r="P577" s="16" t="b">
        <v>0</v>
      </c>
      <c r="Q577" s="7"/>
    </row>
    <row r="578">
      <c r="A578" s="5" t="b">
        <v>1</v>
      </c>
      <c r="B578" s="5" t="s">
        <v>621</v>
      </c>
      <c r="C578" s="6" t="str">
        <f>IFERROR(__xludf.DUMMYFUNCTION("""COMPUTED_VALUE"""),"10.1016/j.infsof.2014.09.010")</f>
        <v>10.1016/j.infsof.2014.09.010</v>
      </c>
      <c r="D578" s="7" t="str">
        <f>IFERROR(__xludf.DUMMYFUNCTION("""COMPUTED_VALUE"""),"Cortes-Cornax M.; Matei A.; Dupuy-Chessa S.; Rieu D.; Mandran N.; Letier E.")</f>
        <v>Cortes-Cornax M.; Matei A.; Dupuy-Chessa S.; Rieu D.; Mandran N.; Letier E.</v>
      </c>
      <c r="E578" s="7" t="str">
        <f>IFERROR(__xludf.DUMMYFUNCTION("""COMPUTED_VALUE"""),"Using intentional fragments to bridge the gap between organizational and intentional levels")</f>
        <v>Using intentional fragments to bridge the gap between organizational and intentional levels</v>
      </c>
      <c r="F578" s="7" t="str">
        <f>IFERROR(__xludf.DUMMYFUNCTION("""COMPUTED_VALUE"""),"IST")</f>
        <v>IST</v>
      </c>
      <c r="G578" s="7" t="str">
        <f>IFERROR(__xludf.DUMMYFUNCTION("""COMPUTED_VALUE"""),"Context: Business process models provide a natural way to describe real-world processes to be supported by software-intensive systems. These models can be used to analyze processes in the system-as-is and describe potential improvements for the system-to-"&amp;"be. But, how well does a given business process model satisfy its business goals? How can different perspectives be integrated in order to describe an inter-organizational process? Objective: The aim of the present paper is to link the local and the globa"&amp;"l perspectives of the inter-organizational business process defined in BPMN 2.0 (Business Process Model and Notation) to KAOS goal models (Keep All Objectives Satisfied). We maintain a separation of concerns between the intentional level captured by the g"&amp;"oal model and the organizational level captured by the process model. The paper presents the concept of intentional fragment (a set of flow elements of the process with a common purpose) and assess its usefulness. Method: We conducted empirical experiment"&amp;"s where the proposed concepts - here the intentional fragments - are validated by users. Our method relies on an iterative improvement process led by users feedback. Results: We find that the concept of intentional fragment is useful for (1) analyzing the"&amp;" business process model (2) reasoning about the relations between the goal model and the business process model and (3) identifying new goals. In a previous work we focused on BPMN 2.0 collaboration models (local view). This paper extends the previous wor"&amp;"k by integrating the global view given by choreography models in the approach. Conclusion: We conclude that the notion of intentional fragment is a useful mean to relate business process models and goal models while dealing with their different nature (ac"&amp;"tivity oriented vs goal oriented). Intentional fragments can also be used to analyze the process model and to infer new goals in an iterative manner. © 2014 Elsevier B.V. All rights reserved.")</f>
        <v>Context: Business process models provide a natural way to describe real-world processes to be supported by software-intensive systems. These models can be used to analyze processes in the system-as-is and describe potential improvements for the system-to-be. But, how well does a given business process model satisfy its business goals? How can different perspectives be integrated in order to describe an inter-organizational process? Objective: The aim of the present paper is to link the local and the global perspectives of the inter-organizational business process defined in BPMN 2.0 (Business Process Model and Notation) to KAOS goal models (Keep All Objectives Satisfied). We maintain a separation of concerns between the intentional level captured by the goal model and the organizational level captured by the process model. The paper presents the concept of intentional fragment (a set of flow elements of the process with a common purpose) and assess its usefulness. Method: We conducted empirical experiments where the proposed concepts - here the intentional fragments - are validated by users. Our method relies on an iterative improvement process led by users feedback. Results: We find that the concept of intentional fragment is useful for (1) analyzing the business process model (2) reasoning about the relations between the goal model and the business process model and (3) identifying new goals. In a previous work we focused on BPMN 2.0 collaboration models (local view). This paper extends the previous work by integrating the global view given by choreography models in the approach. Conclusion: We conclude that the notion of intentional fragment is a useful mean to relate business process models and goal models while dealing with their different nature (activity oriented vs goal oriented). Intentional fragments can also be used to analyze the process model and to infer new goals in an iterative manner. © 2014 Elsevier B.V. All rights reserved.</v>
      </c>
      <c r="H578" s="8" t="str">
        <f>IFERROR(__xludf.DUMMYFUNCTION("""COMPUTED_VALUE"""),"BPMN 2.0; Business process management; Choreography; Goal-oriented requirements modeling; KAOS; Process modeling")</f>
        <v>BPMN 2.0; Business process management; Choreography; Goal-oriented requirements modeling; KAOS; Process modeling</v>
      </c>
      <c r="I578" s="10" t="b">
        <v>0</v>
      </c>
      <c r="J578" s="9" t="b">
        <v>0</v>
      </c>
      <c r="K578" s="10" t="b">
        <v>0</v>
      </c>
      <c r="L578" s="10" t="b">
        <v>0</v>
      </c>
      <c r="M578" s="10" t="b">
        <v>0</v>
      </c>
      <c r="N578" s="10" t="b">
        <v>0</v>
      </c>
      <c r="O578" s="11" t="b">
        <f t="shared" si="1"/>
        <v>0</v>
      </c>
      <c r="P578" s="12" t="b">
        <v>0</v>
      </c>
      <c r="Q578" s="7"/>
    </row>
    <row r="579">
      <c r="A579" s="5" t="b">
        <v>1</v>
      </c>
      <c r="B579" s="5" t="s">
        <v>622</v>
      </c>
      <c r="C579" s="6" t="str">
        <f>IFERROR(__xludf.DUMMYFUNCTION("""COMPUTED_VALUE"""),"10.1016/j.infsof.2021.106568")</f>
        <v>10.1016/j.infsof.2021.106568</v>
      </c>
      <c r="D579" s="7" t="str">
        <f>IFERROR(__xludf.DUMMYFUNCTION("""COMPUTED_VALUE"""),"Cortellessa V.; Di Pompeo D.")</f>
        <v>Cortellessa V.; Di Pompeo D.</v>
      </c>
      <c r="E579" s="7" t="str">
        <f>IFERROR(__xludf.DUMMYFUNCTION("""COMPUTED_VALUE"""),"Analyzing the sensitivity of multi-objective software architecture refactoring to configuration characteristics")</f>
        <v>Analyzing the sensitivity of multi-objective software architecture refactoring to configuration characteristics</v>
      </c>
      <c r="F579" s="7" t="str">
        <f>IFERROR(__xludf.DUMMYFUNCTION("""COMPUTED_VALUE"""),"IST")</f>
        <v>IST</v>
      </c>
      <c r="G579" s="7" t="str">
        <f>IFERROR(__xludf.DUMMYFUNCTION("""COMPUTED_VALUE"""),"Context: Software architecture refactoring can be induced by multiple reasons, such as satisfying new functional requirements or improving non-functional properties. Multi-objective optimization approaches have been widely used in the last few years to in"&amp;"troduce automation in the refactoring process, and they have revealed their potential especially when quantifiable attributes are targeted. However, the effectiveness of such approaches can be heavily affected by configuration characteristics of the optim"&amp;"ization algorithm, such as the composition of solutions. Objective: In this paper, we analyze the behavior of EASIER, which is an Evolutionary Approach for Software archItecturE Refactoring, while varying its configuration characteristics, with the object"&amp;"ive of studying its potential to find near-optimal solutions under different configurations. Method: In particular, we use two different solution space inspection algorithms (i.e., NSGA−II and SPEA2) while varying the genome length and the solution compos"&amp;"ition. Results: We have conducted our experiments on a specific case study modeled in Æmilia ADL, on which we have shown the ability of EASIER to identify performance-critical elements in the software architecture where refactoring is worth to be applied."&amp;" Beside this, from the comparison of multi-objective algorithms, NSGA−II has revealed to outperform SPEA2 in most of cases, although the latter one is able to induce more diversity in the proposed solutions. Conclusion: Our results show that the EASIER th"&amp;"oroughly automated process for software architecture refactoring allows to identify configuration contexts of the evolutionary algorithm in which multi-objective optimization more effectively finds near-optimal Pareto solutions. © 2021 The Authors")</f>
        <v>Context: Software architecture refactoring can be induced by multiple reasons, such as satisfying new functional requirements or improving non-functional properties. Multi-objective optimization approaches have been widely used in the last few years to introduce automation in the refactoring process, and they have revealed their potential especially when quantifiable attributes are targeted. However, the effectiveness of such approaches can be heavily affected by configuration characteristics of the optimization algorithm, such as the composition of solutions. Objective: In this paper, we analyze the behavior of EASIER, which is an Evolutionary Approach for Software archItecturE Refactoring, while varying its configuration characteristics, with the objective of studying its potential to find near-optimal solutions under different configurations. Method: In particular, we use two different solution space inspection algorithms (i.e., NSGA−II and SPEA2) while varying the genome length and the solution composition. Results: We have conducted our experiments on a specific case study modeled in Æmilia ADL, on which we have shown the ability of EASIER to identify performance-critical elements in the software architecture where refactoring is worth to be applied. Beside this, from the comparison of multi-objective algorithms, NSGA−II has revealed to outperform SPEA2 in most of cases, although the latter one is able to induce more diversity in the proposed solutions. Conclusion: Our results show that the EASIER thoroughly automated process for software architecture refactoring allows to identify configuration contexts of the evolutionary algorithm in which multi-objective optimization more effectively finds near-optimal Pareto solutions. © 2021 The Authors</v>
      </c>
      <c r="H579" s="8" t="str">
        <f>IFERROR(__xludf.DUMMYFUNCTION("""COMPUTED_VALUE"""),"Automated refactoring; Genetic algorithms; Multi-objective optimization; Search-based software engineering; Software performance antipatterns; Software performance engineering; Software quality")</f>
        <v>Automated refactoring; Genetic algorithms; Multi-objective optimization; Search-based software engineering; Software performance antipatterns; Software performance engineering; Software quality</v>
      </c>
      <c r="I579" s="10" t="b">
        <v>0</v>
      </c>
      <c r="J579" s="10" t="b">
        <v>0</v>
      </c>
      <c r="K579" s="10" t="b">
        <v>0</v>
      </c>
      <c r="L579" s="10" t="b">
        <v>0</v>
      </c>
      <c r="M579" s="10" t="b">
        <v>0</v>
      </c>
      <c r="N579" s="10" t="b">
        <v>0</v>
      </c>
      <c r="O579" s="11" t="b">
        <f t="shared" si="1"/>
        <v>0</v>
      </c>
      <c r="P579" s="16" t="b">
        <v>0</v>
      </c>
      <c r="Q579" s="7"/>
    </row>
    <row r="580">
      <c r="A580" s="5" t="b">
        <v>1</v>
      </c>
      <c r="B580" s="5" t="s">
        <v>623</v>
      </c>
      <c r="C580" s="6" t="str">
        <f>IFERROR(__xludf.DUMMYFUNCTION("""COMPUTED_VALUE"""),"10.1016/j.infsof.2015.03.009")</f>
        <v>10.1016/j.infsof.2015.03.009</v>
      </c>
      <c r="D580" s="7" t="str">
        <f>IFERROR(__xludf.DUMMYFUNCTION("""COMPUTED_VALUE"""),"Merayo M.G.; Núñez A.")</f>
        <v>Merayo M.G.; Núñez A.</v>
      </c>
      <c r="E580" s="7" t="str">
        <f>IFERROR(__xludf.DUMMYFUNCTION("""COMPUTED_VALUE"""),"Passive testing of communicating systems with timeouts")</f>
        <v>Passive testing of communicating systems with timeouts</v>
      </c>
      <c r="F580" s="7" t="str">
        <f>IFERROR(__xludf.DUMMYFUNCTION("""COMPUTED_VALUE"""),"IST")</f>
        <v>IST</v>
      </c>
      <c r="G580" s="7" t="str">
        <f>IFERROR(__xludf.DUMMYFUNCTION("""COMPUTED_VALUE"""),"Context The design of complex systems demands methodologies to analyze its correct behaviour. It is usual that a correct behaviour is determined by the compliance with temporal requirements. Currently, testing is the most used technology to validate the c"&amp;"orrectness of systems. Although several techniques that take into account time aspects have been proposed, most of them require the tester interacts with the system. However, if this is not possible, it is necessary to apply a passive testing approach whe"&amp;"re the tester monitors the behaviour of the system. Objective The aim of this paper is to propose a methodology to perform passive testing on communicating systems in which the behaviour of their components must fulfill temporal restrictions associated wi"&amp;"th both performance and delays/timeouts. Method Our framework uses algorithms for checking traces collected from the systems against invariants which formally represent the most relevant properties that must be fulfilled by the system. In order to support"&amp;" the feasibility of the methodology, we have performed an empirical study on a complex system for automatic recognition of images based on a pipeline architecture. We have analyzed the correctness of the system's behaviour with respect to a set of invaria"&amp;"nts. Finally, an experiment, based on mutations of the system, was conducted to study the level of detection of a set of invariants. Results Different errors were detected and fixed along the development of the system by means of the proposed methodology."&amp;" The results of the experiments with the mutated versions of the system indicated that the designed set of invariants was more effective in finding errors associated to temporal aspects than those related to communication among components. Conclusion The "&amp;"proposed technique has been shown to be very useful for analyzing complex timed systems, and find errors when the tester has no control over their behaviour. © 2015 Elsevier B.V.")</f>
        <v>Context The design of complex systems demands methodologies to analyze its correct behaviour. It is usual that a correct behaviour is determined by the compliance with temporal requirements. Currently, testing is the most used technology to validate the correctness of systems. Although several techniques that take into account time aspects have been proposed, most of them require the tester interacts with the system. However, if this is not possible, it is necessary to apply a passive testing approach where the tester monitors the behaviour of the system. Objective The aim of this paper is to propose a methodology to perform passive testing on communicating systems in which the behaviour of their components must fulfill temporal restrictions associated with both performance and delays/timeouts. Method Our framework uses algorithms for checking traces collected from the systems against invariants which formally represent the most relevant properties that must be fulfilled by the system. In order to support the feasibility of the methodology, we have performed an empirical study on a complex system for automatic recognition of images based on a pipeline architecture. We have analyzed the correctness of the system's behaviour with respect to a set of invariants. Finally, an experiment, based on mutations of the system, was conducted to study the level of detection of a set of invariants. Results Different errors were detected and fixed along the development of the system by means of the proposed methodology. The results of the experiments with the mutated versions of the system indicated that the designed set of invariants was more effective in finding errors associated to temporal aspects than those related to communication among components. Conclusion The proposed technique has been shown to be very useful for analyzing complex timed systems, and find errors when the tester has no control over their behaviour. © 2015 Elsevier B.V.</v>
      </c>
      <c r="H580" s="8" t="str">
        <f>IFERROR(__xludf.DUMMYFUNCTION("""COMPUTED_VALUE"""),"Communicating systems; Formal methods; Passive testing; Software testing; Timeouts")</f>
        <v>Communicating systems; Formal methods; Passive testing; Software testing; Timeouts</v>
      </c>
      <c r="I580" s="10" t="b">
        <v>0</v>
      </c>
      <c r="J580" s="10" t="b">
        <v>0</v>
      </c>
      <c r="K580" s="10" t="b">
        <v>0</v>
      </c>
      <c r="L580" s="10" t="b">
        <v>0</v>
      </c>
      <c r="M580" s="10" t="b">
        <v>0</v>
      </c>
      <c r="N580" s="10" t="b">
        <v>0</v>
      </c>
      <c r="O580" s="11" t="b">
        <f t="shared" si="1"/>
        <v>0</v>
      </c>
      <c r="P580" s="16" t="b">
        <v>0</v>
      </c>
      <c r="Q580" s="7"/>
    </row>
    <row r="581">
      <c r="A581" s="5" t="b">
        <v>1</v>
      </c>
      <c r="B581" s="5" t="s">
        <v>624</v>
      </c>
      <c r="C581" s="6" t="str">
        <f>IFERROR(__xludf.DUMMYFUNCTION("""COMPUTED_VALUE"""),"10.1016/j.infsof.2023.107203")</f>
        <v>10.1016/j.infsof.2023.107203</v>
      </c>
      <c r="D581" s="7" t="str">
        <f>IFERROR(__xludf.DUMMYFUNCTION("""COMPUTED_VALUE"""),"Hasso H.; Großer K.; Aymaz I.; Geppert H.; Jürjens J.")</f>
        <v>Hasso H.; Großer K.; Aymaz I.; Geppert H.; Jürjens J.</v>
      </c>
      <c r="E581" s="7" t="str">
        <f>IFERROR(__xludf.DUMMYFUNCTION("""COMPUTED_VALUE"""),"Enhanced abbreviation–expansion pair detection for glossary term extraction")</f>
        <v>Enhanced abbreviation–expansion pair detection for glossary term extraction</v>
      </c>
      <c r="F581" s="7" t="str">
        <f>IFERROR(__xludf.DUMMYFUNCTION("""COMPUTED_VALUE"""),"IST")</f>
        <v>IST</v>
      </c>
      <c r="G581" s="7" t="str">
        <f>IFERROR(__xludf.DUMMYFUNCTION("""COMPUTED_VALUE"""),"Context: Providing precise definitions of all project specific terms is a crucial task in requirements engineering. In order to support the glossary building process, many previous tools rely on the assumption that the requirements set has a certain level"&amp;" of quality. Yet, the parallel detection and correction of quality weaknesses in the context of glossary terms is beneficial to requirements definition. Objective: In this paper, we focus on detection of uncontrolled usage of abbreviations by identificati"&amp;"on of abbreviation–expansion pair (AEP) candidates. Methods: We compare our feature-based approach (ILLOD+) to other similarity measures to detect AEPs and propose how to extend the glossary term extraction (GTE) and synonym clustering with AEP-specific m"&amp;"ethods. Results: It shows that feature-based methods are more accurate for AEPs than syntactic and semantic similarity measures. Experiments with PURE data-sets extended with uncontrolled abbreviations show that ILLOD+ is able to extract abbreviations as "&amp;"well as match their expansions viably in a real-world setting and is well suited to augment previous synonym clusters with clusters that combine AEP candidates. AEP clusters generated with ILLOD+ are generally smaller than those based on syntactic or sema"&amp;"ntic similarity measures and have a higher recall. Conclusion: In this paper, we present ILLOD+, an extended feature-based approach to AEP detection and propose a workflow for its integration to clustering of glossary term candidates to enhance term conso"&amp;"lidation in evolving requirements. © 2023 Elsevier B.V.")</f>
        <v>Context: Providing precise definitions of all project specific terms is a crucial task in requirements engineering. In order to support the glossary building process, many previous tools rely on the assumption that the requirements set has a certain level of quality. Yet, the parallel detection and correction of quality weaknesses in the context of glossary terms is beneficial to requirements definition. Objective: In this paper, we focus on detection of uncontrolled usage of abbreviations by identification of abbreviation–expansion pair (AEP) candidates. Methods: We compare our feature-based approach (ILLOD+) to other similarity measures to detect AEPs and propose how to extend the glossary term extraction (GTE) and synonym clustering with AEP-specific methods. Results: It shows that feature-based methods are more accurate for AEPs than syntactic and semantic similarity measures. Experiments with PURE data-sets extended with uncontrolled abbreviations show that ILLOD+ is able to extract abbreviations as well as match their expansions viably in a real-world setting and is well suited to augment previous synonym clusters with clusters that combine AEP candidates. AEP clusters generated with ILLOD+ are generally smaller than those based on syntactic or semantic similarity measures and have a higher recall. Conclusion: In this paper, we present ILLOD+, an extended feature-based approach to AEP detection and propose a workflow for its integration to clustering of glossary term candidates to enhance term consolidation in evolving requirements. © 2023 Elsevier B.V.</v>
      </c>
      <c r="H581" s="8" t="str">
        <f>IFERROR(__xludf.DUMMYFUNCTION("""COMPUTED_VALUE"""),"Abbreviation–expansion pair detection; Glossary term extraction; Requirements; Synonym detection")</f>
        <v>Abbreviation–expansion pair detection; Glossary term extraction; Requirements; Synonym detection</v>
      </c>
      <c r="I581" s="10" t="b">
        <v>0</v>
      </c>
      <c r="J581" s="10" t="b">
        <v>0</v>
      </c>
      <c r="K581" s="10" t="b">
        <v>0</v>
      </c>
      <c r="L581" s="10" t="b">
        <v>0</v>
      </c>
      <c r="M581" s="10" t="b">
        <v>0</v>
      </c>
      <c r="N581" s="10" t="b">
        <v>0</v>
      </c>
      <c r="O581" s="11" t="b">
        <f t="shared" si="1"/>
        <v>0</v>
      </c>
      <c r="P581" s="16" t="b">
        <v>0</v>
      </c>
      <c r="Q581" s="7"/>
    </row>
    <row r="582">
      <c r="A582" s="5" t="b">
        <v>1</v>
      </c>
      <c r="B582" s="5" t="s">
        <v>625</v>
      </c>
      <c r="C582" s="6" t="str">
        <f>IFERROR(__xludf.DUMMYFUNCTION("""COMPUTED_VALUE"""),"10.1016/j.infsof.2017.10.018")</f>
        <v>10.1016/j.infsof.2017.10.018</v>
      </c>
      <c r="D582" s="7" t="str">
        <f>IFERROR(__xludf.DUMMYFUNCTION("""COMPUTED_VALUE"""),"Horcas J.-M.; Pinto M.; Fuentes L.")</f>
        <v>Horcas J.-M.; Pinto M.; Fuentes L.</v>
      </c>
      <c r="E582" s="7" t="str">
        <f>IFERROR(__xludf.DUMMYFUNCTION("""COMPUTED_VALUE"""),"Variability models for generating efficient configurations of functional quality attributes")</f>
        <v>Variability models for generating efficient configurations of functional quality attributes</v>
      </c>
      <c r="F582" s="7" t="str">
        <f>IFERROR(__xludf.DUMMYFUNCTION("""COMPUTED_VALUE"""),"IST")</f>
        <v>IST</v>
      </c>
      <c r="G582" s="7" t="str">
        <f>IFERROR(__xludf.DUMMYFUNCTION("""COMPUTED_VALUE"""),"Context: Quality attributes play a critical role in the architecture elicitation phase. Software Sustainability and energy efficiency is becoming a critical quality attribute that can be used as a selection criteria to choose from among different design o"&amp;"r implementation alternatives. Energy efficiency usually competes with other non-functional requirements, like for instance, performance. Objective: This paper presents a process that helps developers to automatically generate optimum configurations of fu"&amp;"nctional quality attributes in terms of energy efficiency and performance. Functional quality attributes refer to the behavioral properties that need to be incorporated inside a software architecture to fulfill a particular quality attribute (e.g., encryp"&amp;"tion and authentication for the security quality attribute, logging for the usability quality attribute). Method: Quality attributes are characterized to identify their design and implementation variants and how the different configurations influence both"&amp;" energy efficiency and performance. A usage model for each characterized quality attribute is defined. The variability of quality attributes, as well as the energy efficiency and performance experiment results, are represented as a constraint satisfaction"&amp;" problem with the goal of formally reasoning about it. Then, a configuration of the selected functional quality attributes is automatically generated, which is optimum with respect to a selected objective function. Results: Software developers can improve"&amp;" the energy efficiency and/or performance of their applications by using our approach to perform a richer analysis of the energy consumption and performance of different alternatives for functional quality attributes. We show quantitative values of the be"&amp;"nefits of using our approach and discuss the threats to validity. Conclusions: The process presented in this paper will help software developers to build more energy efficient software, whilst also being aware of how their decisions affect other quality a"&amp;"ttributes, such as performance. © 2017 The Authors")</f>
        <v>Context: Quality attributes play a critical role in the architecture elicitation phase. Software Sustainability and energy efficiency is becoming a critical quality attribute that can be used as a selection criteria to choose from among different design or implementation alternatives. Energy efficiency usually competes with other non-functional requirements, like for instance, performance. Objective: This paper presents a process that helps developers to automatically generate optimum configurations of functional quality attributes in terms of energy efficiency and performance. Functional quality attributes refer to the behavioral properties that need to be incorporated inside a software architecture to fulfill a particular quality attribute (e.g., encryption and authentication for the security quality attribute, logging for the usability quality attribute). Method: Quality attributes are characterized to identify their design and implementation variants and how the different configurations influence both energy efficiency and performance. A usage model for each characterized quality attribute is defined. The variability of quality attributes, as well as the energy efficiency and performance experiment results, are represented as a constraint satisfaction problem with the goal of formally reasoning about it. Then, a configuration of the selected functional quality attributes is automatically generated, which is optimum with respect to a selected objective function. Results: Software developers can improve the energy efficiency and/or performance of their applications by using our approach to perform a richer analysis of the energy consumption and performance of different alternatives for functional quality attributes. We show quantitative values of the benefits of using our approach and discuss the threats to validity. Conclusions: The process presented in this paper will help software developers to build more energy efficient software, whilst also being aware of how their decisions affect other quality attributes, such as performance. © 2017 The Authors</v>
      </c>
      <c r="H582" s="8" t="str">
        <f>IFERROR(__xludf.DUMMYFUNCTION("""COMPUTED_VALUE"""),"Energy consumption; Energy efficiency; Performance; Quality attributes; Software product line; Sustainability; Variability")</f>
        <v>Energy consumption; Energy efficiency; Performance; Quality attributes; Software product line; Sustainability; Variability</v>
      </c>
      <c r="I582" s="10" t="b">
        <v>0</v>
      </c>
      <c r="J582" s="10" t="b">
        <v>0</v>
      </c>
      <c r="K582" s="10" t="b">
        <v>0</v>
      </c>
      <c r="L582" s="10" t="b">
        <v>0</v>
      </c>
      <c r="M582" s="10" t="b">
        <v>0</v>
      </c>
      <c r="N582" s="10" t="b">
        <v>0</v>
      </c>
      <c r="O582" s="11" t="b">
        <f t="shared" si="1"/>
        <v>0</v>
      </c>
      <c r="P582" s="16" t="b">
        <v>0</v>
      </c>
      <c r="Q582" s="7"/>
    </row>
    <row r="583">
      <c r="A583" s="5" t="b">
        <v>1</v>
      </c>
      <c r="B583" s="5" t="s">
        <v>626</v>
      </c>
      <c r="C583" s="6" t="str">
        <f>IFERROR(__xludf.DUMMYFUNCTION("""COMPUTED_VALUE"""),"10.1016/j.infsof.2020.106501")</f>
        <v>10.1016/j.infsof.2020.106501</v>
      </c>
      <c r="D583" s="7" t="str">
        <f>IFERROR(__xludf.DUMMYFUNCTION("""COMPUTED_VALUE"""),"Hujainah F.; Binti Abu Bakar R.; Nasser A.B.; Al-haimi B.; Zamli K.Z.")</f>
        <v>Hujainah F.; Binti Abu Bakar R.; Nasser A.B.; Al-haimi B.; Zamli K.Z.</v>
      </c>
      <c r="E583" s="7" t="str">
        <f>IFERROR(__xludf.DUMMYFUNCTION("""COMPUTED_VALUE"""),"SRPTackle: A semi-automated requirements prioritisation technique for scalable requirements of software system projects")</f>
        <v>SRPTackle: A semi-automated requirements prioritisation technique for scalable requirements of software system projects</v>
      </c>
      <c r="F583" s="7" t="str">
        <f>IFERROR(__xludf.DUMMYFUNCTION("""COMPUTED_VALUE"""),"IST")</f>
        <v>IST</v>
      </c>
      <c r="G583" s="7" t="str">
        <f>IFERROR(__xludf.DUMMYFUNCTION("""COMPUTED_VALUE"""),"Context: Requirement prioritisation (RP) is often used to select the most important system requirements as perceived by system stakeholders. RP plays a vital role in ensuring the development of a quality system with defined constraints. However, a closer "&amp;"look at existing RP techniques reveals that these techniques suffer from some key challenges, such as scalability, lack of quantification, insufficient prioritisation of participating stakeholders, overreliance on the participation of professional experti"&amp;"se, lack of automation and excessive time consumption. These key challenges serve as the motivation for the present research. Objective: This study aims to propose a new semiautomated scalable prioritisation technique called ‘SRPTackle’ to address the key"&amp;" challenges. Method: SRPTackle provides a semiautomated process based on a combination of a constructed requirement priority value formulation function using a multi-criteria decision-making method (i.e. weighted sum model), clustering algorithms (K-means"&amp;" and K-means++) and a binary search tree to minimise the need for expert involvement and increase efficiency. The effectiveness of SRPTackle is assessed by conducting seven experiments using a benchmark dataset from a large actual software project. Result"&amp;"s: Experiment results reveal that SRPTackle can obtain 93.0% and 94.65% as minimum and maximum accuracy percentages, respectively. These values are better than those of alternative techniques. The findings also demonstrate the capability of SRPTackle to p"&amp;"rioritise large-scale requirements with reduced time consumption and its effectiveness in addressing the key challenges in comparison with other techniques. Conclusion: With the time effectiveness, ability to scale well with numerous requirements, automat"&amp;"ion and clear implementation guidelines of SRPTackle, project managers can perform RP for large-scale requirements in a proper manner, without necessitating an extensive amount of effort (e.g. tedious manual processes, need for the involvement of experts "&amp;"and time workload). © 2020 Elsevier Ltd")</f>
        <v>Context: Requirement prioritisation (RP) is often used to select the most important system requirements as perceived by system stakeholders. RP plays a vital role in ensuring the development of a quality system with defined constraints. However, a closer look at existing RP techniques reveals that these techniques suffer from some key challenges, such as scalability, lack of quantification, insufficient prioritisation of participating stakeholders, overreliance on the participation of professional expertise, lack of automation and excessive time consumption. These key challenges serve as the motivation for the present research. Objective: This study aims to propose a new semiautomated scalable prioritisation technique called ‘SRPTackle’ to address the key challenges. Method: SRPTackle provides a semiautomated process based on a combination of a constructed requirement priority value formulation function using a multi-criteria decision-making method (i.e. weighted sum model), clustering algorithms (K-means and K-means++) and a binary search tree to minimise the need for expert involvement and increase efficiency. The effectiveness of SRPTackle is assessed by conducting seven experiments using a benchmark dataset from a large actual software project. Results: Experiment results reveal that SRPTackle can obtain 93.0% and 94.65% as minimum and maximum accuracy percentages, respectively. These values are better than those of alternative techniques. The findings also demonstrate the capability of SRPTackle to prioritise large-scale requirements with reduced time consumption and its effectiveness in addressing the key challenges in comparison with other techniques. Conclusion: With the time effectiveness, ability to scale well with numerous requirements, automation and clear implementation guidelines of SRPTackle, project managers can perform RP for large-scale requirements in a proper manner, without necessitating an extensive amount of effort (e.g. tedious manual processes, need for the involvement of experts and time workload). © 2020 Elsevier Ltd</v>
      </c>
      <c r="H583" s="8"/>
      <c r="I583" s="10" t="b">
        <v>0</v>
      </c>
      <c r="J583" s="9" t="b">
        <v>1</v>
      </c>
      <c r="K583" s="9" t="b">
        <v>1</v>
      </c>
      <c r="L583" s="10" t="b">
        <v>0</v>
      </c>
      <c r="M583" s="10" t="b">
        <v>0</v>
      </c>
      <c r="N583" s="10" t="b">
        <v>0</v>
      </c>
      <c r="O583" s="11" t="b">
        <f t="shared" si="1"/>
        <v>0</v>
      </c>
      <c r="P583" s="16" t="b">
        <v>0</v>
      </c>
      <c r="Q583" s="7"/>
    </row>
    <row r="584">
      <c r="A584" s="5" t="b">
        <v>1</v>
      </c>
      <c r="B584" s="5" t="s">
        <v>627</v>
      </c>
      <c r="C584" s="6" t="str">
        <f>IFERROR(__xludf.DUMMYFUNCTION("""COMPUTED_VALUE"""),"10.1016/j.infsof.2022.106877")</f>
        <v>10.1016/j.infsof.2022.106877</v>
      </c>
      <c r="D584" s="7" t="str">
        <f>IFERROR(__xludf.DUMMYFUNCTION("""COMPUTED_VALUE"""),"AlDhafer O.; Ahmad I.; Mahmood S.")</f>
        <v>AlDhafer O.; Ahmad I.; Mahmood S.</v>
      </c>
      <c r="E584" s="7" t="str">
        <f>IFERROR(__xludf.DUMMYFUNCTION("""COMPUTED_VALUE"""),"An end-to-end deep learning system for requirements classification using recurrent neural networks")</f>
        <v>An end-to-end deep learning system for requirements classification using recurrent neural networks</v>
      </c>
      <c r="F584" s="7" t="str">
        <f>IFERROR(__xludf.DUMMYFUNCTION("""COMPUTED_VALUE"""),"IST")</f>
        <v>IST</v>
      </c>
      <c r="G584" s="7" t="str">
        <f>IFERROR(__xludf.DUMMYFUNCTION("""COMPUTED_VALUE"""),"Context: Existing requirements classification approaches mainly use lexical and syntactical features to classify requirements using both traditional machine learning and deep learning approaches with promising results. However, the existing techniques dep"&amp;"end on word and sentence structures and employ preprocessing and feature engineering techniques to classify requirements from textual natural language documents. Moreover, existing studies deal with requirements classification as binary or multiclass clas"&amp;"sification problems and not as multilabel classification, although a given requirement can belong to multiple classes at the same time. Objective: The objective of this study is to classify requirements into functional and different non-functional types w"&amp;"ith minimal preprocessing and to model the task as a multilabel classification problem. Method: In this paper, we use Bidirectional Gated Recurrent Neural Networks (BiGRU) to classify requirements using raw text. We investigated two different approaches: "&amp;"(i) using word sequences as tokens and (ii) using character sequences as tokens. Results: Experiments conducted on the publicly available PROMISE and EHR datasets show the effectiveness of the presented techniques. We achieve state-of-the-art results on m"&amp;"ost of the tasks using word sequences as tokens. Conclusion: Requirements can be effectively classified into functional and different non-functional categories using the presented recurrent neural networks-based deep learning system, which involves minima"&amp;"l text prepossessing and no feature engineering. © 2022 Elsevier B.V.")</f>
        <v>Context: Existing requirements classification approaches mainly use lexical and syntactical features to classify requirements using both traditional machine learning and deep learning approaches with promising results. However, the existing techniques depend on word and sentence structures and employ preprocessing and feature engineering techniques to classify requirements from textual natural language documents. Moreover, existing studies deal with requirements classification as binary or multiclass classification problems and not as multilabel classification, although a given requirement can belong to multiple classes at the same time. Objective: The objective of this study is to classify requirements into functional and different non-functional types with minimal preprocessing and to model the task as a multilabel classification problem. Method: In this paper, we use Bidirectional Gated Recurrent Neural Networks (BiGRU) to classify requirements using raw text. We investigated two different approaches: (i) using word sequences as tokens and (ii) using character sequences as tokens. Results: Experiments conducted on the publicly available PROMISE and EHR datasets show the effectiveness of the presented techniques. We achieve state-of-the-art results on most of the tasks using word sequences as tokens. Conclusion: Requirements can be effectively classified into functional and different non-functional categories using the presented recurrent neural networks-based deep learning system, which involves minimal text prepossessing and no feature engineering. © 2022 Elsevier B.V.</v>
      </c>
      <c r="H584" s="8" t="str">
        <f>IFERROR(__xludf.DUMMYFUNCTION("""COMPUTED_VALUE"""),"Automated software engineering; Bidirectional gated recurrent unit network; Deep learning; Recurrent neural network; Software requirement classification")</f>
        <v>Automated software engineering; Bidirectional gated recurrent unit network; Deep learning; Recurrent neural network; Software requirement classification</v>
      </c>
      <c r="I584" s="10" t="b">
        <v>0</v>
      </c>
      <c r="J584" s="10" t="b">
        <v>0</v>
      </c>
      <c r="K584" s="10" t="b">
        <v>0</v>
      </c>
      <c r="L584" s="10" t="b">
        <v>0</v>
      </c>
      <c r="M584" s="10" t="b">
        <v>0</v>
      </c>
      <c r="N584" s="10" t="b">
        <v>0</v>
      </c>
      <c r="O584" s="11" t="b">
        <f t="shared" si="1"/>
        <v>0</v>
      </c>
      <c r="P584" s="16" t="b">
        <v>0</v>
      </c>
      <c r="Q584" s="7"/>
    </row>
    <row r="585">
      <c r="A585" s="5" t="b">
        <v>1</v>
      </c>
      <c r="B585" s="5" t="s">
        <v>628</v>
      </c>
      <c r="C585" s="6" t="str">
        <f>IFERROR(__xludf.DUMMYFUNCTION("""COMPUTED_VALUE"""),"10.1016/j.infsof.2016.04.005")</f>
        <v>10.1016/j.infsof.2016.04.005</v>
      </c>
      <c r="D585" s="7" t="str">
        <f>IFERROR(__xludf.DUMMYFUNCTION("""COMPUTED_VALUE"""),"Chatzikonstantinou G.; Kontogiannis K.")</f>
        <v>Chatzikonstantinou G.; Kontogiannis K.</v>
      </c>
      <c r="E585" s="7" t="str">
        <f>IFERROR(__xludf.DUMMYFUNCTION("""COMPUTED_VALUE"""),"Run-time requirements verification for reconfigurable systems")</f>
        <v>Run-time requirements verification for reconfigurable systems</v>
      </c>
      <c r="F585" s="7" t="str">
        <f>IFERROR(__xludf.DUMMYFUNCTION("""COMPUTED_VALUE"""),"IST")</f>
        <v>IST</v>
      </c>
      <c r="G585" s="7" t="str">
        <f>IFERROR(__xludf.DUMMYFUNCTION("""COMPUTED_VALUE"""),"Context: Modern software systems often are distributed, run on virtualized platforms, implement complex tasks and operate on dynamically changing and unpredictable environments. Such systems need to be dynamically reconfigured or evolve in order to contin"&amp;"ue to meet their functional and non-functional requirements, as load and computation need to change. Such reconfiguration and/or evolution actions may cause other requirements to fail. Objective: Given models that describe with a degree of confidence the "&amp;"requirements that should hold in a running software system, along with their inter-dependencies, our objective is to propose a framework that can process these models and estimate the degree requirements hold as the system is dynamically altered or adapte"&amp;"d. Method: We present an approach where requirements and their inter-dependencies are modeled using conditional goal models with weighted contributions. These models can be translated into fuzzy rules, and fuzzy reasoners can determine whether and to what"&amp;" degree, a requirement may be affected by a system change, or by actions related of other requirements. Results: The proposed framework is evaluated for its performance and stability on goal models of varying size and complexity. The experimental results "&amp;"indicate that the approach is tractable even for large models and allows for dealing with models where contribution links are of varying importance or weight. Conclusion: The use of conditional weighted goal models combined with fuzzy reasoners allowed fo"&amp;"r the tractable run-time evaluation of the degree by which system requirements are believed to hold, when such systems are dynamically altered or adapted. The approach aims to shed light towards the development of run-time requirements verification and va"&amp;"lidation techniques for adaptive systems or systems that undergo continuous, or frequent evolution. © 2016 Elsevier B.V. All rights reserved.")</f>
        <v>Context: Modern software systems often are distributed, run on virtualized platforms, implement complex tasks and operate on dynamically changing and unpredictable environments. Such systems need to be dynamically reconfigured or evolve in order to continue to meet their functional and non-functional requirements, as load and computation need to change. Such reconfiguration and/or evolution actions may cause other requirements to fail. Objective: Given models that describe with a degree of confidence the requirements that should hold in a running software system, along with their inter-dependencies, our objective is to propose a framework that can process these models and estimate the degree requirements hold as the system is dynamically altered or adapted. Method: We present an approach where requirements and their inter-dependencies are modeled using conditional goal models with weighted contributions. These models can be translated into fuzzy rules, and fuzzy reasoners can determine whether and to what degree, a requirement may be affected by a system change, or by actions related of other requirements. Results: The proposed framework is evaluated for its performance and stability on goal models of varying size and complexity. The experimental results indicate that the approach is tractable even for large models and allows for dealing with models where contribution links are of varying importance or weight. Conclusion: The use of conditional weighted goal models combined with fuzzy reasoners allowed for the tractable run-time evaluation of the degree by which system requirements are believed to hold, when such systems are dynamically altered or adapted. The approach aims to shed light towards the development of run-time requirements verification and validation techniques for adaptive systems or systems that undergo continuous, or frequent evolution. © 2016 Elsevier B.V. All rights reserved.</v>
      </c>
      <c r="H585" s="8" t="str">
        <f>IFERROR(__xludf.DUMMYFUNCTION("""COMPUTED_VALUE"""),"Fuzzy reasoning; Goal models reasoning; Run-time requirements verification; Software engineering; System analysis")</f>
        <v>Fuzzy reasoning; Goal models reasoning; Run-time requirements verification; Software engineering; System analysis</v>
      </c>
      <c r="I585" s="10" t="b">
        <v>0</v>
      </c>
      <c r="J585" s="10" t="b">
        <v>0</v>
      </c>
      <c r="K585" s="10" t="b">
        <v>0</v>
      </c>
      <c r="L585" s="10" t="b">
        <v>0</v>
      </c>
      <c r="M585" s="10" t="b">
        <v>0</v>
      </c>
      <c r="N585" s="10" t="b">
        <v>0</v>
      </c>
      <c r="O585" s="11" t="b">
        <f t="shared" si="1"/>
        <v>0</v>
      </c>
      <c r="P585" s="16" t="b">
        <v>0</v>
      </c>
      <c r="Q585" s="7"/>
    </row>
    <row r="586">
      <c r="A586" s="5" t="b">
        <v>1</v>
      </c>
      <c r="B586" s="5" t="s">
        <v>629</v>
      </c>
      <c r="C586" s="6" t="str">
        <f>IFERROR(__xludf.DUMMYFUNCTION("""COMPUTED_VALUE"""),"10.1016/j.infsof.2022.107102")</f>
        <v>10.1016/j.infsof.2022.107102</v>
      </c>
      <c r="D586" s="7" t="str">
        <f>IFERROR(__xludf.DUMMYFUNCTION("""COMPUTED_VALUE"""),"Elmishali A.; Kalech M.")</f>
        <v>Elmishali A.; Kalech M.</v>
      </c>
      <c r="E586" s="7" t="str">
        <f>IFERROR(__xludf.DUMMYFUNCTION("""COMPUTED_VALUE"""),"Issues-Driven features for software fault prediction")</f>
        <v>Issues-Driven features for software fault prediction</v>
      </c>
      <c r="F586" s="7" t="str">
        <f>IFERROR(__xludf.DUMMYFUNCTION("""COMPUTED_VALUE"""),"IST")</f>
        <v>IST</v>
      </c>
      <c r="G586" s="7" t="str">
        <f>IFERROR(__xludf.DUMMYFUNCTION("""COMPUTED_VALUE"""),"Context: Software systems are an integral part of almost every modern industry. Unfortunately, the more complex the software, the more likely it will fail. A promising strategy is applying fault prediction models to predict which components may be defecti"&amp;"ve. Since features are essential to the prediction model's success, extracting significant features can improve the model's accuracy. Previous research studies used software metrics as features in fault prediction models. One disadvantage of these feature"&amp;"s is that they measure the code developed rather than the requirements. On the other hand, faults are frequently the result of a mismatch between the software's behavior and its needs. Objective: We present a novel paradigm for constructing features that "&amp;"consider the requirements as well by combining novel requirement metrics, called Issues-Driven features, and traditional code metrics. Method: We experimentally compare the performance of Issues-Driven features and state-of-the-art traditional features on"&amp;" 86 open-source projects from two organizations. Results: The results show that Issues-Driven features are significantly better than state-of-the-art features and achieve an improvement of 6 to 13 percent in terms of AUC. Conclusions: The study concludes "&amp;"that integrating the requirements into fault prediction features overcomes the limitations of traditional software metrics that are agnostic to the requirements of the software. © 2022 Elsevier B.V.")</f>
        <v>Context: Software systems are an integral part of almost every modern industry. Unfortunately, the more complex the software, the more likely it will fail. A promising strategy is applying fault prediction models to predict which components may be defective. Since features are essential to the prediction model's success, extracting significant features can improve the model's accuracy. Previous research studies used software metrics as features in fault prediction models. One disadvantage of these features is that they measure the code developed rather than the requirements. On the other hand, faults are frequently the result of a mismatch between the software's behavior and its needs. Objective: We present a novel paradigm for constructing features that consider the requirements as well by combining novel requirement metrics, called Issues-Driven features, and traditional code metrics. Method: We experimentally compare the performance of Issues-Driven features and state-of-the-art traditional features on 86 open-source projects from two organizations. Results: The results show that Issues-Driven features are significantly better than state-of-the-art features and achieve an improvement of 6 to 13 percent in terms of AUC. Conclusions: The study concludes that integrating the requirements into fault prediction features overcomes the limitations of traditional software metrics that are agnostic to the requirements of the software. © 2022 Elsevier B.V.</v>
      </c>
      <c r="H586" s="8" t="str">
        <f>IFERROR(__xludf.DUMMYFUNCTION("""COMPUTED_VALUE"""),"Code debugging; Mining software repositories; Software defect prediction; Software engineering; Software prediction; Software quality")</f>
        <v>Code debugging; Mining software repositories; Software defect prediction; Software engineering; Software prediction; Software quality</v>
      </c>
      <c r="I586" s="10" t="b">
        <v>0</v>
      </c>
      <c r="J586" s="10" t="b">
        <v>0</v>
      </c>
      <c r="K586" s="10" t="b">
        <v>0</v>
      </c>
      <c r="L586" s="10" t="b">
        <v>0</v>
      </c>
      <c r="M586" s="10" t="b">
        <v>0</v>
      </c>
      <c r="N586" s="10" t="b">
        <v>0</v>
      </c>
      <c r="O586" s="11" t="b">
        <f t="shared" si="1"/>
        <v>0</v>
      </c>
      <c r="P586" s="16" t="b">
        <v>0</v>
      </c>
      <c r="Q586" s="7"/>
    </row>
    <row r="587">
      <c r="A587" s="5" t="b">
        <v>1</v>
      </c>
      <c r="B587" s="5" t="s">
        <v>630</v>
      </c>
      <c r="C587" s="6" t="str">
        <f>IFERROR(__xludf.DUMMYFUNCTION("""COMPUTED_VALUE"""),"10.1016/j.infsof.2014.11.006")</f>
        <v>10.1016/j.infsof.2014.11.006</v>
      </c>
      <c r="D587" s="7" t="str">
        <f>IFERROR(__xludf.DUMMYFUNCTION("""COMPUTED_VALUE"""),"He P.; Li B.; Liu X.; Chen J.; Ma Y.")</f>
        <v>He P.; Li B.; Liu X.; Chen J.; Ma Y.</v>
      </c>
      <c r="E587" s="7" t="str">
        <f>IFERROR(__xludf.DUMMYFUNCTION("""COMPUTED_VALUE"""),"An empirical study on software defect prediction with a simplified metric set")</f>
        <v>An empirical study on software defect prediction with a simplified metric set</v>
      </c>
      <c r="F587" s="7" t="str">
        <f>IFERROR(__xludf.DUMMYFUNCTION("""COMPUTED_VALUE"""),"IST")</f>
        <v>IST</v>
      </c>
      <c r="G587" s="7" t="str">
        <f>IFERROR(__xludf.DUMMYFUNCTION("""COMPUTED_VALUE"""),"Context Software defect prediction plays a crucial role in estimating the most defect-prone components of software, and a large number of studies have pursued improving prediction accuracy within a project or across projects. However, the rules for making"&amp;" an appropriate decision between within- and cross-project defect prediction when available historical data are insufficient remain unclear. Objective The objective of this work is to validate the feasibility of the predictor built with a simplified metri"&amp;"c set for software defect prediction in different scenarios, and to investigate practical guidelines for the choice of training data, classifier and metric subset of a given project. Method First, based on six typical classifiers, three types of predictor"&amp;"s using the size of software metric set were constructed in three scenarios. Then, we validated the acceptable performance of the predictor based on Top-k metrics in terms of statistical methods. Finally, we attempted to minimize the Top-k metric subset b"&amp;"y removing redundant metrics, and we tested the stability of such a minimum metric subset with one-way ANOVA tests. Results The study has been conducted on 34 releases of 10 open-source projects available at the PROMISE repository. The findings indicate t"&amp;"hat the predictors built with either Top-k metrics or the minimum metric subset can provide an acceptable result compared with benchmark predictors. The guideline for choosing a suitable simplified metric set in different scenarios is presented in Table 1"&amp;"2. Conclusion The experimental results indicate that (1) the choice of training data for defect prediction should depend on the specific requirement of accuracy; (2) the predictor built with a simplified metric set works well and is very useful in case li"&amp;"mited resources are supplied; (3) simple classifiers (e.g., Naïve Bayes) also tend to perform well when using a simplified metric set for defect prediction; and (4) in several cases, the minimum metric subset can be identified to facilitate the procedure "&amp;"of general defect prediction with acceptable loss of prediction precision in practice. © 2014 Elsevier B.V. All rights reserved.")</f>
        <v>Context Software defect prediction plays a crucial role in estimating the most defect-prone components of software, and a large number of studies have pursued improving prediction accuracy within a project or across projects. However, the rules for making an appropriate decision between within- and cross-project defect prediction when available historical data are insufficient remain unclear. Objective The objective of this work is to validate the feasibility of the predictor built with a simplified metric set for software defect prediction in different scenarios, and to investigate practical guidelines for the choice of training data, classifier and metric subset of a given project. Method First, based on six typical classifiers, three types of predictors using the size of software metric set were constructed in three scenarios. Then, we validated the acceptable performance of the predictor based on Top-k metrics in terms of statistical methods. Finally, we attempted to minimize the Top-k metric subset by removing redundant metrics, and we tested the stability of such a minimum metric subset with one-way ANOVA tests. Results The study has been conducted on 34 releases of 10 open-source projects available at the PROMISE repository. The findings indicate that the predictors built with either Top-k metrics or the minimum metric subset can provide an acceptable result compared with benchmark predictors. The guideline for choosing a suitable simplified metric set in different scenarios is presented in Table 12. Conclusion The experimental results indicate that (1) the choice of training data for defect prediction should depend on the specific requirement of accuracy; (2) the predictor built with a simplified metric set works well and is very useful in case limited resources are supplied; (3) simple classifiers (e.g., Naïve Bayes) also tend to perform well when using a simplified metric set for defect prediction; and (4) in several cases, the minimum metric subset can be identified to facilitate the procedure of general defect prediction with acceptable loss of prediction precision in practice. © 2014 Elsevier B.V. All rights reserved.</v>
      </c>
      <c r="H587" s="8" t="str">
        <f>IFERROR(__xludf.DUMMYFUNCTION("""COMPUTED_VALUE"""),"Defect prediction; Metric set simplification; Software metrics; Software quality")</f>
        <v>Defect prediction; Metric set simplification; Software metrics; Software quality</v>
      </c>
      <c r="I587" s="10" t="b">
        <v>0</v>
      </c>
      <c r="J587" s="10" t="b">
        <v>0</v>
      </c>
      <c r="K587" s="10" t="b">
        <v>0</v>
      </c>
      <c r="L587" s="10" t="b">
        <v>0</v>
      </c>
      <c r="M587" s="10" t="b">
        <v>0</v>
      </c>
      <c r="N587" s="10" t="b">
        <v>0</v>
      </c>
      <c r="O587" s="11" t="b">
        <f t="shared" si="1"/>
        <v>0</v>
      </c>
      <c r="P587" s="16" t="b">
        <v>0</v>
      </c>
      <c r="Q587" s="7"/>
    </row>
    <row r="588">
      <c r="A588" s="5" t="b">
        <v>1</v>
      </c>
      <c r="B588" s="5" t="s">
        <v>631</v>
      </c>
      <c r="C588" s="6" t="str">
        <f>IFERROR(__xludf.DUMMYFUNCTION("""COMPUTED_VALUE"""),"10.1016/j.infsof.2023.107339")</f>
        <v>10.1016/j.infsof.2023.107339</v>
      </c>
      <c r="D588" s="7" t="str">
        <f>IFERROR(__xludf.DUMMYFUNCTION("""COMPUTED_VALUE"""),"Wang X.; Zhang S.")</f>
        <v>Wang X.; Zhang S.</v>
      </c>
      <c r="E588" s="7" t="str">
        <f>IFERROR(__xludf.DUMMYFUNCTION("""COMPUTED_VALUE"""),"Cluster-based adaptive test case prioritization")</f>
        <v>Cluster-based adaptive test case prioritization</v>
      </c>
      <c r="F588" s="7" t="str">
        <f>IFERROR(__xludf.DUMMYFUNCTION("""COMPUTED_VALUE"""),"IST")</f>
        <v>IST</v>
      </c>
      <c r="G588" s="7" t="str">
        <f>IFERROR(__xludf.DUMMYFUNCTION("""COMPUTED_VALUE"""),"In order to enhance the efficiency of regression testing, test case prioritization (TCP) has been widely implemented, wherein a higher priority test case is executed earlier. Traditional TCP methods focus on improving the prioritization algorithm's effica"&amp;"cy. However, the majority of TCP approaches are characterized by a predetermined sequence of test cases prior to execution. Once established, this sequence remains consistent throughout the entire test execution process. As a result, any execution informa"&amp;"tion generated during current test execution (such as fault-detected information) is unavailable for use in current round of test case prioritization and can only be utilized in subsequent regression testing. To address the issue of lagging utilization of"&amp;" fault-detected information, a cluster-based adaptive test case prioritization approach is proposed, which adds the new adaptive adjustment content in pre-prioritization. First, a new clustering criterion is defined and designed, by which produces test-ca"&amp;"se clusters in advance. Second, an adaptive TCP algorithm is proposed, which utilizes fault-detected information to adaptively adjust the order of test cases during the execution process based on the test-case clusters. Finally, one open-source Java progr"&amp;"am and three industrial-grade Java programs were selected for empirical evaluation. The experimental results demonstrate that the proposed technique not only serves as an enhanced version of pre-prioritization to improve the performance of the correspondi"&amp;"ng pre-prioritization technique, but also functions as an independent approach that outperforms other TCP techniques, including cluster-based TCPs, and another adaptive TCP. Specifically, when step=2 is applied using our cluster-based adaptive TCP approac"&amp;"h, the results are significantly better than those obtained with step=1. For instance, in CT-14, the median APFD improvement rate for step=2 reaches 17.08 %, which is substantially higher than that achieved with step=1 (5.48 %). © 2023 Elsevier B.V.")</f>
        <v>In order to enhance the efficiency of regression testing, test case prioritization (TCP) has been widely implemented, wherein a higher priority test case is executed earlier. Traditional TCP methods focus on improving the prioritization algorithm's efficacy. However, the majority of TCP approaches are characterized by a predetermined sequence of test cases prior to execution. Once established, this sequence remains consistent throughout the entire test execution process. As a result, any execution information generated during current test execution (such as fault-detected information) is unavailable for use in current round of test case prioritization and can only be utilized in subsequent regression testing. To address the issue of lagging utilization of fault-detected information, a cluster-based adaptive test case prioritization approach is proposed, which adds the new adaptive adjustment content in pre-prioritization. First, a new clustering criterion is defined and designed, by which produces test-case clusters in advance. Second, an adaptive TCP algorithm is proposed, which utilizes fault-detected information to adaptively adjust the order of test cases during the execution process based on the test-case clusters. Finally, one open-source Java program and three industrial-grade Java programs were selected for empirical evaluation. The experimental results demonstrate that the proposed technique not only serves as an enhanced version of pre-prioritization to improve the performance of the corresponding pre-prioritization technique, but also functions as an independent approach that outperforms other TCP techniques, including cluster-based TCPs, and another adaptive TCP. Specifically, when step=2 is applied using our cluster-based adaptive TCP approach, the results are significantly better than those obtained with step=1. For instance, in CT-14, the median APFD improvement rate for step=2 reaches 17.08 %, which is substantially higher than that achieved with step=1 (5.48 %). © 2023 Elsevier B.V.</v>
      </c>
      <c r="H588" s="8" t="str">
        <f>IFERROR(__xludf.DUMMYFUNCTION("""COMPUTED_VALUE"""),"Clustering analysis; Regression testing; Requirement; Test case prioritization")</f>
        <v>Clustering analysis; Regression testing; Requirement; Test case prioritization</v>
      </c>
      <c r="I588" s="10" t="b">
        <v>0</v>
      </c>
      <c r="J588" s="10" t="b">
        <v>0</v>
      </c>
      <c r="K588" s="10" t="b">
        <v>0</v>
      </c>
      <c r="L588" s="10" t="b">
        <v>0</v>
      </c>
      <c r="M588" s="10" t="b">
        <v>0</v>
      </c>
      <c r="N588" s="10" t="b">
        <v>0</v>
      </c>
      <c r="O588" s="11" t="b">
        <f t="shared" si="1"/>
        <v>0</v>
      </c>
      <c r="P588" s="16" t="b">
        <v>0</v>
      </c>
      <c r="Q588" s="7"/>
    </row>
    <row r="589">
      <c r="A589" s="5" t="b">
        <v>1</v>
      </c>
      <c r="B589" s="5" t="s">
        <v>632</v>
      </c>
      <c r="C589" s="6" t="str">
        <f>IFERROR(__xludf.DUMMYFUNCTION("""COMPUTED_VALUE"""),"10.1016/j.infsof.2016.09.004")</f>
        <v>10.1016/j.infsof.2016.09.004</v>
      </c>
      <c r="D589" s="7" t="str">
        <f>IFERROR(__xludf.DUMMYFUNCTION("""COMPUTED_VALUE"""),"Mouzarani M.; Sadeghiyan B.")</f>
        <v>Mouzarani M.; Sadeghiyan B.</v>
      </c>
      <c r="E589" s="7" t="str">
        <f>IFERROR(__xludf.DUMMYFUNCTION("""COMPUTED_VALUE"""),"Towards designing an extendable vulnerability detection method for executable codes")</f>
        <v>Towards designing an extendable vulnerability detection method for executable codes</v>
      </c>
      <c r="F589" s="7" t="str">
        <f>IFERROR(__xludf.DUMMYFUNCTION("""COMPUTED_VALUE"""),"IST")</f>
        <v>IST</v>
      </c>
      <c r="G589" s="7" t="str">
        <f>IFERROR(__xludf.DUMMYFUNCTION("""COMPUTED_VALUE"""),"Context: Software vulnerabilities allow the attackers to harm the computer systems. Timely detection and removal of vulnerabilities help to improve the security of computer systems and avoid the losses from exploiting the vulnerabilities. Objective: Vario"&amp;"us methods have been proposed to detect the vulnerabilities in the past decades. However, most of these methods are suggested for detecting one or a limited number of vulnerability classes and require fundamental changes to be able to detect other vulnera"&amp;"bilities. In this paper, we present a first step towards designing an extendable vulnerability detection method that is independent from the characteristics of specific vulnerabilities. Method: To do so, we first propose a general model for specifying sof"&amp;"tware vulnerabilities. Based on this model, a general specification method and an extendable algorithm is then presented for detecting the specified vulnerabilities in executable codes. As the first step, single-instruction vulnerabilities–the vulnerabili"&amp;"ties that appear in one instruction–are specified and detected. We present a formal definition for single-instruction vulnerabilities. In our method, detection of the specified vulnerabilities is considered as solving a satisfaction problem. The suggested"&amp;" method is implemented as a plug-in for Valgrind binary instrumentation framework and the vulnerabilities are specified by the use of Valgrind intermediate language, called Vex. Results: Three classes of single-instruction vulnerabilities are specified in"&amp;" this paper, i. e. division by zero, integer bugs and NULL pointer dereference. The experiments demonstrate that the presented specification for these vulnerabilities are accurate and the implemented method can detect all the specified vulnerabilities. Co"&amp;"nclusion: As we employ a general model for specifying the vulnerabilities and the structure of our vulnerability detection method does not depend on a specific vulnerability, our method can be extended to detect other specified vulnerabilities. © 2016 Els"&amp;"evier B.V.")</f>
        <v>Context: Software vulnerabilities allow the attackers to harm the computer systems. Timely detection and removal of vulnerabilities help to improve the security of computer systems and avoid the losses from exploiting the vulnerabilities. Objective: Various methods have been proposed to detect the vulnerabilities in the past decades. However, most of these methods are suggested for detecting one or a limited number of vulnerability classes and require fundamental changes to be able to detect other vulnerabilities. In this paper, we present a first step towards designing an extendable vulnerability detection method that is independent from the characteristics of specific vulnerabilities. Method: To do so, we first propose a general model for specifying software vulnerabilities. Based on this model, a general specification method and an extendable algorithm is then presented for detecting the specified vulnerabilities in executable codes. As the first step, single-instruction vulnerabilities–the vulnerabilities that appear in one instruction–are specified and detected. We present a formal definition for single-instruction vulnerabilities. In our method, detection of the specified vulnerabilities is considered as solving a satisfaction problem. The suggested method is implemented as a plug-in for Valgrind binary instrumentation framework and the vulnerabilities are specified by the use of Valgrind intermediate language, called Vex. Results: Three classes of single-instruction vulnerabilities are specified in this paper, i. e. division by zero, integer bugs and NULL pointer dereference. The experiments demonstrate that the presented specification for these vulnerabilities are accurate and the implemented method can detect all the specified vulnerabilities. Conclusion: As we employ a general model for specifying the vulnerabilities and the structure of our vulnerability detection method does not depend on a specific vulnerability, our method can be extended to detect other specified vulnerabilities. © 2016 Elsevier B.V.</v>
      </c>
      <c r="H589" s="8" t="str">
        <f>IFERROR(__xludf.DUMMYFUNCTION("""COMPUTED_VALUE"""),"Executable codes; Extendable method; General specification; Software vulnerability")</f>
        <v>Executable codes; Extendable method; General specification; Software vulnerability</v>
      </c>
      <c r="I589" s="10" t="b">
        <v>0</v>
      </c>
      <c r="J589" s="10" t="b">
        <v>0</v>
      </c>
      <c r="K589" s="10" t="b">
        <v>0</v>
      </c>
      <c r="L589" s="10" t="b">
        <v>0</v>
      </c>
      <c r="M589" s="10" t="b">
        <v>0</v>
      </c>
      <c r="N589" s="10" t="b">
        <v>0</v>
      </c>
      <c r="O589" s="11" t="b">
        <f t="shared" si="1"/>
        <v>0</v>
      </c>
      <c r="P589" s="16" t="b">
        <v>0</v>
      </c>
      <c r="Q589" s="7"/>
    </row>
    <row r="590">
      <c r="A590" s="5" t="b">
        <v>1</v>
      </c>
      <c r="B590" s="5" t="s">
        <v>633</v>
      </c>
      <c r="C590" s="6" t="str">
        <f>IFERROR(__xludf.DUMMYFUNCTION("""COMPUTED_VALUE"""),"10.1016/j.infsof.2015.09.002")</f>
        <v>10.1016/j.infsof.2015.09.002</v>
      </c>
      <c r="D590" s="7" t="str">
        <f>IFERROR(__xludf.DUMMYFUNCTION("""COMPUTED_VALUE"""),"Srikanth H.; Hettiarachchi C.; Do H.")</f>
        <v>Srikanth H.; Hettiarachchi C.; Do H.</v>
      </c>
      <c r="E590" s="7" t="str">
        <f>IFERROR(__xludf.DUMMYFUNCTION("""COMPUTED_VALUE"""),"Requirements based test prioritization using risk factors: An industrial study")</f>
        <v>Requirements based test prioritization using risk factors: An industrial study</v>
      </c>
      <c r="F590" s="7" t="str">
        <f>IFERROR(__xludf.DUMMYFUNCTION("""COMPUTED_VALUE"""),"IST")</f>
        <v>IST</v>
      </c>
      <c r="G590" s="7" t="str">
        <f>IFERROR(__xludf.DUMMYFUNCTION("""COMPUTED_VALUE"""),"Context Software testing is an expensive and time-consuming process. Software engineering teams are often forced to terminate their testing efforts due to budgetary and time constraints, which inevitably lead to long term issues with quality and customer "&amp;"satisfaction. Test case prioritization (TCP) has shown to improve test effectiveness. Objective The results of our prior work on requirements-based test prioritization showed improved rate of fault detection on industrial projects; the customer priority ("&amp;"CP) and the fault proneness (FP) were the biggest contributing factors to test effectiveness. The objective of this paper is to further investigate these two factors and apply prioritization based on these factors in a different domain: an enterprise leve"&amp;"l cloud application. We aim to provide an effective prioritization scheme that practitioners can implement with minimum effort. The other objective is to compare the results and the benefits of these two factors with two risk-based prioritization approach"&amp;"es that extract risks from the system requirements categories. Method Our approach involved analyzing and assigning values to each requirement based on two important factors, CP and FP, so that the test cases for high-value requirements are prioritized ea"&amp;"rlier for execution. We also proposed two requirements-based TCP approaches that use risk information of the system. Results Our results indicate that the use of CP and FP can improve the effectiveness of TCP. The results also show that the risk-based pri"&amp;"oritization can be effective in improving the TCP. Conclusion We performed an experiment on an enterprise cloud application to measure the fault detection rate of different test suites that are prioritized based on CP, FP, and risks. The results depict th"&amp;"at all approaches outperform the random prioritization approach, which is prevalent in the industry. Furthermore, the proposed approaches can easily be used in the industry to address the schedule and budget constraints at the testing phase. © 2015 Elsevi"&amp;"er B.V.")</f>
        <v>Context Software testing is an expensive and time-consuming process. Software engineering teams are often forced to terminate their testing efforts due to budgetary and time constraints, which inevitably lead to long term issues with quality and customer satisfaction. Test case prioritization (TCP) has shown to improve test effectiveness. Objective The results of our prior work on requirements-based test prioritization showed improved rate of fault detection on industrial projects; the customer priority (CP) and the fault proneness (FP) were the biggest contributing factors to test effectiveness. The objective of this paper is to further investigate these two factors and apply prioritization based on these factors in a different domain: an enterprise level cloud application. We aim to provide an effective prioritization scheme that practitioners can implement with minimum effort. The other objective is to compare the results and the benefits of these two factors with two risk-based prioritization approaches that extract risks from the system requirements categories. Method Our approach involved analyzing and assigning values to each requirement based on two important factors, CP and FP, so that the test cases for high-value requirements are prioritized earlier for execution. We also proposed two requirements-based TCP approaches that use risk information of the system. Results Our results indicate that the use of CP and FP can improve the effectiveness of TCP. The results also show that the risk-based prioritization can be effective in improving the TCP. Conclusion We performed an experiment on an enterprise cloud application to measure the fault detection rate of different test suites that are prioritized based on CP, FP, and risks. The results depict that all approaches outperform the random prioritization approach, which is prevalent in the industry. Furthermore, the proposed approaches can easily be used in the industry to address the schedule and budget constraints at the testing phase. © 2015 Elsevier B.V.</v>
      </c>
      <c r="H590" s="8" t="str">
        <f>IFERROR(__xludf.DUMMYFUNCTION("""COMPUTED_VALUE"""),"Cloud application; SaaS; Software testing; System testing; Test prioritization")</f>
        <v>Cloud application; SaaS; Software testing; System testing; Test prioritization</v>
      </c>
      <c r="I590" s="10" t="b">
        <v>0</v>
      </c>
      <c r="J590" s="10" t="b">
        <v>0</v>
      </c>
      <c r="K590" s="10" t="b">
        <v>0</v>
      </c>
      <c r="L590" s="10" t="b">
        <v>0</v>
      </c>
      <c r="M590" s="10" t="b">
        <v>0</v>
      </c>
      <c r="N590" s="10" t="b">
        <v>0</v>
      </c>
      <c r="O590" s="11" t="b">
        <f t="shared" si="1"/>
        <v>0</v>
      </c>
      <c r="P590" s="16" t="b">
        <v>0</v>
      </c>
      <c r="Q590" s="7"/>
    </row>
    <row r="591">
      <c r="A591" s="5" t="b">
        <v>1</v>
      </c>
      <c r="B591" s="5" t="s">
        <v>634</v>
      </c>
      <c r="C591" s="6" t="str">
        <f>IFERROR(__xludf.DUMMYFUNCTION("""COMPUTED_VALUE"""),"10.1016/j.infsof.2023.107324")</f>
        <v>10.1016/j.infsof.2023.107324</v>
      </c>
      <c r="D591" s="7" t="str">
        <f>IFERROR(__xludf.DUMMYFUNCTION("""COMPUTED_VALUE"""),"Ormeño Y.I.; Panach J.I.; Pastor O.")</f>
        <v>Ormeño Y.I.; Panach J.I.; Pastor O.</v>
      </c>
      <c r="E591" s="7" t="str">
        <f>IFERROR(__xludf.DUMMYFUNCTION("""COMPUTED_VALUE"""),"An empirical experiment of a usability requirements elicitation method to design GUIs based on interviews")</f>
        <v>An empirical experiment of a usability requirements elicitation method to design GUIs based on interviews</v>
      </c>
      <c r="F591" s="7" t="str">
        <f>IFERROR(__xludf.DUMMYFUNCTION("""COMPUTED_VALUE"""),"IST")</f>
        <v>IST</v>
      </c>
      <c r="G591" s="7" t="str">
        <f>IFERROR(__xludf.DUMMYFUNCTION("""COMPUTED_VALUE"""),"Context: The usability requirements elicitation process is a difficult task that lacks methods to guide and help analysts, who are usually not experts at usability. Objective: This paper conducts an experiment with two replications to evaluate a method th"&amp;"at elicits usability requirements based on structured interviews named UREM versus an unstructured method. The method consists of guided interviews by the analyst using decision trees. The tree is composed of questions and possible answers. Each question "&amp;"appears when there are different possible design alternatives, and each answer represents one of these alternatives. The tree also recommends the alternative that enhances the usability based on existing usability guidelines. Method: We have conducted an "&amp;"experiment with two replications with 22 and 26 subjects playing two different roles in a within-subjects design. The analysts used a tree to guide the interview and elicit the requirements while the end users had to explain to the analyst the type of sys"&amp;"tem to develop. During the interview, the analyst must design a paper prototype to be validated by the end user. For the analyst, the experiment measures the effectiveness of usability requirements elicitation, the effectiveness of the use of the usabilit"&amp;"y guidelines, the efficiency of the elicitation process, and the satisfaction with the entire elicitation process. For the end user, the experiment measures the satisfaction with the designed prototype at the end of the interview. Results: UREM yielded si"&amp;"gnificantly better results for the effectiveness in the usability requirements elicitation process and for the effectiveness in the use of usability guidelines when compared to unstructured interviews. The use of UREM did not reduce the analysts’ efficien"&amp;"cy and both analyst and end user remained the same satisfaction. Conclusions: Eliciting usability requirements is a difficult task if it is done with unstructured interviews and without usability recommendations. © 2023 The Author(s)")</f>
        <v>Context: The usability requirements elicitation process is a difficult task that lacks methods to guide and help analysts, who are usually not experts at usability. Objective: This paper conducts an experiment with two replications to evaluate a method that elicits usability requirements based on structured interviews named UREM versus an unstructured method. The method consists of guided interviews by the analyst using decision trees. The tree is composed of questions and possible answers. Each question appears when there are different possible design alternatives, and each answer represents one of these alternatives. The tree also recommends the alternative that enhances the usability based on existing usability guidelines. Method: We have conducted an experiment with two replications with 22 and 26 subjects playing two different roles in a within-subjects design. The analysts used a tree to guide the interview and elicit the requirements while the end users had to explain to the analyst the type of system to develop. During the interview, the analyst must design a paper prototype to be validated by the end user. For the analyst, the experiment measures the effectiveness of usability requirements elicitation, the effectiveness of the use of the usability guidelines, the efficiency of the elicitation process, and the satisfaction with the entire elicitation process. For the end user, the experiment measures the satisfaction with the designed prototype at the end of the interview. Results: UREM yielded significantly better results for the effectiveness in the usability requirements elicitation process and for the effectiveness in the use of usability guidelines when compared to unstructured interviews. The use of UREM did not reduce the analysts’ efficiency and both analyst and end user remained the same satisfaction. Conclusions: Eliciting usability requirements is a difficult task if it is done with unstructured interviews and without usability recommendations. © 2023 The Author(s)</v>
      </c>
      <c r="H591" s="8" t="str">
        <f>IFERROR(__xludf.DUMMYFUNCTION("""COMPUTED_VALUE"""),"Empirical experiment; Guidelines; Interviews; Usability requirements elicitation")</f>
        <v>Empirical experiment; Guidelines; Interviews; Usability requirements elicitation</v>
      </c>
      <c r="I591" s="9" t="b">
        <v>1</v>
      </c>
      <c r="J591" s="9" t="b">
        <v>1</v>
      </c>
      <c r="K591" s="10" t="b">
        <v>0</v>
      </c>
      <c r="L591" s="10" t="b">
        <v>0</v>
      </c>
      <c r="M591" s="10" t="b">
        <v>0</v>
      </c>
      <c r="N591" s="10" t="b">
        <v>0</v>
      </c>
      <c r="O591" s="11" t="b">
        <f t="shared" si="1"/>
        <v>0</v>
      </c>
      <c r="P591" s="12" t="b">
        <v>0</v>
      </c>
      <c r="Q591" s="13"/>
    </row>
    <row r="592">
      <c r="A592" s="5" t="b">
        <v>1</v>
      </c>
      <c r="B592" s="5" t="s">
        <v>635</v>
      </c>
      <c r="C592" s="6" t="str">
        <f>IFERROR(__xludf.DUMMYFUNCTION("""COMPUTED_VALUE"""),"10.1016/j.infsof.2013.10.004")</f>
        <v>10.1016/j.infsof.2013.10.004</v>
      </c>
      <c r="D592" s="7" t="str">
        <f>IFERROR(__xludf.DUMMYFUNCTION("""COMPUTED_VALUE"""),"Karpati P.; Redda Y.; Opdahl A.L.; Sindre G.")</f>
        <v>Karpati P.; Redda Y.; Opdahl A.L.; Sindre G.</v>
      </c>
      <c r="E592" s="7" t="str">
        <f>IFERROR(__xludf.DUMMYFUNCTION("""COMPUTED_VALUE"""),"Comparing attack trees and misuse cases in an industrial setting")</f>
        <v>Comparing attack trees and misuse cases in an industrial setting</v>
      </c>
      <c r="F592" s="7" t="str">
        <f>IFERROR(__xludf.DUMMYFUNCTION("""COMPUTED_VALUE"""),"IST")</f>
        <v>IST</v>
      </c>
      <c r="G592" s="7" t="str">
        <f>IFERROR(__xludf.DUMMYFUNCTION("""COMPUTED_VALUE"""),"The last decade has seen an increasing focus on addressing security already during the earliest stages of system development, such as requirements determination. Attack trees and misuse cases are established techniques for representing security threats al"&amp;"ong with their potential mitigations. Previous work has compared attack trees and misuse cases in two experiments with students. The present paper instead presents an experiment where industrial practitioners perform the experimental tasks in their workpl"&amp;"ace. The industrial experiment confirms a central finding from the student experiments: that attack trees tend to help identifying more threats than misuse cases. It also presents a new result: that misuse cases tend to encourage identification of threats"&amp;" associated with earlier development stages than attack trees. The two techniques should therefore be considered complementary and should be used together in practical requirements work. © 2013 Elsevier B.V. All rights reserved.")</f>
        <v>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 © 2013 Elsevier B.V. All rights reserved.</v>
      </c>
      <c r="H592" s="8" t="str">
        <f>IFERROR(__xludf.DUMMYFUNCTION("""COMPUTED_VALUE"""),"Attack trees; Industrial experiment; Misuse cases; Requirements modelling; Security requirements")</f>
        <v>Attack trees; Industrial experiment; Misuse cases; Requirements modelling; Security requirements</v>
      </c>
      <c r="I592" s="9" t="b">
        <v>1</v>
      </c>
      <c r="J592" s="9" t="b">
        <v>1</v>
      </c>
      <c r="K592" s="9" t="b">
        <v>1</v>
      </c>
      <c r="L592" s="10" t="b">
        <v>0</v>
      </c>
      <c r="M592" s="10" t="b">
        <v>0</v>
      </c>
      <c r="N592" s="10" t="b">
        <v>0</v>
      </c>
      <c r="O592" s="11" t="b">
        <f t="shared" si="1"/>
        <v>1</v>
      </c>
      <c r="P592" s="12" t="b">
        <v>0</v>
      </c>
      <c r="Q592" s="7"/>
    </row>
    <row r="593">
      <c r="A593" s="5" t="b">
        <v>1</v>
      </c>
      <c r="B593" s="5" t="s">
        <v>636</v>
      </c>
      <c r="C593" s="6" t="str">
        <f>IFERROR(__xludf.DUMMYFUNCTION("""COMPUTED_VALUE"""),"10.1016/j.infsof.2015.02.003")</f>
        <v>10.1016/j.infsof.2015.02.003</v>
      </c>
      <c r="D593" s="7" t="str">
        <f>IFERROR(__xludf.DUMMYFUNCTION("""COMPUTED_VALUE"""),"Morris K.A.; Allison M.; Costa F.M.; Wei J.; Clarke P.J.")</f>
        <v>Morris K.A.; Allison M.; Costa F.M.; Wei J.; Clarke P.J.</v>
      </c>
      <c r="E593" s="7" t="str">
        <f>IFERROR(__xludf.DUMMYFUNCTION("""COMPUTED_VALUE"""),"An adaptive middleware design to support the dynamic interpretation of domain-specific models")</f>
        <v>An adaptive middleware design to support the dynamic interpretation of domain-specific models</v>
      </c>
      <c r="F593" s="7" t="str">
        <f>IFERROR(__xludf.DUMMYFUNCTION("""COMPUTED_VALUE"""),"IST")</f>
        <v>IST</v>
      </c>
      <c r="G593" s="7" t="str">
        <f>IFERROR(__xludf.DUMMYFUNCTION("""COMPUTED_VALUE"""),"Context: As the use of Domain-Specific Modeling Languages (DSMLs) continues to gain popularity, we have developed new ways to execute DSML models. The most popular approach is to execute code resulting from a model-to-code transformation. An alternative a"&amp;"pproach is to directly execute these models using a semantic-rich execution engine - Domain-Specific Virtual Machine (DSVM). The DSVM includes a middleware layer responsible for the delivery of services in a given domain. Objective: We will investigate an"&amp;" approach that performs the dynamic combination of constructs in the middleware layer of DSVMs to support the delivery of domain-specific services. This middleware should provide: (a) a model of execution (MoE) that dynamically integrates decoupled domain"&amp;"-specific knowledge (DSK) for service delivery, (b) runtime adaptability based on context and available resources, and (c) the same level of operational assurance as any DSVM middleware. Method: Our approach will involve (1) defining a framework that supp"&amp;"orts the dynamic combination of MoE and DSK and (2) demonstrating the applicability of our framework in the DSVM middleware for user-centric communication. We will measure the overhead of our approach and provide a cost-benefit analysis factoring in its r"&amp;"untime adaptability using appropriate experimentation. Results: Our experiments show that combining the DSK and MoE for a DSVM middleware allow us to realize efficient specialization while maintaining the required operability. We also show that the overhe"&amp;"ad introduced by adaptation is not necessarily deleterious to overall performance in a domain as it may result in more efficient operation selection. Conclusion: The approach defined for the DSVM middleware allows for greater flexibility in service delive"&amp;"ry while reducing the complexity of application development for the user. These benefits are achieved at the expense of increased execution times, however this increase may be negligible depending on the domain. © 2015 Elsevier B.V. All rights reserved.")</f>
        <v>Context: As the use of Domain-Specific Modeling Languages (DSMLs) continues to gain popularity, we have developed new ways to execute DSML models. The most popular approach is to execute code resulting from a model-to-code transformation. An alternative approach is to directly execute these models using a semantic-rich execution engine - Domain-Specific Virtual Machine (DSVM). The DSVM includes a middleware layer responsible for the delivery of services in a given domain. Objective: We will investigate an approach that performs the dynamic combination of constructs in the middleware layer of DSVMs to support the delivery of domain-specific services. This middleware should provide: (a) a model of execution (MoE) that dynamically integrates decoupled domain-specific knowledge (DSK) for service delivery, (b) runtime adaptability based on context and available resources, and (c) the same level of operational assurance as any DSVM middleware. Method: Our approach will involve (1) defining a framework that supports the dynamic combination of MoE and DSK and (2) demonstrating the applicability of our framework in the DSVM middleware for user-centric communication. We will measure the overhead of our approach and provide a cost-benefit analysis factoring in its runtime adaptability using appropriate experimentation. Results: Our experiments show that combining the DSK and MoE for a DSVM middleware allow us to realize efficient specialization while maintaining the required operability. We also show that the overhead introduced by adaptation is not necessarily deleterious to overall performance in a domain as it may result in more efficient operation selection. Conclusion: The approach defined for the DSVM middleware allows for greater flexibility in service delivery while reducing the complexity of application development for the user. These benefits are achieved at the expense of increased execution times, however this increase may be negligible depending on the domain. © 2015 Elsevier B.V. All rights reserved.</v>
      </c>
      <c r="H593" s="8" t="str">
        <f>IFERROR(__xludf.DUMMYFUNCTION("""COMPUTED_VALUE"""),"Adaptable middleware; Domain independence; Domain specific classifier; Models at runtime")</f>
        <v>Adaptable middleware; Domain independence; Domain specific classifier; Models at runtime</v>
      </c>
      <c r="I593" s="10" t="b">
        <v>0</v>
      </c>
      <c r="J593" s="10" t="b">
        <v>0</v>
      </c>
      <c r="K593" s="10" t="b">
        <v>0</v>
      </c>
      <c r="L593" s="10" t="b">
        <v>0</v>
      </c>
      <c r="M593" s="10" t="b">
        <v>0</v>
      </c>
      <c r="N593" s="10" t="b">
        <v>0</v>
      </c>
      <c r="O593" s="11" t="b">
        <f t="shared" si="1"/>
        <v>0</v>
      </c>
      <c r="P593" s="16" t="b">
        <v>0</v>
      </c>
      <c r="Q593" s="7"/>
    </row>
    <row r="594">
      <c r="A594" s="5" t="b">
        <v>1</v>
      </c>
      <c r="B594" s="5" t="s">
        <v>637</v>
      </c>
      <c r="C594" s="6" t="str">
        <f>IFERROR(__xludf.DUMMYFUNCTION("""COMPUTED_VALUE"""),"10.1016/j.infsof.2014.05.019")</f>
        <v>10.1016/j.infsof.2014.05.019</v>
      </c>
      <c r="D594" s="7" t="str">
        <f>IFERROR(__xludf.DUMMYFUNCTION("""COMPUTED_VALUE"""),"Blake M.B.; Saleh I.; Wei Y.; Schlesinger I.D.; Yale-Loehr A.; Liu X.")</f>
        <v>Blake M.B.; Saleh I.; Wei Y.; Schlesinger I.D.; Yale-Loehr A.; Liu X.</v>
      </c>
      <c r="E594" s="7" t="str">
        <f>IFERROR(__xludf.DUMMYFUNCTION("""COMPUTED_VALUE"""),"Shared service recommendations from requirement specifications: A hybrid syntactic and semantic toolkit")</f>
        <v>Shared service recommendations from requirement specifications: A hybrid syntactic and semantic toolkit</v>
      </c>
      <c r="F594" s="7" t="str">
        <f>IFERROR(__xludf.DUMMYFUNCTION("""COMPUTED_VALUE"""),"IST")</f>
        <v>IST</v>
      </c>
      <c r="G594" s="7" t="str">
        <f>IFERROR(__xludf.DUMMYFUNCTION("""COMPUTED_VALUE"""),"Context: Software Requirement Specifications (SRSs) are central to software lifecycles. An SRS defines the functionalities and constraints of a desired software system, hence it often serves as reference for further development. Software lifecycles concer"&amp;"ned with the conversion of traditional systems into more serviceoriented infrastructures can benefit from understanding potential shared capabilities through the analysis of SRSs. Objective: In this paper, we propose an automated approach capable of recom"&amp;"mending shared software services from multiple text-based SRSs created by different organizations. Our goal is to facilitate the identification of overlapping requirements in these specifications and subsequently recommend shared components, which promote"&amp;"s software reuse. The shared components can be implemented as services that are invoked across different systems. Method: Our approach leverages the syntactic similarity of the SRS text augmented with semantic information derived from the WordNet database"&amp;". This work extends our earlier studies by introducing an algorithm that utilizes noun, verb, and predicate relations to enhance the discovery of equivalent requirements and the recommendation of reusable services. A prototype system is implemented to eva"&amp;"luate the approach and experimental results have shown effective recommendation of requirements and their realized shared services. Results: Our automatic recommendation approach generates recommendations in few minutes compared to 9 h when services are m"&amp;"anually inspected by developers. Our approach is also able to recommend services that are overlooked by the same developers, and to identify similarity between requirements even if these requirements are reworded. Conclusion: We show through experimentati"&amp;"on that we can efficiently recommend services by leveraging both the syntactical structure and the semantic information of a requirements document and that our approach is more effective than the manual selection of services by experts. We also show that "&amp;"our approach is effective in detecting similar requirements for a single system and hence discovering opportunities for software reuse. © 2014 Elsevier B.V. All rights reserved.")</f>
        <v>Context: Software Requirement Specifications (SRSs) are central to software lifecycles. An SRS defines the functionalities and constraints of a desired software system, hence it often serves as reference for further development. Software lifecycles concerned with the conversion of traditional systems into more serviceoriented infrastructures can benefit from understanding potential shared capabilities through the analysis of SRSs. Objective: In this paper, we propose an automated approach capable of recommending shared software services from multiple text-based SRSs created by different organizations. Our goal is to facilitate the identification of overlapping requirements in these specifications and subsequently recommend shared components, which promotes software reuse. The shared components can be implemented as services that are invoked across different systems. Method: Our approach leverages the syntactic similarity of the SRS text augmented with semantic information derived from the WordNet database. This work extends our earlier studies by introducing an algorithm that utilizes noun, verb, and predicate relations to enhance the discovery of equivalent requirements and the recommendation of reusable services. A prototype system is implemented to evaluate the approach and experimental results have shown effective recommendation of requirements and their realized shared services. Results: Our automatic recommendation approach generates recommendations in few minutes compared to 9 h when services are manually inspected by developers. Our approach is also able to recommend services that are overlooked by the same developers, and to identify similarity between requirements even if these requirements are reworded. Conclusion: We show through experimentation that we can efficiently recommend services by leveraging both the syntactical structure and the semantic information of a requirements document and that our approach is more effective than the manual selection of services by experts. We also show that our approach is effective in detecting similar requirements for a single system and hence discovering opportunities for software reuse. © 2014 Elsevier B.V. All rights reserved.</v>
      </c>
      <c r="H594" s="8" t="str">
        <f>IFERROR(__xludf.DUMMYFUNCTION("""COMPUTED_VALUE"""),"Requirements engineering; Shared service discovery; Similarity analysis")</f>
        <v>Requirements engineering; Shared service discovery; Similarity analysis</v>
      </c>
      <c r="I594" s="9" t="b">
        <v>1</v>
      </c>
      <c r="J594" s="9" t="b">
        <v>1</v>
      </c>
      <c r="K594" s="9" t="b">
        <v>1</v>
      </c>
      <c r="L594" s="10" t="b">
        <v>0</v>
      </c>
      <c r="M594" s="10" t="b">
        <v>0</v>
      </c>
      <c r="N594" s="10" t="b">
        <v>0</v>
      </c>
      <c r="O594" s="11" t="b">
        <f t="shared" si="1"/>
        <v>1</v>
      </c>
      <c r="P594" s="12" t="b">
        <v>0</v>
      </c>
      <c r="Q594" s="13"/>
    </row>
    <row r="595">
      <c r="A595" s="5" t="b">
        <v>1</v>
      </c>
      <c r="B595" s="5" t="s">
        <v>638</v>
      </c>
      <c r="C595" s="6" t="str">
        <f>IFERROR(__xludf.DUMMYFUNCTION("""COMPUTED_VALUE"""),"10.1016/j.infsof.2019.106224")</f>
        <v>10.1016/j.infsof.2019.106224</v>
      </c>
      <c r="D595" s="7" t="str">
        <f>IFERROR(__xludf.DUMMYFUNCTION("""COMPUTED_VALUE"""),"Coviello C.; Romano S.; Scanniello G.; Marchetto A.; Corazza A.; Antoniol G.")</f>
        <v>Coviello C.; Romano S.; Scanniello G.; Marchetto A.; Corazza A.; Antoniol G.</v>
      </c>
      <c r="E595" s="7" t="str">
        <f>IFERROR(__xludf.DUMMYFUNCTION("""COMPUTED_VALUE"""),"Adequate vs. inadequate test suite reduction approaches")</f>
        <v>Adequate vs. inadequate test suite reduction approaches</v>
      </c>
      <c r="F595" s="7" t="str">
        <f>IFERROR(__xludf.DUMMYFUNCTION("""COMPUTED_VALUE"""),"IST")</f>
        <v>IST</v>
      </c>
      <c r="G595" s="7" t="str">
        <f>IFERROR(__xludf.DUMMYFUNCTION("""COMPUTED_VALUE"""),"Context: Regression testing is an important activity that allows ensuring the correct behavior of a system after changes. As the system grows, the time and resources to perform regression testing increase. Test Suite Reduction (TSR) approaches aim to spee"&amp;"d up regression testing by removing obsolete or redundant test cases. These approaches can be classified as adequate or inadequate. Adequate TSR approaches reduce test suites and completely preserve test requirements (e.g., covered statements) of the orig"&amp;"inal test suites. Inadequate TSR approaches do not preserve test requirements. The percentage of satisfied test requirements indicates the inadequacy level. Objective: We compare some state-of-the-art adequate and inadequate TSR approaches with respect to"&amp;" the size of reduced test suites and their fault-detection capability. We aim to increase our body of knowledge on TSR approaches by comparing: (i) well-known traditional adequate TSR approaches; (ii) their inadequate variants; and (iii) several variants "&amp;"of a novel Clustering-Based (CB) approach for (adequate and inadequate) TSR. Method: We conducted an experiment to compare adequate and inadequate TSR approaches. This comparison is founded on a public dataset containing information on real faults. Result"&amp;"s: The most important findings from our experiment can be summarized as follows: (i) there is not an inadequate TSR approach that outperforms the others; (ii) some inadequate variants of the CB approach, and few traditional inadequate approaches, outperfo"&amp;"rm the adequate ones in terms of reduction in test suite size with a negligible effect on fault-detection capability; and (iii) the CB approach is less sensitive than the other inadequate approaches, that is, variations in the inadequacy level have small "&amp;"effect on reduction in test suite size and on loss in fault-detection capability. Conclusions: These findings imply that inadequate TSR approaches and especially the CB approach might be appealing because they lead to a greater reduction in test suite siz"&amp;"e (with respect to the adequate ones) at the expense of a small loss in fault-detection capability. © 2019")</f>
        <v>Context: Regression testing is an important activity that allows ensuring the correct behavior of a system after changes. As the system grows, the time and resources to perform regression testing increase. Test Suite Reduction (TSR) approaches aim to speed up regression testing by removing obsolete or redundant test cases. These approaches can be classified as adequate or inadequate. Adequate TSR approaches reduce test suites and completely preserve test requirements (e.g., covered statements) of the original test suites. Inadequate TSR approaches do not preserve test requirements. The percentage of satisfied test requirements indicates the inadequacy level. Objective: We compare some state-of-the-art adequate and inadequate TSR approaches with respect to the size of reduced test suites and their fault-detection capability. We aim to increase our body of knowledge on TSR approaches by comparing: (i) well-known traditional adequate TSR approaches; (ii) their inadequate variants; and (iii) several variants of a novel Clustering-Based (CB) approach for (adequate and inadequate) TSR. Method: We conducted an experiment to compare adequate and inadequate TSR approaches. This comparison is founded on a public dataset containing information on real faults. Results: The most important findings from our experiment can be summarized as follows: (i) there is not an inadequate TSR approach that outperforms the others; (ii) some inadequate variants of the CB approach, and few traditional inadequate approaches, outperform the adequate ones in terms of reduction in test suite size with a negligible effect on fault-detection capability; and (iii) the CB approach is less sensitive than the other inadequate approaches, that is, variations in the inadequacy level have small effect on reduction in test suite size and on loss in fault-detection capability. Conclusions: These findings imply that inadequate TSR approaches and especially the CB approach might be appealing because they lead to a greater reduction in test suite size (with respect to the adequate ones) at the expense of a small loss in fault-detection capability. © 2019</v>
      </c>
      <c r="H595" s="8" t="str">
        <f>IFERROR(__xludf.DUMMYFUNCTION("""COMPUTED_VALUE"""),"Adequate test suite reduction; Clustering; Inadequate test suite reduction; Regression testing; Test suite reduction")</f>
        <v>Adequate test suite reduction; Clustering; Inadequate test suite reduction; Regression testing; Test suite reduction</v>
      </c>
      <c r="I595" s="10" t="b">
        <v>0</v>
      </c>
      <c r="J595" s="10" t="b">
        <v>0</v>
      </c>
      <c r="K595" s="10" t="b">
        <v>0</v>
      </c>
      <c r="L595" s="10" t="b">
        <v>0</v>
      </c>
      <c r="M595" s="10" t="b">
        <v>0</v>
      </c>
      <c r="N595" s="10" t="b">
        <v>0</v>
      </c>
      <c r="O595" s="11" t="b">
        <f t="shared" si="1"/>
        <v>0</v>
      </c>
      <c r="P595" s="16" t="b">
        <v>0</v>
      </c>
      <c r="Q595" s="7"/>
    </row>
    <row r="596">
      <c r="A596" s="5" t="b">
        <v>1</v>
      </c>
      <c r="B596" s="5" t="s">
        <v>639</v>
      </c>
      <c r="C596" s="6" t="str">
        <f>IFERROR(__xludf.DUMMYFUNCTION("""COMPUTED_VALUE"""),"10.1016/j.infsof.2018.06.009")</f>
        <v>10.1016/j.infsof.2018.06.009</v>
      </c>
      <c r="D596" s="7" t="str">
        <f>IFERROR(__xludf.DUMMYFUNCTION("""COMPUTED_VALUE"""),"Kopczyńska S.; Nawrocki J.; Ochodek M.")</f>
        <v>Kopczyńska S.; Nawrocki J.; Ochodek M.</v>
      </c>
      <c r="E596" s="7" t="str">
        <f>IFERROR(__xludf.DUMMYFUNCTION("""COMPUTED_VALUE"""),"An empirical study on catalog of non-functional requirement templates: Usefulness and maintenance issues")</f>
        <v>An empirical study on catalog of non-functional requirement templates: Usefulness and maintenance issues</v>
      </c>
      <c r="F596" s="7" t="str">
        <f>IFERROR(__xludf.DUMMYFUNCTION("""COMPUTED_VALUE"""),"IST")</f>
        <v>IST</v>
      </c>
      <c r="G596" s="7" t="str">
        <f>IFERROR(__xludf.DUMMYFUNCTION("""COMPUTED_VALUE"""),"Context. Non-functional requirements (NFRs) are not easy to elicit and formulate. Therefore, some experts advocate using templates, i.e., statement patterns with parameters and optional parts. Unfortunately, there is still scarcity of evidence showing the"&amp;" benefits of this approach. Objective.We aim at evaluating the usefulness of catalog of NFR templates in the context of inexperienced requirements elicitors and the effort required to maintain such catalog. Method.To investigate the usefulness of NFR temp"&amp;"lates, an experiment was conducted with 107 participants. The participants, individually or in teams, elicited NFRs based on a business case concerning an e-commerce system. To study the maintenance effort, we analyzed 2231 NFRs, 41 industrial projects to"&amp;" simulate the development of a catalog of NFR templates. We investigated how the characteristics of the catalog, essential from the maintenance perspective, change over a series of projects (a counterpart of elapsing time). Results.The participants using "&amp;"NFR templates provided NFRs that were more complete, less ambiguous, more detailed, and better from the point of view of verifiability than their counterparts using the ad hoc approach. However, the catalog of templates did not speed up the elicitation pr"&amp;"ocess. As regards the maintenance effort, we introduced the notion of mature catalog. In our case, ca. 40 projects were needed to make the catalog mature and then it contained 400 templates but less than 10% of them were used by a single project. The matu"&amp;"re catalog subjected to the Pareto principle—about 20% of templates resulted in almost 80% of NFRs. Moreover, when updating the catalog after each project, less than 10% of templates had to be modified or added. Conclusions.Catalog of NFR templates seems "&amp;"useful. It increases the quality of NFRs and does not hinder elicitation speed. However, it takes time to make such catalog mature. © 2018 Elsevier B.V.")</f>
        <v>Context. Non-functional requirements (NFRs) are not easy to elicit and formulate. Therefore, some experts advocate using templates, i.e., statement patterns with parameters and optional parts. Unfortunately, there is still scarcity of evidence showing the benefits of this approach. Objective.We aim at evaluating the usefulness of catalog of NFR templates in the context of inexperienced requirements elicitors and the effort required to maintain such catalog. Method.To investigate the usefulness of NFR templates, an experiment was conducted with 107 participants. The participants, individually or in teams, elicited NFRs based on a business case concerning an e-commerce system. To study the maintenance effort, we analyzed 2231 NFRs, 41 industrial projects to simulate the development of a catalog of NFR templates. We investigated how the characteristics of the catalog, essential from the maintenance perspective, change over a series of projects (a counterpart of elapsing time). Results.The participants using NFR templates provided NFRs that were more complete, less ambiguous, more detailed, and better from the point of view of verifiability than their counterparts using the ad hoc approach. However, the catalog of templates did not speed up the elicitation process. As regards the maintenance effort, we introduced the notion of mature catalog. In our case, ca. 40 projects were needed to make the catalog mature and then it contained 400 templates but less than 10% of them were used by a single project. The mature catalog subjected to the Pareto principle—about 20% of templates resulted in almost 80% of NFRs. Moreover, when updating the catalog after each project, less than 10% of templates had to be modified or added. Conclusions.Catalog of NFR templates seems useful. It increases the quality of NFRs and does not hinder elicitation speed. However, it takes time to make such catalog mature. © 2018 Elsevier B.V.</v>
      </c>
      <c r="H596" s="8" t="str">
        <f>IFERROR(__xludf.DUMMYFUNCTION("""COMPUTED_VALUE"""),"Catalog; Elicitation; Empirical study; Maintenance; Non-functional requirements; Templates; Usefulness")</f>
        <v>Catalog; Elicitation; Empirical study; Maintenance; Non-functional requirements; Templates; Usefulness</v>
      </c>
      <c r="I596" s="9" t="b">
        <v>1</v>
      </c>
      <c r="J596" s="9" t="b">
        <v>1</v>
      </c>
      <c r="K596" s="9" t="b">
        <v>1</v>
      </c>
      <c r="L596" s="10" t="b">
        <v>0</v>
      </c>
      <c r="M596" s="10" t="b">
        <v>0</v>
      </c>
      <c r="N596" s="10" t="b">
        <v>0</v>
      </c>
      <c r="O596" s="11" t="b">
        <f t="shared" si="1"/>
        <v>1</v>
      </c>
      <c r="P596" s="16" t="b">
        <v>0</v>
      </c>
      <c r="Q596" s="7"/>
    </row>
    <row r="597">
      <c r="A597" s="5" t="b">
        <v>1</v>
      </c>
      <c r="B597" s="5" t="s">
        <v>640</v>
      </c>
      <c r="C597" s="6" t="str">
        <f>IFERROR(__xludf.DUMMYFUNCTION("""COMPUTED_VALUE"""),"10.1016/j.infsof.2018.09.009")</f>
        <v>10.1016/j.infsof.2018.09.009</v>
      </c>
      <c r="D597" s="7" t="str">
        <f>IFERROR(__xludf.DUMMYFUNCTION("""COMPUTED_VALUE"""),"Ali N.; Cai H.; Hamou-Lhadj A.; Hassine J.")</f>
        <v>Ali N.; Cai H.; Hamou-Lhadj A.; Hassine J.</v>
      </c>
      <c r="E597" s="7" t="str">
        <f>IFERROR(__xludf.DUMMYFUNCTION("""COMPUTED_VALUE"""),"Exploiting Parts-of-Speech for effective automated requirements traceability")</f>
        <v>Exploiting Parts-of-Speech for effective automated requirements traceability</v>
      </c>
      <c r="F597" s="7" t="str">
        <f>IFERROR(__xludf.DUMMYFUNCTION("""COMPUTED_VALUE"""),"IST")</f>
        <v>IST</v>
      </c>
      <c r="G597" s="7" t="str">
        <f>IFERROR(__xludf.DUMMYFUNCTION("""COMPUTED_VALUE"""),"Context: Requirement traceability (RT) is defined as the ability to describe and follow the life of a requirement. RT helps developers ensure that relevant requirements are implemented and that the source code is consistent with its requirement with respe"&amp;"ct to a set of traceability links called trace links. Previous work leverages Parts Of Speech (POS) tagging of software artifacts to recover trace links among them. These studies work on the premise that discarding one or more POS tags results in an impro"&amp;"ved accuracy of Information Retrieval (IR) techniques. Objective: First, we show empirically that excluding one or more POS tags could negatively impact the accuracy of existing IR-based traceability approaches, namely the Vector Space Model (VSM) and the"&amp;" Jensen Shannon Model (JSM). Second, we propose a method that improves the accuracy of IR-based traceability approaches. Method: We developed an approach, called ConPOS, to recover trace links using constraint-based pruning. ConPOS uses major POS categori"&amp;"es and applies constraints to the recovered trace links for pruning as a filtering process to significantly improve the effectiveness of IR-based techniques. We conducted an experiment to provide evidence that removing POSs does not improve the accuracy o"&amp;"f IR techniques. Furthermore, we conducted two empirical studies to evaluate the effectiveness of ConPOS in recovering trace links compared to existing peer RT approaches. Results: The results of the first empirical study show that removing one or more PO"&amp;"S negatively impacts the accuracy of VSM and JSM. Furthermore, the results from the other empirical studies show that ConPOS provides 11%-107%, 8%-64%, and 15%-170% higher precision, recall, and mean average precision (MAP) than VSM and JSM. Conclusion: W"&amp;"e showed that ConPos outperforms existing IR-based RT approaches that discard some POS tags from the input documents. © 2018 Elsevier B.V.")</f>
        <v>Context: Requirement traceability (RT) is defined as the ability to describe and follow the life of a requirement. RT helps developers ensure that relevant requirements are implemented and that the source code is consistent with its requirement with respect to a set of traceability links called trace links. Previous work leverages Parts Of Speech (POS) tagging of software artifacts to recover trace links among them. These studies work on the premise that discarding one or more POS tags results in an improved accuracy of Information Retrieval (IR) techniques. Objective: First, we show empirically that excluding one or more POS tags could negatively impact the accuracy of existing IR-based traceability approaches, namely the Vector Space Model (VSM) and the Jensen Shannon Model (JSM). Second, we propose a method that improves the accuracy of IR-based traceability approaches. Method: We developed an approach, called ConPOS, to recover trace links using constraint-based pruning. ConPOS uses major POS categories and applies constraints to the recovered trace links for pruning as a filtering process to significantly improve the effectiveness of IR-based techniques. We conducted an experiment to provide evidence that removing POSs does not improve the accuracy of IR techniques. Furthermore, we conducted two empirical studies to evaluate the effectiveness of ConPOS in recovering trace links compared to existing peer RT approaches. Results: The results of the first empirical study show that removing one or more POS negatively impacts the accuracy of VSM and JSM. Furthermore, the results from the other empirical studies show that ConPOS provides 11%-107%, 8%-64%, and 15%-170% higher precision, recall, and mean average precision (MAP) than VSM and JSM. Conclusion: We showed that ConPos outperforms existing IR-based RT approaches that discard some POS tags from the input documents. © 2018 Elsevier B.V.</v>
      </c>
      <c r="H597" s="8" t="str">
        <f>IFERROR(__xludf.DUMMYFUNCTION("""COMPUTED_VALUE"""),"Information retrieval (IR); Parts of Speech (POS); Requirements traceability (RT); Trace links")</f>
        <v>Information retrieval (IR); Parts of Speech (POS); Requirements traceability (RT); Trace links</v>
      </c>
      <c r="I597" s="10" t="b">
        <v>0</v>
      </c>
      <c r="J597" s="9" t="b">
        <v>1</v>
      </c>
      <c r="K597" s="9" t="b">
        <v>1</v>
      </c>
      <c r="L597" s="10" t="b">
        <v>0</v>
      </c>
      <c r="M597" s="10" t="b">
        <v>0</v>
      </c>
      <c r="N597" s="10" t="b">
        <v>0</v>
      </c>
      <c r="O597" s="11" t="b">
        <f t="shared" si="1"/>
        <v>0</v>
      </c>
      <c r="P597" s="16" t="b">
        <v>0</v>
      </c>
      <c r="Q597" s="7"/>
    </row>
    <row r="598">
      <c r="A598" s="5" t="b">
        <v>1</v>
      </c>
      <c r="B598" s="5" t="s">
        <v>641</v>
      </c>
      <c r="C598" s="6" t="str">
        <f>IFERROR(__xludf.DUMMYFUNCTION("""COMPUTED_VALUE"""),"10.1016/j.infsof.2023.107231")</f>
        <v>10.1016/j.infsof.2023.107231</v>
      </c>
      <c r="D598" s="7" t="str">
        <f>IFERROR(__xludf.DUMMYFUNCTION("""COMPUTED_VALUE"""),"del Águila I.M.; del Sagrado J.")</f>
        <v>del Águila I.M.; del Sagrado J.</v>
      </c>
      <c r="E598" s="7" t="str">
        <f>IFERROR(__xludf.DUMMYFUNCTION("""COMPUTED_VALUE"""),"Salience-based stakeholder selection to maintain stakeholder coverage in solving the next release problem")</f>
        <v>Salience-based stakeholder selection to maintain stakeholder coverage in solving the next release problem</v>
      </c>
      <c r="F598" s="7" t="str">
        <f>IFERROR(__xludf.DUMMYFUNCTION("""COMPUTED_VALUE"""),"IST")</f>
        <v>IST</v>
      </c>
      <c r="G598" s="7" t="str">
        <f>IFERROR(__xludf.DUMMYFUNCTION("""COMPUTED_VALUE"""),"Context: The quantification of stakeholders plays a fundamental role in the selection of appropriate requirements, as their judgement is a significant criterion, as not all stakeholders are equally important. The original proposals modelled stakeholder im"&amp;"portance using a weighting approach that may not capture all the dimensions of stakeholder importance. Furthermore, actual projects involve a multitude of stakeholders, making it difficult to consider and compute all their weights. These facts lead us to "&amp;"search for strategies to adequately assess the importance concept, reducing the elicitation effort. Objective: We propose grouping strategies as a means of reducing the number of stakeholders to manage in requirement selection while maintaining adequate s"&amp;"takeholder coverage (how selection meets stakeholder demands). Methods: Our approach is based on the salience of stakeholders, defined in terms of their power, legitimacy, and urgency. Diverse strategies are applied to select important stakeholder groups."&amp;" We use k-means, k-medoids, and hierarchical clustering, after deciding the number of clusters based on validation indices. Results: Each technique found a different group of important stakeholders. The number of stakeholder groups suggested experimentall"&amp;"y (3 or 4) coincides with those indicated by the literature as definitive, dominant, dependent, and dangerous for 4 groups; or critical, major, and minor for 3 groups. Either for all the stakeholders and for each important group, several requirements sele"&amp;"ction optimisation problems are solved. The tests do not find significant differences in coverage when important stakeholders are filtered using clustering, regardless of the technique and number of groups, with a reduction between 66.32% and 87.75% in th"&amp;"e number of stakeholders considered. Conclusions: Applying clustering methods to data obtained from a project is useful in identifying the group of important stakeholders. The number of suggested groups matches the stakeholders’ theory, and the stakeholde"&amp;"r coverage values are kept in the requirement selection. © 2023 The Author(s)")</f>
        <v>Context: The quantification of stakeholders plays a fundamental role in the selection of appropriate requirements, as their judgement is a significant criterion, as not all stakeholders are equally important. The original proposals modelled stakeholder importance using a weighting approach that may not capture all the dimensions of stakeholder importance. Furthermore, actual projects involve a multitude of stakeholders, making it difficult to consider and compute all their weights. These facts lead us to search for strategies to adequately assess the importance concept, reducing the elicitation effort. Objective: We propose grouping strategies as a means of reducing the number of stakeholders to manage in requirement selection while maintaining adequate stakeholder coverage (how selection meets stakeholder demands). Methods: Our approach is based on the salience of stakeholders, defined in terms of their power, legitimacy, and urgency. Diverse strategies are applied to select important stakeholder groups. We use k-means, k-medoids, and hierarchical clustering, after deciding the number of clusters based on validation indices. Results: Each technique found a different group of important stakeholders. The number of stakeholder groups suggested experimentally (3 or 4) coincides with those indicated by the literature as definitive, dominant, dependent, and dangerous for 4 groups; or critical, major, and minor for 3 groups. Either for all the stakeholders and for each important group, several requirements selection optimisation problems are solved. The tests do not find significant differences in coverage when important stakeholders are filtered using clustering, regardless of the technique and number of groups, with a reduction between 66.32% and 87.75% in the number of stakeholders considered. Conclusions: Applying clustering methods to data obtained from a project is useful in identifying the group of important stakeholders. The number of suggested groups matches the stakeholders’ theory, and the stakeholder coverage values are kept in the requirement selection. © 2023 The Author(s)</v>
      </c>
      <c r="H598" s="8" t="str">
        <f>IFERROR(__xludf.DUMMYFUNCTION("""COMPUTED_VALUE"""),"Stakeholders selection and quantification; Stakeholders theory")</f>
        <v>Stakeholders selection and quantification; Stakeholders theory</v>
      </c>
      <c r="I598" s="10" t="b">
        <v>0</v>
      </c>
      <c r="J598" s="10" t="b">
        <v>0</v>
      </c>
      <c r="K598" s="10" t="b">
        <v>0</v>
      </c>
      <c r="L598" s="10" t="b">
        <v>0</v>
      </c>
      <c r="M598" s="10" t="b">
        <v>0</v>
      </c>
      <c r="N598" s="10" t="b">
        <v>0</v>
      </c>
      <c r="O598" s="11" t="b">
        <f t="shared" si="1"/>
        <v>0</v>
      </c>
      <c r="P598" s="16" t="b">
        <v>0</v>
      </c>
      <c r="Q598" s="7"/>
    </row>
    <row r="599">
      <c r="A599" s="5" t="b">
        <v>1</v>
      </c>
      <c r="B599" s="5" t="s">
        <v>642</v>
      </c>
      <c r="C599" s="6" t="str">
        <f>IFERROR(__xludf.DUMMYFUNCTION("""COMPUTED_VALUE"""),"10.1016/j.infsof.2021.106635")</f>
        <v>10.1016/j.infsof.2021.106635</v>
      </c>
      <c r="D599" s="7" t="str">
        <f>IFERROR(__xludf.DUMMYFUNCTION("""COMPUTED_VALUE"""),"Kifetew F.M.; Perini A.; Susi A.; Siena A.; Muñante D.; Morales-Ramirez I.")</f>
        <v>Kifetew F.M.; Perini A.; Susi A.; Siena A.; Muñante D.; Morales-Ramirez I.</v>
      </c>
      <c r="E599" s="7" t="str">
        <f>IFERROR(__xludf.DUMMYFUNCTION("""COMPUTED_VALUE"""),"Automating user-feedback driven requirements prioritization")</f>
        <v>Automating user-feedback driven requirements prioritization</v>
      </c>
      <c r="F599" s="7" t="str">
        <f>IFERROR(__xludf.DUMMYFUNCTION("""COMPUTED_VALUE"""),"IST")</f>
        <v>IST</v>
      </c>
      <c r="G599" s="7" t="str">
        <f>IFERROR(__xludf.DUMMYFUNCTION("""COMPUTED_VALUE"""),"Context: Feedback from end users of software applications is a valuable resource in understanding what users request, what they value, and what they dislike. Information derived from user-feedback can support software evolution activities, such as require"&amp;"ments prioritization. User-feedback analysis is still mostly performed manually by practitioners, despite growing research in automated analysis. Objective: We address two issues in automated user-feedback analysis: (i) most of the existing automated anal"&amp;"ysis approaches that exploit linguistic analysis assume that the vocabulary adopted by users (when expressing feedback) and developers (when formulating requirements) are the same; and (ii) user-feedback analysis techniques are usually experimentally eval"&amp;"uated only on some user-feedback dataset, not involving assessment by potential software developers. Method: We propose an approach, ReFeed, that computes, for each requirement, the set of related user-feedback, and from such user-feedback extracts quanti"&amp;"fiable properties which are relevant for prioritizing the requirement. The extracted properties are propagated to the related requirements, based on which ranks are computed for each requirement. ReFeed relies on domain knowledge, in the form of an ontolo"&amp;"gy, helping mitigate the gap in the vocabulary of end users and developers. The effectiveness of ReFeed is evaluated on a realistic requirements prioritization scenario in two experiments involving graduate students from two different universities. Result"&amp;"s: ReFeed is able to synthesize reasonable priorities for a given set of requirements based on properties derived from user-feedback. The implementation of ReFeed and related resources are publicly available. Conclusion: The results from our studies are e"&amp;"ncouraging in that using only three properties of user-feedback, ReFeed is able to prioritize requirements with reasonable accuracy. Such automatically determined prioritization could serve as a good starting point for requirements experts involved in the"&amp;" task of prioritizing requirements Future studies could explore additional user-feedback properties to improve the effectiveness of computed priorities. © 2021")</f>
        <v>Context: Feedback from end users of software applications is a valuable resource in understanding what users request, what they value, and what they dislike. Information derived from user-feedback can support software evolution activities, such as requirements prioritization. User-feedback analysis is still mostly performed manually by practitioners, despite growing research in automated analysis. Objective: We address two issues in automated user-feedback analysis: (i) most of the existing automated analysis approaches that exploit linguistic analysis assume that the vocabulary adopted by users (when expressing feedback) and developers (when formulating requirements) are the same; and (ii) user-feedback analysis techniques are usually experimentally evaluated only on some user-feedback dataset, not involving assessment by potential software developers. Method: We propose an approach, ReFeed, that computes, for each requirement, the set of related user-feedback, and from such user-feedback extracts quantifiable properties which are relevant for prioritizing the requirement. The extracted properties are propagated to the related requirements, based on which ranks are computed for each requirement. ReFeed relies on domain knowledge, in the form of an ontology, helping mitigate the gap in the vocabulary of end users and developers. The effectiveness of ReFeed is evaluated on a realistic requirements prioritization scenario in two experiments involving graduate students from two different universities. Results: ReFeed is able to synthesize reasonable priorities for a given set of requirements based on properties derived from user-feedback. The implementation of ReFeed and related resources are publicly available. Conclusion: The results from our studies are encouraging in that using only three properties of user-feedback, ReFeed is able to prioritize requirements with reasonable accuracy. Such automatically determined prioritization could serve as a good starting point for requirements experts involved in the task of prioritizing requirements Future studies could explore additional user-feedback properties to improve the effectiveness of computed priorities. © 2021</v>
      </c>
      <c r="H599" s="8" t="str">
        <f>IFERROR(__xludf.DUMMYFUNCTION("""COMPUTED_VALUE"""),"Automated requirements prioritization; Automated user-feedback analysis; Empirical study")</f>
        <v>Automated requirements prioritization; Automated user-feedback analysis; Empirical study</v>
      </c>
      <c r="I599" s="9" t="b">
        <v>1</v>
      </c>
      <c r="J599" s="9" t="b">
        <v>1</v>
      </c>
      <c r="K599" s="9" t="b">
        <v>1</v>
      </c>
      <c r="L599" s="10" t="b">
        <v>0</v>
      </c>
      <c r="M599" s="10" t="b">
        <v>0</v>
      </c>
      <c r="N599" s="10" t="b">
        <v>0</v>
      </c>
      <c r="O599" s="11" t="b">
        <f t="shared" si="1"/>
        <v>1</v>
      </c>
      <c r="P599" s="16" t="b">
        <v>0</v>
      </c>
      <c r="Q599" s="7"/>
    </row>
    <row r="600">
      <c r="A600" s="5" t="b">
        <v>1</v>
      </c>
      <c r="B600" s="5" t="s">
        <v>643</v>
      </c>
      <c r="C600" s="6" t="str">
        <f>IFERROR(__xludf.DUMMYFUNCTION("""COMPUTED_VALUE"""),"10.1016/j.infsof.2017.11.016")</f>
        <v>10.1016/j.infsof.2017.11.016</v>
      </c>
      <c r="D600" s="7" t="str">
        <f>IFERROR(__xludf.DUMMYFUNCTION("""COMPUTED_VALUE"""),"Trubiani C.; Bran A.; van Hoorn A.; Avritzer A.; Knoche H.")</f>
        <v>Trubiani C.; Bran A.; van Hoorn A.; Avritzer A.; Knoche H.</v>
      </c>
      <c r="E600" s="7" t="str">
        <f>IFERROR(__xludf.DUMMYFUNCTION("""COMPUTED_VALUE"""),"Exploiting load testing and profiling for Performance Antipattern Detection")</f>
        <v>Exploiting load testing and profiling for Performance Antipattern Detection</v>
      </c>
      <c r="F600" s="7" t="str">
        <f>IFERROR(__xludf.DUMMYFUNCTION("""COMPUTED_VALUE"""),"IST")</f>
        <v>IST</v>
      </c>
      <c r="G600" s="7" t="str">
        <f>IFERROR(__xludf.DUMMYFUNCTION("""COMPUTED_VALUE"""),"Context: The performance assessment of complex software systems is not a trivial task since it depends on the design, code, and execution environment. All these factors may affect the system quality and generate negative consequences, such as delays and s"&amp;"ystem failures. The identification of bad practices leading to performance flaws is of key relevance to avoid expensive rework in redesign, reimplementation, and redeployment. Objective: The goal of this manuscript is to provide a systematic process, base"&amp;"d on load testing and profiling data, to identify performance issues with runtime data. These performance issues represent an important source of knowledge as they are used to trigger the software refactoring process. Software characteristics and performa"&amp;"nce measurements are matched with well-known performance antipatterns to document common performance issues and their solutions. Method: We execute load testing based on the characteristics of collected operational profile, thus to produce representative "&amp;"workloads. Performance data from the system under test is collected using a profiler tool to create profiler snapshots and get performance hotspot reports. From such data, performance issues are identified and matched with the specification of antipattern"&amp;"s. Software refactorings are then applied to solve these performance antipatterns. Results: The approach has been applied to a real-world industrial case study and to a representative laboratory study. Experimental results demonstrate the effectiveness of"&amp;" our tool-supported approach that is able to automatically detect two performance antipatterns by exploiting the knowledge of domain experts. In addition, the software refactoring process achieves a significant performance gain at the operational stage in"&amp;" both case studies. Conclusion: Performance antipatterns can be used to effectively support the identification of performance issues from load testing and profiling data. The detection process triggers an antipattern-based software refactoring that in our"&amp;" two case studies results in a substantial performance improvement. © 2017 Elsevier B.V.")</f>
        <v>Context: The performance assessment of complex software systems is not a trivial task since it depends on the design, code, and execution environment. All these factors may affect the system quality and generate negative consequences, such as delays and system failures. The identification of bad practices leading to performance flaws is of key relevance to avoid expensive rework in redesign, reimplementation, and redeployment. Objective: The goal of this manuscript is to provide a systematic process, based on load testing and profiling data, to identify performance issues with runtime data. These performance issues represent an important source of knowledge as they are used to trigger the software refactoring process. Software characteristics and performance measurements are matched with well-known performance antipatterns to document common performance issues and their solutions. Method: We execute load testing based on the characteristics of collected operational profile, thus to produce representative workloads. Performance data from the system under test is collected using a profiler tool to create profiler snapshots and get performance hotspot reports. From such data, performance issues are identified and matched with the specification of antipatterns. Software refactorings are then applied to solve these performance antipatterns. Results: The approach has been applied to a real-world industrial case study and to a representative laboratory study. Experimental results demonstrate the effectiveness of our tool-supported approach that is able to automatically detect two performance antipatterns by exploiting the knowledge of domain experts. In addition, the software refactoring process achieves a significant performance gain at the operational stage in both case studies. Conclusion: Performance antipatterns can be used to effectively support the identification of performance issues from load testing and profiling data. The detection process triggers an antipattern-based software refactoring that in our two case studies results in a substantial performance improvement. © 2017 Elsevier B.V.</v>
      </c>
      <c r="H600" s="8" t="str">
        <f>IFERROR(__xludf.DUMMYFUNCTION("""COMPUTED_VALUE"""),"Empirical data; Load testing and profiling; Software performance antipatterns; Software performance engineering")</f>
        <v>Empirical data; Load testing and profiling; Software performance antipatterns; Software performance engineering</v>
      </c>
      <c r="I600" s="10" t="b">
        <v>0</v>
      </c>
      <c r="J600" s="10" t="b">
        <v>0</v>
      </c>
      <c r="K600" s="10" t="b">
        <v>0</v>
      </c>
      <c r="L600" s="10" t="b">
        <v>0</v>
      </c>
      <c r="M600" s="10" t="b">
        <v>0</v>
      </c>
      <c r="N600" s="10" t="b">
        <v>0</v>
      </c>
      <c r="O600" s="11" t="b">
        <f t="shared" si="1"/>
        <v>0</v>
      </c>
      <c r="P600" s="16" t="b">
        <v>0</v>
      </c>
      <c r="Q600" s="7"/>
    </row>
    <row r="601">
      <c r="A601" s="5" t="b">
        <v>1</v>
      </c>
      <c r="B601" s="5" t="s">
        <v>644</v>
      </c>
      <c r="C601" s="6" t="str">
        <f>IFERROR(__xludf.DUMMYFUNCTION("""COMPUTED_VALUE"""),"10.1016/j.infsof.2020.106362")</f>
        <v>10.1016/j.infsof.2020.106362</v>
      </c>
      <c r="D601" s="7" t="str">
        <f>IFERROR(__xludf.DUMMYFUNCTION("""COMPUTED_VALUE"""),"Cortellessa V.; Eramo R.; Tucci M.")</f>
        <v>Cortellessa V.; Eramo R.; Tucci M.</v>
      </c>
      <c r="E601" s="7" t="str">
        <f>IFERROR(__xludf.DUMMYFUNCTION("""COMPUTED_VALUE"""),"From software architecture to analysis models and back: Model-driven refactoring aimed at availability improvement")</f>
        <v>From software architecture to analysis models and back: Model-driven refactoring aimed at availability improvement</v>
      </c>
      <c r="F601" s="7" t="str">
        <f>IFERROR(__xludf.DUMMYFUNCTION("""COMPUTED_VALUE"""),"IST")</f>
        <v>IST</v>
      </c>
      <c r="G601" s="7" t="str">
        <f>IFERROR(__xludf.DUMMYFUNCTION("""COMPUTED_VALUE"""),"Context: With the ever-increasing evolution of software systems, their architecture is subject to frequent changes due to multiple reasons, such as new requirements. Appropriate architectural changes driven by non-functional requirements are particularly "&amp;"challenging to identify because they concern quantitative analyses that are usually carried out with specific languages and tools. A considerable number of approaches have been proposed in the last decades to derive non-functional analysis models from arc"&amp;"hitectural ones. However, there is an evident lack of automation in the backward path that brings the analysis results back to the software architecture. Objective: In this paper, we propose a model-driven approach to support designers in improving the av"&amp;"ailability of their software systems through refactoring actions. Method: The proposed framework makes use of bidirectional model transformations to map UML models onto Generalized Stochastic Petri Nets (GSPN) analysis models and vice versa. In particular"&amp;", after availability analysis, our approach enables the application of model refactoring, possibly based on well-known fault tolerance patterns, aimed at improving the availability of the architectural model. Results: We validated the effectiveness of our"&amp;" approach on an Environmental Control System. Our results show that the approach can generate: (i) an analyzable availability model from a software architecture description, and (ii) valid software architecture models back from availability models. Finall"&amp;"y, our results highlight that the application of fault tolerance patterns significantly improves the availability in each considered scenario. Conclusion: The approach integrates bidirectional model transformation and fault tolerance techniques to support"&amp;" the availability-driven refactoring of architectural models. The results of our experiment showed the effectiveness of the approach in improving the software availability of the system. © 2020")</f>
        <v>Context: With the ever-increasing evolution of software systems, their architecture is subject to frequent changes due to multiple reasons, such as new requirements. Appropriate architectural changes driven by non-functional requirements are particularly challenging to identify because they concern quantitative analyses that are usually carried out with specific languages and tools. A considerable number of approaches have been proposed in the last decades to derive non-functional analysis models from architectural ones. However, there is an evident lack of automation in the backward path that brings the analysis results back to the software architecture. Objective: In this paper, we propose a model-driven approach to support designers in improving the availability of their software systems through refactoring actions. Method: The proposed framework makes use of bidirectional model transformations to map UML models onto Generalized Stochastic Petri Nets (GSPN) analysis models and vice versa. In particular, after availability analysis, our approach enables the application of model refactoring, possibly based on well-known fault tolerance patterns, aimed at improving the availability of the architectural model. Results: We validated the effectiveness of our approach on an Environmental Control System. Our results show that the approach can generate: (i) an analyzable availability model from a software architecture description, and (ii) valid software architecture models back from availability models. Finally, our results highlight that the application of fault tolerance patterns significantly improves the availability in each considered scenario. Conclusion: The approach integrates bidirectional model transformation and fault tolerance techniques to support the availability-driven refactoring of architectural models. The results of our experiment showed the effectiveness of the approach in improving the software availability of the system. © 2020</v>
      </c>
      <c r="H601" s="8" t="str">
        <f>IFERROR(__xludf.DUMMYFUNCTION("""COMPUTED_VALUE"""),"Availability; Bidirectional model transformation; Refactoring; Software architecture")</f>
        <v>Availability; Bidirectional model transformation; Refactoring; Software architecture</v>
      </c>
      <c r="I601" s="10" t="b">
        <v>0</v>
      </c>
      <c r="J601" s="10" t="b">
        <v>0</v>
      </c>
      <c r="K601" s="10" t="b">
        <v>0</v>
      </c>
      <c r="L601" s="10" t="b">
        <v>0</v>
      </c>
      <c r="M601" s="10" t="b">
        <v>0</v>
      </c>
      <c r="N601" s="10" t="b">
        <v>0</v>
      </c>
      <c r="O601" s="11" t="b">
        <f t="shared" si="1"/>
        <v>0</v>
      </c>
      <c r="P601" s="16" t="b">
        <v>0</v>
      </c>
      <c r="Q601" s="7"/>
    </row>
    <row r="602">
      <c r="A602" s="5" t="b">
        <v>1</v>
      </c>
      <c r="B602" s="5" t="s">
        <v>645</v>
      </c>
      <c r="C602" s="6" t="str">
        <f>IFERROR(__xludf.DUMMYFUNCTION("""COMPUTED_VALUE"""),"10.1016/j.infsof.2018.12.007")</f>
        <v>10.1016/j.infsof.2018.12.007</v>
      </c>
      <c r="D602" s="7" t="str">
        <f>IFERROR(__xludf.DUMMYFUNCTION("""COMPUTED_VALUE"""),"Dalpiaz F.; van der Schalk I.; Brinkkemper S.; Aydemir F.B.; Lucassen G.")</f>
        <v>Dalpiaz F.; van der Schalk I.; Brinkkemper S.; Aydemir F.B.; Lucassen G.</v>
      </c>
      <c r="E602" s="7" t="str">
        <f>IFERROR(__xludf.DUMMYFUNCTION("""COMPUTED_VALUE"""),"Detecting terminological ambiguity in user stories: Tool and experimentation")</f>
        <v>Detecting terminological ambiguity in user stories: Tool and experimentation</v>
      </c>
      <c r="F602" s="7" t="str">
        <f>IFERROR(__xludf.DUMMYFUNCTION("""COMPUTED_VALUE"""),"IST")</f>
        <v>IST</v>
      </c>
      <c r="G602" s="7" t="str">
        <f>IFERROR(__xludf.DUMMYFUNCTION("""COMPUTED_VALUE"""),"Context. Defects such as ambiguity and incompleteness are pervasive in software requirements, often due to the limited time that practitioners devote to writing good requirements. Objective.We study whether a synergy between humans’ analytic capabilities "&amp;"and natural language processing is an effective approach for quickly identifying near-synonyms, a possible source of terminological ambiguity. Method.We propose a tool-supported approach that blends information visualization with two natural language proc"&amp;"essing techniques: conceptual model extraction and semantic similarity. We evaluate the precision and recall of our approach compared to a pen-and-paper manual inspection session through a controlled quasi-experiment that involves 57 participants organize"&amp;"d into 28 groups, each group working on one real-world requirements data set. Results.The experimental results indicate that manual inspection delivers higher recall (statistically significant with p ≤ 0.01) and non-significantly higher precision. Based o"&amp;"n qualitative observations, we analyze the quantitative results and suggest interpretations that explain the advantages and disadvantages of each approach. Conclusions.Our experiment confirms conventional wisdom in requirements engineering: identifying te"&amp;"rminological ambiguities is time consuming, even when with tool support; and it is hard to determine whether a near-synonym may challenge the correct development of a software system. The results suggest that the most effective approach may be a combinati"&amp;"on of manual inspection with an improved version of our tool. © 2018 Elsevier B.V.")</f>
        <v>Context. Defects such as ambiguity and incompleteness are pervasive in software requirements, often due to the limited time that practitioners devote to writing good requirements. Objective.We study whether a synergy between humans’ analytic capabilities and natural language processing is an effective approach for quickly identifying near-synonyms, a possible source of terminological ambiguity. Method.We propose a tool-supported approach that blends information visualization with two natural language processing techniques: conceptual model extraction and semantic similarity. We evaluate the precision and recall of our approach compared to a pen-and-paper manual inspection session through a controlled quasi-experiment that involves 57 participants organized into 28 groups, each group working on one real-world requirements data set. Results.The experimental results indicate that manual inspection delivers higher recall (statistically significant with p ≤ 0.01) and non-significantly higher precision. Based on qualitative observations, we analyze the quantitative results and suggest interpretations that explain the advantages and disadvantages of each approach. Conclusions.Our experiment confirms conventional wisdom in requirements engineering: identifying terminological ambiguities is time consuming, even when with tool support; and it is hard to determine whether a near-synonym may challenge the correct development of a software system. The results suggest that the most effective approach may be a combination of manual inspection with an improved version of our tool. © 2018 Elsevier B.V.</v>
      </c>
      <c r="H602" s="8" t="str">
        <f>IFERROR(__xludf.DUMMYFUNCTION("""COMPUTED_VALUE"""),"Ambiguity; Empirical software engineering; Natural language processing; Requirements engineering; User stories")</f>
        <v>Ambiguity; Empirical software engineering; Natural language processing; Requirements engineering; User stories</v>
      </c>
      <c r="I602" s="9" t="b">
        <v>1</v>
      </c>
      <c r="J602" s="9" t="b">
        <v>1</v>
      </c>
      <c r="K602" s="10" t="b">
        <v>0</v>
      </c>
      <c r="L602" s="10" t="b">
        <v>0</v>
      </c>
      <c r="M602" s="10" t="b">
        <v>0</v>
      </c>
      <c r="N602" s="10" t="b">
        <v>0</v>
      </c>
      <c r="O602" s="11" t="b">
        <f t="shared" si="1"/>
        <v>0</v>
      </c>
      <c r="P602" s="16" t="b">
        <v>0</v>
      </c>
      <c r="Q602" s="7"/>
    </row>
    <row r="603">
      <c r="A603" s="5" t="b">
        <v>1</v>
      </c>
      <c r="B603" s="5" t="s">
        <v>646</v>
      </c>
      <c r="C603" s="6" t="str">
        <f>IFERROR(__xludf.DUMMYFUNCTION("""COMPUTED_VALUE"""),"10.1016/j.infsof.2016.07.004")</f>
        <v>10.1016/j.infsof.2016.07.004</v>
      </c>
      <c r="D603" s="7" t="str">
        <f>IFERROR(__xludf.DUMMYFUNCTION("""COMPUTED_VALUE"""),"Fittkau F.; Krause A.; Hasselbring W.")</f>
        <v>Fittkau F.; Krause A.; Hasselbring W.</v>
      </c>
      <c r="E603" s="7" t="str">
        <f>IFERROR(__xludf.DUMMYFUNCTION("""COMPUTED_VALUE"""),"Software landscape and application visualization for system comprehension with ExplorViz")</f>
        <v>Software landscape and application visualization for system comprehension with ExplorViz</v>
      </c>
      <c r="F603" s="7" t="str">
        <f>IFERROR(__xludf.DUMMYFUNCTION("""COMPUTED_VALUE"""),"IST")</f>
        <v>IST</v>
      </c>
      <c r="G603" s="7" t="str">
        <f>IFERROR(__xludf.DUMMYFUNCTION("""COMPUTED_VALUE"""),"Context: The number of software applications deployed in organizations is constantly increasing. Those applications – often several hundreds – form large software landscapes. Objective: The comprehension of such landscapes and their applications is often "&amp;"impeded by, for instance, architectural erosion, personnel turnover, or changing requirements. Therefore, an efficient and effective way to comprehend such software landscapes is required. Method: In our ExplorViz visualization, we introduce hierarchical "&amp;"abstractions aiming at solving system comprehension tasks fast and accurately for large software landscapes. Besides hierarchical visualization on the landscape level, ExplorViz provides multi-level visualization from the landscape to the level of individ"&amp;"ual applications. The 3D application-level visualization is empirically evaluated with a comparison to the Extravis approach, with physical models and in virtual reality. To evaluate ExplorViz, we conducted four controlled experiments. We provide packages"&amp;" containing all our experimental data to facilitate the verifiability, reproducibility, and further extensibility of our results. Results: We observed a statistical significant increase in task correctness of the hierarchical visualization compared to the"&amp;" flat visualization. The time spent did not show any significant differences. For the comparison with Extravis, we observed that solving program comprehension tasks using ExplorViz leads to a significant increase in correctness and in less or similar time"&amp;" spent. The physical models improved the team-based program comprehension process for specific tasks by initiating gesture-based interaction, but not for all tasks. The participants of our virtual reality experiment with ExplorViz rated the realized gestu"&amp;"res for translation, rotation, and selection as highly usable. However, our zooming gesture was less favored. Conclusion: The results backup our claim that our hierarchical and multi-level approach enhances the current state of the art in landscape and ap"&amp;"plication visualization for better software system comprehension, including new forms of interaction with physical models and virtual reality. © 2016 The Authors")</f>
        <v>Context: The number of software applications deployed in organizations is constantly increasing. Those applications – often several hundreds – form large software landscapes. Objective: The comprehension of such landscapes and their applications is often impeded by, for instance, architectural erosion, personnel turnover, or changing requirements. Therefore, an efficient and effective way to comprehend such software landscapes is required. Method: In our ExplorViz visualization, we introduce hierarchical abstractions aiming at solving system comprehension tasks fast and accurately for large software landscapes. Besides hierarchical visualization on the landscape level, ExplorViz provides multi-level visualization from the landscape to the level of individual applications. The 3D application-level visualization is empirically evaluated with a comparison to the Extravis approach, with physical models and in virtual reality. To evaluate ExplorViz, we conducted four controlled experiments. We provide packages containing all our experimental data to facilitate the verifiability, reproducibility, and further extensibility of our results. Results: We observed a statistical significant increase in task correctness of the hierarchical visualization compared to the flat visualization. The time spent did not show any significant differences. For the comparison with Extravis, we observed that solving program comprehension tasks using ExplorViz leads to a significant increase in correctness and in less or similar time spent. The physical models improved the team-based program comprehension process for specific tasks by initiating gesture-based interaction, but not for all tasks. The participants of our virtual reality experiment with ExplorViz rated the realized gestures for translation, rotation, and selection as highly usable. However, our zooming gesture was less favored. Conclusion: The results backup our claim that our hierarchical and multi-level approach enhances the current state of the art in landscape and application visualization for better software system comprehension, including new forms of interaction with physical models and virtual reality. © 2016 The Authors</v>
      </c>
      <c r="H603" s="8" t="str">
        <f>IFERROR(__xludf.DUMMYFUNCTION("""COMPUTED_VALUE"""),"Dynamic analysis; Software visualization; System comprehension")</f>
        <v>Dynamic analysis; Software visualization; System comprehension</v>
      </c>
      <c r="I603" s="9" t="b">
        <v>1</v>
      </c>
      <c r="J603" s="10" t="b">
        <v>0</v>
      </c>
      <c r="K603" s="9" t="b">
        <v>1</v>
      </c>
      <c r="L603" s="10" t="b">
        <v>0</v>
      </c>
      <c r="M603" s="10" t="b">
        <v>0</v>
      </c>
      <c r="N603" s="10" t="b">
        <v>0</v>
      </c>
      <c r="O603" s="11" t="b">
        <f t="shared" si="1"/>
        <v>0</v>
      </c>
      <c r="P603" s="12" t="b">
        <v>0</v>
      </c>
      <c r="Q603" s="7"/>
    </row>
    <row r="604">
      <c r="A604" s="5" t="b">
        <v>1</v>
      </c>
      <c r="B604" s="5" t="s">
        <v>647</v>
      </c>
      <c r="C604" s="6" t="str">
        <f>IFERROR(__xludf.DUMMYFUNCTION("""COMPUTED_VALUE"""),"10.1016/j.infsof.2014.12.004")</f>
        <v>10.1016/j.infsof.2014.12.004</v>
      </c>
      <c r="D604" s="7" t="str">
        <f>IFERROR(__xludf.DUMMYFUNCTION("""COMPUTED_VALUE"""),"Lamprier S.; Baskiotis N.; Ziadi T.; Hillah L.M.")</f>
        <v>Lamprier S.; Baskiotis N.; Ziadi T.; Hillah L.M.</v>
      </c>
      <c r="E604" s="7" t="str">
        <f>IFERROR(__xludf.DUMMYFUNCTION("""COMPUTED_VALUE"""),"The CARE platform for the analysis of behavior model inference techniques")</f>
        <v>The CARE platform for the analysis of behavior model inference techniques</v>
      </c>
      <c r="F604" s="7" t="str">
        <f>IFERROR(__xludf.DUMMYFUNCTION("""COMPUTED_VALUE"""),"IST")</f>
        <v>IST</v>
      </c>
      <c r="G604" s="7" t="str">
        <f>IFERROR(__xludf.DUMMYFUNCTION("""COMPUTED_VALUE"""),"Context Finite State Machine (FSM) inference from execution traces has received a lot of attention over the past few years. Various approaches have been explored, each holding different properties for the resulting models, but the lack of standard benchma"&amp;"rks limits the ability of comparing the proposed techniques. Evaluation is usually performed on a few case studies, which is useful for assessing the feasibility of the algorithm on particular cases, but fails to demonstrate effectiveness in a broad conte"&amp;"xt. Consequently, understanding the strengths and weaknesses of inference techniques remains a challenging task. Objective This paper proposes CARE, a general, approach-independent, platform for the intensive evaluation of FSM inference techniques. Method"&amp;" Grounded in a program specification scheme that provides a good control on the expected program structures, it allows the production of large benchmarks with well identified properties. Results The CARE platform demonstrates the following features: (1) p"&amp;"roviding a benchmarking mechanism for FSM inference techniques, (2) allowing analysis of existing techniques w.r.t. a class of programs and/or behaviors, and (3) helping users in choosing the best suited approach for their objective. Moreover, our extensi"&amp;"ve experiments on different FSM inference techniques highlight that they do not behave in the same manner on every class of program. Characterizing different classes of programs thus helps understanding the strengths and weaknesses of the studied techniqu"&amp;"es. Conclusion Experiments reported in this paper show examples of use cases that demonstrate the ability of the platform to generate large and diverse sets of programs, which allows to carry out meaningful inference techniques analysis. The analysis stra"&amp;"tegies the CARE platform offers open new opportunities for program behavior learning, particularly in conjunction with model checking techniques. The CARE platform is available at http://care.lip6.fr. © 2014 Elsevier B.V. All rights reserved.")</f>
        <v>Context Finite State Machine (FSM) inference from execution traces has received a lot of attention over the past few years. Various approaches have been explored, each holding different properties for the resulting models, but the lack of standard benchmarks limits the ability of comparing the proposed techniques. Evaluation is usually performed on a few case studies, which is useful for assessing the feasibility of the algorithm on particular cases, but fails to demonstrate effectiveness in a broad context. Consequently, understanding the strengths and weaknesses of inference techniques remains a challenging task. Objective This paper proposes CARE, a general, approach-independent, platform for the intensive evaluation of FSM inference techniques. Method Grounded in a program specification scheme that provides a good control on the expected program structures, it allows the production of large benchmarks with well identified properties. Results The CARE platform demonstrates the following features: (1) providing a benchmarking mechanism for FSM inference techniques, (2) allowing analysis of existing techniques w.r.t. a class of programs and/or behaviors, and (3) helping users in choosing the best suited approach for their objective. Moreover, our extensive experiments on different FSM inference techniques highlight that they do not behave in the same manner on every class of program. Characterizing different classes of programs thus helps understanding the strengths and weaknesses of the studied techniques. Conclusion Experiments reported in this paper show examples of use cases that demonstrate the ability of the platform to generate large and diverse sets of programs, which allows to carry out meaningful inference techniques analysis. The analysis strategies the CARE platform offers open new opportunities for program behavior learning, particularly in conjunction with model checking techniques. The CARE platform is available at http://care.lip6.fr. © 2014 Elsevier B.V. All rights reserved.</v>
      </c>
      <c r="H604" s="8" t="str">
        <f>IFERROR(__xludf.DUMMYFUNCTION("""COMPUTED_VALUE"""),"Behavior; Benchmark; Evaluation; FSM; Inference")</f>
        <v>Behavior; Benchmark; Evaluation; FSM; Inference</v>
      </c>
      <c r="I604" s="10" t="b">
        <v>0</v>
      </c>
      <c r="J604" s="10" t="b">
        <v>0</v>
      </c>
      <c r="K604" s="10" t="b">
        <v>0</v>
      </c>
      <c r="L604" s="10" t="b">
        <v>0</v>
      </c>
      <c r="M604" s="10" t="b">
        <v>0</v>
      </c>
      <c r="N604" s="10" t="b">
        <v>0</v>
      </c>
      <c r="O604" s="11" t="b">
        <f t="shared" si="1"/>
        <v>0</v>
      </c>
      <c r="P604" s="16" t="b">
        <v>0</v>
      </c>
      <c r="Q604" s="7"/>
    </row>
    <row r="605">
      <c r="A605" s="5" t="b">
        <v>1</v>
      </c>
      <c r="B605" s="5" t="s">
        <v>648</v>
      </c>
      <c r="C605" s="6" t="str">
        <f>IFERROR(__xludf.DUMMYFUNCTION("""COMPUTED_VALUE"""),"10.1016/j.infsof.2017.11.002")</f>
        <v>10.1016/j.infsof.2017.11.002</v>
      </c>
      <c r="D605" s="7" t="str">
        <f>IFERROR(__xludf.DUMMYFUNCTION("""COMPUTED_VALUE"""),"Siqueira F.L.")</f>
        <v>Siqueira F.L.</v>
      </c>
      <c r="E605" s="7" t="str">
        <f>IFERROR(__xludf.DUMMYFUNCTION("""COMPUTED_VALUE"""),"Comparing the comprehensibility of requirements models: An experiment replication")</f>
        <v>Comparing the comprehensibility of requirements models: An experiment replication</v>
      </c>
      <c r="F605" s="7" t="str">
        <f>IFERROR(__xludf.DUMMYFUNCTION("""COMPUTED_VALUE"""),"IST")</f>
        <v>IST</v>
      </c>
      <c r="G605" s="7" t="str">
        <f>IFERROR(__xludf.DUMMYFUNCTION("""COMPUTED_VALUE"""),"Context: There are several requirements modeling approaches with differences, for instance, in perspective, abstraction levels, modeling focus, and representation. Therefore, comparing and selecting a requirements modeling approach can be a difficult task"&amp;". An important requirement for an approach is model comprehensibility. Objective: This paper replicates the experiment executed by Hadar et al. (2013) to compare the comprehensibility of Tropos requirements models and Use case models, along with the effor"&amp;"t to comprehend the model, and the productivity. Method: This replication varies the operationalization, protocol, population, and experimenters, addressing some future works proposed by the original experiment. Only one application domain of the original"&amp;" experiment was considered, but the same questionnaire was used to evaluate model comprehensibility. In addition to the two models of the original experiment, we also considered another Use case template. Results: Differently from the original experiment,"&amp;" the results of this replication indicate no difference in model comprehensibility and effort between Tropos and the two Use case models considered. As in the original experiment, the results indicate no difference in productivity. Conclusions: Difference"&amp;"s in the experiment setting may explain the different results from the original experiment. Yet, it may be difficult to compare requirements approaches with complementary strengths and limitations as the requirements models must have equivalent content an"&amp;"d complexity. © 2017 Elsevier B.V.")</f>
        <v>Context: There are several requirements modeling approaches with differences, for instance, in perspective, abstraction levels, modeling focus, and representation. Therefore, comparing and selecting a requirements modeling approach can be a difficult task. An important requirement for an approach is model comprehensibility. Objective: This paper replicates the experiment executed by Hadar et al. (2013) to compare the comprehensibility of Tropos requirements models and Use case models, along with the effort to comprehend the model, and the productivity. Method: This replication varies the operationalization, protocol, population, and experimenters, addressing some future works proposed by the original experiment. Only one application domain of the original experiment was considered, but the same questionnaire was used to evaluate model comprehensibility. In addition to the two models of the original experiment, we also considered another Use case template. Results: Differently from the original experiment, the results of this replication indicate no difference in model comprehensibility and effort between Tropos and the two Use case models considered. As in the original experiment, the results indicate no difference in productivity. Conclusions: Differences in the experiment setting may explain the different results from the original experiment. Yet, it may be difficult to compare requirements approaches with complementary strengths and limitations as the requirements models must have equivalent content and complexity. © 2017 Elsevier B.V.</v>
      </c>
      <c r="H605" s="8" t="str">
        <f>IFERROR(__xludf.DUMMYFUNCTION("""COMPUTED_VALUE"""),"Comprehensibility; Experiment; Replication; Tropos; Use case")</f>
        <v>Comprehensibility; Experiment; Replication; Tropos; Use case</v>
      </c>
      <c r="I605" s="9" t="b">
        <v>1</v>
      </c>
      <c r="J605" s="9" t="b">
        <v>1</v>
      </c>
      <c r="K605" s="9" t="b">
        <v>1</v>
      </c>
      <c r="L605" s="10" t="b">
        <v>0</v>
      </c>
      <c r="M605" s="10" t="b">
        <v>0</v>
      </c>
      <c r="N605" s="10" t="b">
        <v>0</v>
      </c>
      <c r="O605" s="11" t="b">
        <f t="shared" si="1"/>
        <v>1</v>
      </c>
      <c r="P605" s="16" t="b">
        <v>0</v>
      </c>
      <c r="Q605" s="7"/>
    </row>
    <row r="606">
      <c r="A606" s="5" t="b">
        <v>1</v>
      </c>
      <c r="B606" s="5" t="s">
        <v>649</v>
      </c>
      <c r="C606" s="6" t="str">
        <f>IFERROR(__xludf.DUMMYFUNCTION("""COMPUTED_VALUE"""),"10.1016/j.infsof.2023.107165")</f>
        <v>10.1016/j.infsof.2023.107165</v>
      </c>
      <c r="D606" s="7" t="str">
        <f>IFERROR(__xludf.DUMMYFUNCTION("""COMPUTED_VALUE"""),"Yu X.; Dai H.; Li L.; Gu X.; Keung J.W.; Bennin K.E.; Li F.; Liu J.")</f>
        <v>Yu X.; Dai H.; Li L.; Gu X.; Keung J.W.; Bennin K.E.; Li F.; Liu J.</v>
      </c>
      <c r="E606" s="7" t="str">
        <f>IFERROR(__xludf.DUMMYFUNCTION("""COMPUTED_VALUE"""),"Finding the best learning to rank algorithms for effort-aware defect prediction")</f>
        <v>Finding the best learning to rank algorithms for effort-aware defect prediction</v>
      </c>
      <c r="F606" s="7" t="str">
        <f>IFERROR(__xludf.DUMMYFUNCTION("""COMPUTED_VALUE"""),"IST")</f>
        <v>IST</v>
      </c>
      <c r="G606" s="7" t="str">
        <f>IFERROR(__xludf.DUMMYFUNCTION("""COMPUTED_VALUE"""),"Context: Effort-Aware Defect Prediction (EADP) ranks software modules or changes based on their predicted number of defects (i.e., considering modules or changes as effort) or defect density (i.e., considering LOC as effort) by using learning to rank algo"&amp;"rithms. Ranking instability refers to the inconsistent conclusions produced by existing empirical studies of EADP. The major reason is the poor experimental design, such as comparison of few learning to rank algorithms, the use of small number of datasets"&amp;" or datasets without indicating numbers of defects, and evaluation with inappropriate or few metrics. Objective: To find a stable ranking of learning to rank algorithms to investigate the best ones for EADP, Method: We examine the practical effects of 34 "&amp;"algorithms on 49 datasets for EADP. We measure the performance of these algorithms using 7 module-based and 7 LOC-based metrics and run experiments under cross-release and cross-project settings, respectively. Finally, we obtain the ranking of these algor"&amp;"ithms by performing the Scott-Knott ESD test. Results: When module is used as effort, random forest regression performs the best under cross-release setting, and linear regression performs the best under cross-project setting among the learning to rank al"&amp;"gorithms; (2) when LOC is used as effort, LTR-linear (Learning-to-Rank with the linear model) performs the best under cross-release setting, and Ranking SVM performs the best under cross-project setting. Conclusion: This comprehensive experimental procedu"&amp;"re allows us to discover a stable ranking of the studied algorithms to select the best ones according to the requirement of software projects. © 2023 Elsevier B.V.")</f>
        <v>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v>
      </c>
      <c r="H606" s="8" t="str">
        <f>IFERROR(__xludf.DUMMYFUNCTION("""COMPUTED_VALUE"""),"Empirical study; Learning to rank; Ranking instability; Software defect prediction")</f>
        <v>Empirical study; Learning to rank; Ranking instability; Software defect prediction</v>
      </c>
      <c r="I606" s="10" t="b">
        <v>0</v>
      </c>
      <c r="J606" s="10" t="b">
        <v>0</v>
      </c>
      <c r="K606" s="10" t="b">
        <v>0</v>
      </c>
      <c r="L606" s="10" t="b">
        <v>0</v>
      </c>
      <c r="M606" s="10" t="b">
        <v>0</v>
      </c>
      <c r="N606" s="10" t="b">
        <v>0</v>
      </c>
      <c r="O606" s="11" t="b">
        <f t="shared" si="1"/>
        <v>0</v>
      </c>
      <c r="P606" s="16" t="b">
        <v>0</v>
      </c>
      <c r="Q606" s="7"/>
    </row>
    <row r="607">
      <c r="A607" s="5" t="b">
        <v>1</v>
      </c>
      <c r="B607" s="5" t="s">
        <v>650</v>
      </c>
      <c r="C607" s="6" t="str">
        <f>IFERROR(__xludf.DUMMYFUNCTION("""COMPUTED_VALUE"""),"10.1016/j.infsof.2014.03.005")</f>
        <v>10.1016/j.infsof.2014.03.005</v>
      </c>
      <c r="D607" s="7" t="str">
        <f>IFERROR(__xludf.DUMMYFUNCTION("""COMPUTED_VALUE"""),"Asadi M.; Soltani S.; Gasevic D.; Hatala M.; Bagheri E.")</f>
        <v>Asadi M.; Soltani S.; Gasevic D.; Hatala M.; Bagheri E.</v>
      </c>
      <c r="E607" s="7" t="str">
        <f>IFERROR(__xludf.DUMMYFUNCTION("""COMPUTED_VALUE"""),"Toward automated feature model configuration with optimizing non-functional requirements")</f>
        <v>Toward automated feature model configuration with optimizing non-functional requirements</v>
      </c>
      <c r="F607" s="7" t="str">
        <f>IFERROR(__xludf.DUMMYFUNCTION("""COMPUTED_VALUE"""),"IST")</f>
        <v>IST</v>
      </c>
      <c r="G607" s="7" t="str">
        <f>IFERROR(__xludf.DUMMYFUNCTION("""COMPUTED_VALUE"""),"Context A software product line is a family of software systems that share some common features but also have significant variabilities. A feature model is a variability modeling artifact, which represents differences among software products with respect "&amp;"to the variability relationships among their features. Having a feature model along with a reference model developed in the domain engineering lifecycle, a concrete product of the family is derived by binding the variation points in the feature model (cal"&amp;"led configuration process) and by instantiating the reference model. Objective In this work we address the feature model configuration problem and propose a framework to automatically select suitable features that satisfy both the functional and non-funct"&amp;"ional preferences and constraints of stakeholders. Additionally, interdependencies between various non-functional properties are taken into account in the framework. Method The proposed framework combines Analytical Hierarchy Process (AHP) and Fuzzy Cogni"&amp;"tive Maps (FCM) to compute the non-functional properties weights based on stakeholders' preferences and interdependencies between non-functional properties. Afterwards, Hierarchical Task Network (HTN) planning is applied to find the optimal feature model "&amp;"configuration. Result Our approach improves state-of-art of feature model configuration by considering positive or negative impacts of the features on non-functional properties, the stakeholders' preferences, and non-functional interdependencies. The appr"&amp;"oach presented in this paper extends earlier work presented in [1] from several distinct perspectives including mechanisms handling interdependencies between non-functional properties, proposing a novel tooling architecture, and offering visualization and"&amp;" interaction techniques for representing functional and non-functional aspects of feature models. Conclusion our experiments show the scalability of our configuration approach when considering both functional and non-functional requirements of stakeholder"&amp;"s. © 2014 Elsevier B.V. All rights reserved.")</f>
        <v>Context A software product line is a family of software systems that share some common features but also have significant variabilities. A feature model is a variability modeling artifact, which represents differences among software products with respect to the variability relationships among their features. Having a feature model along with a reference model developed in the domain engineering lifecycle, a concrete product of the family is derived by binding the variation points in the feature model (called configuration process) and by instantiating the reference model. Objective In this work we address the feature model configuration problem and propose a framework to automatically select suitable features that satisfy both the functional and non-functional preferences and constraints of stakeholders. Additionally, interdependencies between various non-functional properties are taken into account in the framework. Method The proposed framework combines Analytical Hierarchy Process (AHP) and Fuzzy Cognitive Maps (FCM) to compute the non-functional properties weights based on stakeholders' preferences and interdependencies between non-functional properties. Afterwards, Hierarchical Task Network (HTN) planning is applied to find the optimal feature model configuration. Result Our approach improves state-of-art of feature model configuration by considering positive or negative impacts of the features on non-functional properties, the stakeholders' preferences, and non-functional interdependencies. The approach presented in this paper extends earlier work presented in [1] from several distinct perspectives including mechanisms handling interdependencies between non-functional properties, proposing a novel tooling architecture, and offering visualization and interaction techniques for representing functional and non-functional aspects of feature models. Conclusion our experiments show the scalability of our configuration approach when considering both functional and non-functional requirements of stakeholders. © 2014 Elsevier B.V. All rights reserved.</v>
      </c>
      <c r="H607" s="8" t="str">
        <f>IFERROR(__xludf.DUMMYFUNCTION("""COMPUTED_VALUE"""),"Feature model configuration; Non-functional interdependencies; Software product lines; Stakeholders' preferences")</f>
        <v>Feature model configuration; Non-functional interdependencies; Software product lines; Stakeholders' preferences</v>
      </c>
      <c r="I607" s="10" t="b">
        <v>0</v>
      </c>
      <c r="J607" s="10" t="b">
        <v>0</v>
      </c>
      <c r="K607" s="10" t="b">
        <v>0</v>
      </c>
      <c r="L607" s="10" t="b">
        <v>0</v>
      </c>
      <c r="M607" s="10" t="b">
        <v>0</v>
      </c>
      <c r="N607" s="10" t="b">
        <v>0</v>
      </c>
      <c r="O607" s="11" t="b">
        <f t="shared" si="1"/>
        <v>0</v>
      </c>
      <c r="P607" s="16" t="b">
        <v>0</v>
      </c>
      <c r="Q607" s="7"/>
    </row>
    <row r="608">
      <c r="A608" s="5" t="b">
        <v>1</v>
      </c>
      <c r="B608" s="5" t="s">
        <v>651</v>
      </c>
      <c r="C608" s="6" t="str">
        <f>IFERROR(__xludf.DUMMYFUNCTION("""COMPUTED_VALUE"""),"10.1016/j.infsof.2014.05.018")</f>
        <v>10.1016/j.infsof.2014.05.018</v>
      </c>
      <c r="D608" s="7" t="str">
        <f>IFERROR(__xludf.DUMMYFUNCTION("""COMPUTED_VALUE"""),"Gonzalez-Huerta J.; Insfran E.; Abrahão S.; Scanniello G.")</f>
        <v>Gonzalez-Huerta J.; Insfran E.; Abrahão S.; Scanniello G.</v>
      </c>
      <c r="E608" s="7" t="str">
        <f>IFERROR(__xludf.DUMMYFUNCTION("""COMPUTED_VALUE"""),"Validating a model-driven software architecture evaluation and improvement method: A family of experiments")</f>
        <v>Validating a model-driven software architecture evaluation and improvement method: A family of experiments</v>
      </c>
      <c r="F608" s="7" t="str">
        <f>IFERROR(__xludf.DUMMYFUNCTION("""COMPUTED_VALUE"""),"IST")</f>
        <v>IST</v>
      </c>
      <c r="G608" s="7" t="str">
        <f>IFERROR(__xludf.DUMMYFUNCTION("""COMPUTED_VALUE"""),"Context: Software architectures should be evaluated during the early stages of software development in order to verify whether the non-functional requirements (NFRs) of the product can be fulfilled. This activity is even more crucial in software product l"&amp;"ine (SPL) development, since it is also necessary to identify whether the NFRs of a particular product can be achieved by exercising the variation mechanisms provided by the product line architecture or whether additional transformations are required. The"&amp;"se issues have motivated us to propose QuaDAI, a method for the derivation, evaluation and improvement of software architectures in model-driven SPL development. Objective: We present in this paper the results of a family of four experiments carried out t"&amp;"o empirically validate the evaluation and improvement strategy of QuaDAI. Method: The family of experiments was carried out by 92 participants: Computer Science Master's and undergraduate students from Spain and Italy. The goal was to compare the effectiv"&amp;"eness, efficiency, perceived ease of use, perceived usefulness and intention to use with regard to participants using the evaluation and improvement strategy of QuaDAI as opposed to the Architecture Tradeoff Analysis Method (ATAM). Results: The main resul"&amp;"t was that the participants produced their best results when applying QuaDAI, signifying that the participants obtained architectures with better values for the NFRs faster, and that they found the method easier to use, more useful and more likely to be u"&amp;"sed. The results of the meta-analysis carried out to aggregate the results obtained in the individual experiments also confirmed these results. Conclusions: The results support the hypothesis that QuaDAI would achieve better results than ATAM inthe experi"&amp;"ments and that QuaDAI can be considered as a promising approach with which to perform architectural evaluations that occur after the product architecture derivation in model-driven SPL development processes when carried out by novice software evaluators. "&amp;"© 2014 Elsevier B.V. All rights reserved.")</f>
        <v>Context: Software architectures should be evaluated during the early stages of software development in order to verify whether the non-functional requirements (NFRs) of the product can be fulfilled. This activity is even more crucial in software product line (SPL) development, since it is also necessary to identify whether the NFRs of a particular product can be achieved by exercising the variation mechanisms provided by the product line architecture or whether additional transformations are required. These issues have motivated us to propose QuaDAI, a method for the derivation, evaluation and improvement of software architectures in model-driven SPL development. Objective: We present in this paper the results of a family of four experiments carried out to empirically validate the evaluation and improvement strategy of QuaDAI. Method: The family of experiments was carried out by 92 participants: Computer Science Master's and undergraduate students from Spain and Italy. The goal was to compare the effectiveness, efficiency, perceived ease of use, perceived usefulness and intention to use with regard to participants using the evaluation and improvement strategy of QuaDAI as opposed to the Architecture Tradeoff Analysis Method (ATAM). Results: The main result was that the participants produced their best results when applying QuaDAI, signifying that the participants obtained architectures with better values for the NFRs faster, and that they found the method easier to use, more useful and more likely to be used. The results of the meta-analysis carried out to aggregate the results obtained in the individual experiments also confirmed these results. Conclusions: The results support the hypothesis that QuaDAI would achieve better results than ATAM inthe experiments and that QuaDAI can be considered as a promising approach with which to perform architectural evaluations that occur after the product architecture derivation in model-driven SPL development processes when carried out by novice software evaluators. © 2014 Elsevier B.V. All rights reserved.</v>
      </c>
      <c r="H608" s="8" t="str">
        <f>IFERROR(__xludf.DUMMYFUNCTION("""COMPUTED_VALUE"""),"ATAM; Family of experiments; Meta-analysis; Quality attributes; Software architecture evaluation methods; Software architectures")</f>
        <v>ATAM; Family of experiments; Meta-analysis; Quality attributes; Software architecture evaluation methods; Software architectures</v>
      </c>
      <c r="I608" s="9" t="b">
        <v>1</v>
      </c>
      <c r="J608" s="9" t="b">
        <v>0</v>
      </c>
      <c r="K608" s="9" t="b">
        <v>1</v>
      </c>
      <c r="L608" s="10" t="b">
        <v>0</v>
      </c>
      <c r="M608" s="10" t="b">
        <v>0</v>
      </c>
      <c r="N608" s="10" t="b">
        <v>0</v>
      </c>
      <c r="O608" s="11" t="b">
        <f t="shared" si="1"/>
        <v>0</v>
      </c>
      <c r="P608" s="12" t="b">
        <v>0</v>
      </c>
      <c r="Q608" s="13"/>
    </row>
    <row r="609">
      <c r="A609" s="5" t="b">
        <v>1</v>
      </c>
      <c r="B609" s="5" t="s">
        <v>652</v>
      </c>
      <c r="C609" s="6" t="str">
        <f>IFERROR(__xludf.DUMMYFUNCTION("""COMPUTED_VALUE"""),"10.1016/j.infsof.2023.107177")</f>
        <v>10.1016/j.infsof.2023.107177</v>
      </c>
      <c r="D609" s="7" t="str">
        <f>IFERROR(__xludf.DUMMYFUNCTION("""COMPUTED_VALUE"""),"Laghouaouta Y.; Laforcade P.")</f>
        <v>Laghouaouta Y.; Laforcade P.</v>
      </c>
      <c r="E609" s="7" t="str">
        <f>IFERROR(__xludf.DUMMYFUNCTION("""COMPUTED_VALUE"""),"Maintainability enhancement based on uncertain model transformations")</f>
        <v>Maintainability enhancement based on uncertain model transformations</v>
      </c>
      <c r="F609" s="7" t="str">
        <f>IFERROR(__xludf.DUMMYFUNCTION("""COMPUTED_VALUE"""),"IST")</f>
        <v>IST</v>
      </c>
      <c r="G609" s="7" t="str">
        <f>IFERROR(__xludf.DUMMYFUNCTION("""COMPUTED_VALUE"""),"Context: Managing uncertainty while expressing model transformations is problematic. Indeed, we are constrained to express various transformation specifications implementing the different possibilities. These possibilities are driven by the need to realiz"&amp;"e the relevance of each scenario to choose the best one (uncertainty on a transformation scenario) or result from the need to propose other alternatives to a given scenario if it is not feasible (uncertainty on the feasibility of a transformation scenario"&amp;"). In both cases, we face maintainability issues related to handling separated and frequently changed transformation specifications. Objective: This paper gives a global overview of our approach to deal with uncertainty in model transformations while focu"&amp;"sing on maintainability aspect. Methods: We have proposed a new approach for dealing with uncertainty in model transformations. Basically, our approach makes use of partiality to allow expressing a transformation specification that covers different possib"&amp;"ilities. The current paper focuses on the impact of our proposal to enhance changeability. This has been demonstrated by carrying out comparative experiments involving three other transformation techniques while considering the effort required to implemen"&amp;"t a change. Results: Our experiments show that our approach has proven useful and effective for implementing changes, mainly for complex ones. Conclusion: This paper provides an overview of our approach for managing uncertainty within model transformation"&amp;"s. Mainly, it focuses on the impact of our proposal to enhance changeability. The experiment results reveal that our proposal allows expressing highly changeable specifications. © 2023 Elsevier B.V.")</f>
        <v>Context: Managing uncertainty while expressing model transformations is problematic. Indeed, we are constrained to express various transformation specifications implementing the different possibilities. These possibilities are driven by the need to realize the relevance of each scenario to choose the best one (uncertainty on a transformation scenario) or result from the need to propose other alternatives to a given scenario if it is not feasible (uncertainty on the feasibility of a transformation scenario). In both cases, we face maintainability issues related to handling separated and frequently changed transformation specifications. Objective: This paper gives a global overview of our approach to deal with uncertainty in model transformations while focusing on maintainability aspect. Methods: We have proposed a new approach for dealing with uncertainty in model transformations. Basically, our approach makes use of partiality to allow expressing a transformation specification that covers different possibilities. The current paper focuses on the impact of our proposal to enhance changeability. This has been demonstrated by carrying out comparative experiments involving three other transformation techniques while considering the effort required to implement a change. Results: Our experiments show that our approach has proven useful and effective for implementing changes, mainly for complex ones. Conclusion: This paper provides an overview of our approach for managing uncertainty within model transformations. Mainly, it focuses on the impact of our proposal to enhance changeability. The experiment results reveal that our proposal allows expressing highly changeable specifications. © 2023 Elsevier B.V.</v>
      </c>
      <c r="H609" s="8" t="str">
        <f>IFERROR(__xludf.DUMMYFUNCTION("""COMPUTED_VALUE"""),"Maintainability; Model driven engineering; Model transformation; Uncertainty")</f>
        <v>Maintainability; Model driven engineering; Model transformation; Uncertainty</v>
      </c>
      <c r="I609" s="10" t="b">
        <v>0</v>
      </c>
      <c r="J609" s="10" t="b">
        <v>0</v>
      </c>
      <c r="K609" s="10" t="b">
        <v>0</v>
      </c>
      <c r="L609" s="10" t="b">
        <v>0</v>
      </c>
      <c r="M609" s="10" t="b">
        <v>0</v>
      </c>
      <c r="N609" s="10" t="b">
        <v>0</v>
      </c>
      <c r="O609" s="11" t="b">
        <f t="shared" si="1"/>
        <v>0</v>
      </c>
      <c r="P609" s="16" t="b">
        <v>0</v>
      </c>
      <c r="Q609" s="7"/>
    </row>
    <row r="610">
      <c r="A610" s="5" t="b">
        <v>1</v>
      </c>
      <c r="B610" s="5" t="s">
        <v>653</v>
      </c>
      <c r="C610" s="6" t="str">
        <f>IFERROR(__xludf.DUMMYFUNCTION("""COMPUTED_VALUE"""),"10.1016/j.infsof.2023.107270")</f>
        <v>10.1016/j.infsof.2023.107270</v>
      </c>
      <c r="D610" s="7" t="str">
        <f>IFERROR(__xludf.DUMMYFUNCTION("""COMPUTED_VALUE"""),"Su Z.; He X.; Wang T.; Liu L.; Tu Z.; Wang Z.")</f>
        <v>Su Z.; He X.; Wang T.; Liu L.; Tu Z.; Wang Z.</v>
      </c>
      <c r="E610" s="7" t="str">
        <f>IFERROR(__xludf.DUMMYFUNCTION("""COMPUTED_VALUE"""),"Detection and filling of functional holes in microservice systems: Method and infrastructure support")</f>
        <v>Detection and filling of functional holes in microservice systems: Method and infrastructure support</v>
      </c>
      <c r="F610" s="7" t="str">
        <f>IFERROR(__xludf.DUMMYFUNCTION("""COMPUTED_VALUE"""),"IST")</f>
        <v>IST</v>
      </c>
      <c r="G610" s="7" t="str">
        <f>IFERROR(__xludf.DUMMYFUNCTION("""COMPUTED_VALUE"""),"With the widespread use of microservices technology, a growing number of Microservice Systems (MSS) have emerged. Monolithic applications are divided into several small and independent microservices that provide functions through APIs. These microservices"&amp;" can be orchestrated by service composition to satisfy various user requirements: microservice functionalities are aggregated into coarse-grained solutions to provide composite functions to users. However, although various service composition approaches h"&amp;"ave been presented in many works of literature, they failed to solve the situation that no feasible solutions can be found because of missing functions in MSS, named Functional Hole (FH). As a result, the system cannot satisfy user requirements and faces "&amp;"Quality of Service (QoS) declines. In this paper, to reduce the impact of missing functions, we defined the FH to describe the absence of functions for MSS when it cannot satisfy user requirements. Moreover, for the first time, we proposed the Detection a"&amp;"nd Filling Problem of FH (DFPFH) in a running MSS. A three-phase algorithm with supporting infrastructure was developed to solve DFPFH. It detects FHs based on hypergraphs, fills FHs with services from an external service system at runtime, and generates "&amp;"suggestions for thoroughly filling FH to developers. Plenty of experiments were conducted, and the results validate our approaches’ usability, effectiveness, and performance. © 2023 Elsevier B.V.")</f>
        <v>With the widespread use of microservices technology, a growing number of Microservice Systems (MSS) have emerged. Monolithic applications are divided into several small and independent microservices that provide functions through APIs. These microservices can be orchestrated by service composition to satisfy various user requirements: microservice functionalities are aggregated into coarse-grained solutions to provide composite functions to users. However, although various service composition approaches have been presented in many works of literature, they failed to solve the situation that no feasible solutions can be found because of missing functions in MSS, named Functional Hole (FH). As a result, the system cannot satisfy user requirements and faces Quality of Service (QoS) declines. In this paper, to reduce the impact of missing functions, we defined the FH to describe the absence of functions for MSS when it cannot satisfy user requirements. Moreover, for the first time, we proposed the Detection and Filling Problem of FH (DFPFH) in a running MSS. A three-phase algorithm with supporting infrastructure was developed to solve DFPFH. It detects FHs based on hypergraphs, fills FHs with services from an external service system at runtime, and generates suggestions for thoroughly filling FH to developers. Plenty of experiments were conducted, and the results validate our approaches’ usability, effectiveness, and performance. © 2023 Elsevier B.V.</v>
      </c>
      <c r="H610" s="8" t="str">
        <f>IFERROR(__xludf.DUMMYFUNCTION("""COMPUTED_VALUE"""),"Functional hole; Microservice systems; Service composition")</f>
        <v>Functional hole; Microservice systems; Service composition</v>
      </c>
      <c r="I610" s="10" t="b">
        <v>0</v>
      </c>
      <c r="J610" s="10" t="b">
        <v>0</v>
      </c>
      <c r="K610" s="10" t="b">
        <v>0</v>
      </c>
      <c r="L610" s="10" t="b">
        <v>0</v>
      </c>
      <c r="M610" s="10" t="b">
        <v>0</v>
      </c>
      <c r="N610" s="10" t="b">
        <v>0</v>
      </c>
      <c r="O610" s="11" t="b">
        <f t="shared" si="1"/>
        <v>0</v>
      </c>
      <c r="P610" s="16" t="b">
        <v>0</v>
      </c>
      <c r="Q610" s="7"/>
    </row>
    <row r="611">
      <c r="A611" s="5" t="b">
        <v>1</v>
      </c>
      <c r="B611" s="5" t="s">
        <v>654</v>
      </c>
      <c r="C611" s="6" t="str">
        <f>IFERROR(__xludf.DUMMYFUNCTION("""COMPUTED_VALUE"""),"10.1016/j.infsof.2020.106361")</f>
        <v>10.1016/j.infsof.2020.106361</v>
      </c>
      <c r="D611" s="7" t="str">
        <f>IFERROR(__xludf.DUMMYFUNCTION("""COMPUTED_VALUE"""),"Rueda S.; Panach J.I.; Distante D.")</f>
        <v>Rueda S.; Panach J.I.; Distante D.</v>
      </c>
      <c r="E611" s="7" t="str">
        <f>IFERROR(__xludf.DUMMYFUNCTION("""COMPUTED_VALUE"""),"Requirements elicitation methods based on interviews in comparison: A family of experiments")</f>
        <v>Requirements elicitation methods based on interviews in comparison: A family of experiments</v>
      </c>
      <c r="F611" s="7" t="str">
        <f>IFERROR(__xludf.DUMMYFUNCTION("""COMPUTED_VALUE"""),"IST")</f>
        <v>IST</v>
      </c>
      <c r="G611" s="7" t="str">
        <f>IFERROR(__xludf.DUMMYFUNCTION("""COMPUTED_VALUE"""),"Context: There are several methods to elicit requirements through interviews between an end-user and a team of software developers. The choice of the best method in this context is usually on subjective developers’ preferences instead of objective reasons"&amp;". There is a lack of empirical evaluations of methods to elicit requirements that help developers to choose the most suitable one. Objective: This paper designs and conducts a family of experiments to compare three methods to elicit requirements: Unstruct"&amp;"ured Interviews, where there is no specific protocol or artifacts; Joint Application Design (JAD), where each member of the development team has a specific role; Paper Prototyping, where developers contrast the requirements with the end-user through proto"&amp;"types. Method: The experiment is a between-subjects design with next response variables: number of requirements, time, diversity, completeness, quality and performance. The experiment consists of a maximum of 4 rounds of interviews between students that p"&amp;"lay the role of developers and an instructor that plays the role of client. Subjects had to elaborate a requirements specification document as results of the interviews. We recruited 167 subjects in 4 replications in 3 years. Subjects were gathered in dev"&amp;"elopment teams of 6 developers at most, and each team was an experimental unit. Results: We found some significant differences. Paper Prototyping yields the best results to elicit as many requirements as possible, JAD requires the highest time to report t"&amp;"he requirements and the least overlapping, and Unstructured Interviews yields the highest overlapping and the lowest time to report the requirements. Conclusions: Paper Prototyping is the most suitable for eliciting functional requirements, JAD is the mos"&amp;"t suitable for non-functional requirements and to avoid overlapping, Unstructured Interviews is the fastest but with poor quality in the results. © 2020")</f>
        <v>Context: There are several methods to elicit requirements through interviews between an end-user and a team of software developers. The choice of the best method in this context is usually on subjective developers’ preferences instead of objective reasons. There is a lack of empirical evaluations of methods to elicit requirements that help developers to choose the most suitable one. Objective: This paper designs and conducts a family of experiments to compare three methods to elicit requirements: Unstructured Interviews, where there is no specific protocol or artifacts; Joint Application Design (JAD), where each member of the development team has a specific role; Paper Prototyping, where developers contrast the requirements with the end-user through prototypes. Method: The experiment is a between-subjects design with next response variables: number of requirements, time, diversity, completeness, quality and performance. The experiment consists of a maximum of 4 rounds of interviews between students that play the role of developers and an instructor that plays the role of client. Subjects had to elaborate a requirements specification document as results of the interviews. We recruited 167 subjects in 4 replications in 3 years. Subjects were gathered in development teams of 6 developers at most, and each team was an experimental unit. Results: We found some significant differences. Paper Prototyping yields the best results to elicit as many requirements as possible, JAD requires the highest time to report the requirements and the least overlapping, and Unstructured Interviews yields the highest overlapping and the lowest time to report the requirements. Conclusions: Paper Prototyping is the most suitable for eliciting functional requirements, JAD is the most suitable for non-functional requirements and to avoid overlapping, Unstructured Interviews is the fastest but with poor quality in the results. © 2020</v>
      </c>
      <c r="H611" s="8" t="str">
        <f>IFERROR(__xludf.DUMMYFUNCTION("""COMPUTED_VALUE"""),"Empirical software engineering; Joint application design; Prototyping; Requirements elicitation")</f>
        <v>Empirical software engineering; Joint application design; Prototyping; Requirements elicitation</v>
      </c>
      <c r="I611" s="9" t="b">
        <v>1</v>
      </c>
      <c r="J611" s="9" t="b">
        <v>1</v>
      </c>
      <c r="K611" s="10" t="b">
        <v>0</v>
      </c>
      <c r="L611" s="10" t="b">
        <v>0</v>
      </c>
      <c r="M611" s="10" t="b">
        <v>0</v>
      </c>
      <c r="N611" s="10" t="b">
        <v>0</v>
      </c>
      <c r="O611" s="11" t="b">
        <f t="shared" si="1"/>
        <v>0</v>
      </c>
      <c r="P611" s="16" t="b">
        <v>0</v>
      </c>
      <c r="Q611" s="7"/>
    </row>
    <row r="612">
      <c r="A612" s="5" t="b">
        <v>1</v>
      </c>
      <c r="B612" s="5" t="s">
        <v>655</v>
      </c>
      <c r="C612" s="6" t="str">
        <f>IFERROR(__xludf.DUMMYFUNCTION("""COMPUTED_VALUE"""),"10.1016/j.infsof.2019.08.003")</f>
        <v>10.1016/j.infsof.2019.08.003</v>
      </c>
      <c r="D612" s="7" t="str">
        <f>IFERROR(__xludf.DUMMYFUNCTION("""COMPUTED_VALUE"""),"Abrahão S.; Insfran E.; González-Ladrón-de-Guevara F.; Fernández-Diego M.; Cano-Genoves C.; Pereira de Oliveira R.")</f>
        <v>Abrahão S.; Insfran E.; González-Ladrón-de-Guevara F.; Fernández-Diego M.; Cano-Genoves C.; Pereira de Oliveira R.</v>
      </c>
      <c r="E612" s="7" t="str">
        <f>IFERROR(__xludf.DUMMYFUNCTION("""COMPUTED_VALUE"""),"Assessing the effectiveness of goal-oriented modeling languages: A family of experiments")</f>
        <v>Assessing the effectiveness of goal-oriented modeling languages: A family of experiments</v>
      </c>
      <c r="F612" s="7" t="str">
        <f>IFERROR(__xludf.DUMMYFUNCTION("""COMPUTED_VALUE"""),"IST")</f>
        <v>IST</v>
      </c>
      <c r="G612" s="7" t="str">
        <f>IFERROR(__xludf.DUMMYFUNCTION("""COMPUTED_VALUE"""),"Context: Several goal-oriented languages focus on modeling stakeholders’ objectives, interests or wishes. However, these languages can be used for various purposes (e.g., exploring system solutions or evaluating alternatives), and there are few guidelines"&amp;" on how to use these models downstream to the software requirements and design artifacts. Moreover, little attention has been paid to the empirical evaluation of this kind of languages. In a previous work, we proposed value@GRL as a specialization of the "&amp;"Goal Requirements Language (GRL) to specify stakeholders’ goals when dealing with early requirements in the context of incremental software development. Objective: This paper compares the value@GRL language with the i* language, with respect to the qualit"&amp;"y of goal models, the participants’ modeling time and productivity when creating the models, and their perceptions regarding ease of use and usefulness. Method: A family of experiments was carried out with 184 students and practitioners in which the parti"&amp;"cipants were asked to specify a goal model using each of the languages. The participants also filled in a questionnaire that allowed us to assess their perceptions. Results: The results of the individual experiments and the meta-analysis indicate that the"&amp;" quality of goal models obtained with value@GRL is higher than that of i*, but that the participants required less time to create the goal models when using i*. The results also show that the participants perceived value@GRL to be easier to use and more u"&amp;"seful than i* in at least two experiments of the family. Conclusions: value@GRL makes it possible to obtain goal models with good quality when compared to i*, which is one of the most frequently used goal-oriented modeling languages. It can, therefore, be"&amp;" considered as a promising emerging approach in this area. Several insights emerged from the study and opportunities for improving both languages are outlined. © 2019")</f>
        <v>Context: Several goal-oriented languages focus on modeling stakeholders’ objectives, interests or wishes. However, these languages can be used for various purposes (e.g., exploring system solutions or evaluating alternatives), and there are few guidelines on how to use these models downstream to the software requirements and design artifacts. Moreover, little attention has been paid to the empirical evaluation of this kind of languages. In a previous work, we proposed value@GRL as a specialization of the Goal Requirements Language (GRL) to specify stakeholders’ goals when dealing with early requirements in the context of incremental software development. Objective: This paper compares the value@GRL language with the i* language, with respect to the quality of goal models, the participants’ modeling time and productivity when creating the models, and their perceptions regarding ease of use and usefulness. Method: A family of experiments was carried out with 184 students and practitioners in which the participants were asked to specify a goal model using each of the languages. The participants also filled in a questionnaire that allowed us to assess their perceptions. Results: The results of the individual experiments and the meta-analysis indicate that the quality of goal models obtained with value@GRL is higher than that of i*, but that the participants required less time to create the goal models when using i*. The results also show that the participants perceived value@GRL to be easier to use and more useful than i* in at least two experiments of the family. Conclusions: value@GRL makes it possible to obtain goal models with good quality when compared to i*, which is one of the most frequently used goal-oriented modeling languages. It can, therefore, be considered as a promising emerging approach in this area. Several insights emerged from the study and opportunities for improving both languages are outlined. © 2019</v>
      </c>
      <c r="H612" s="8" t="str">
        <f>IFERROR(__xludf.DUMMYFUNCTION("""COMPUTED_VALUE"""),"Controlled experiments; Goal modeling; GRL; I*; Requirements engineering")</f>
        <v>Controlled experiments; Goal modeling; GRL; I*; Requirements engineering</v>
      </c>
      <c r="I612" s="9" t="b">
        <v>1</v>
      </c>
      <c r="J612" s="9" t="b">
        <v>1</v>
      </c>
      <c r="K612" s="9" t="b">
        <v>1</v>
      </c>
      <c r="L612" s="10" t="b">
        <v>0</v>
      </c>
      <c r="M612" s="10" t="b">
        <v>0</v>
      </c>
      <c r="N612" s="10" t="b">
        <v>0</v>
      </c>
      <c r="O612" s="11" t="b">
        <f t="shared" si="1"/>
        <v>1</v>
      </c>
      <c r="P612" s="12" t="b">
        <v>0</v>
      </c>
      <c r="Q612" s="13"/>
    </row>
    <row r="613">
      <c r="A613" s="5" t="b">
        <v>1</v>
      </c>
      <c r="B613" s="5" t="s">
        <v>656</v>
      </c>
      <c r="C613" s="6" t="str">
        <f>IFERROR(__xludf.DUMMYFUNCTION("""COMPUTED_VALUE"""),"10.1016/j.infsof.2021.106735")</f>
        <v>10.1016/j.infsof.2021.106735</v>
      </c>
      <c r="D613" s="7" t="str">
        <f>IFERROR(__xludf.DUMMYFUNCTION("""COMPUTED_VALUE"""),"Firmenich D.; Firmenich S.; Rossi G.; Wimmer M.; Garrigós I.; González-Mora C.")</f>
        <v>Firmenich D.; Firmenich S.; Rossi G.; Wimmer M.; Garrigós I.; González-Mora C.</v>
      </c>
      <c r="E613" s="7" t="str">
        <f>IFERROR(__xludf.DUMMYFUNCTION("""COMPUTED_VALUE"""),"Engineering Web Augmentation software: A development method for enabling end-user maintenance")</f>
        <v>Engineering Web Augmentation software: A development method for enabling end-user maintenance</v>
      </c>
      <c r="F613" s="7" t="str">
        <f>IFERROR(__xludf.DUMMYFUNCTION("""COMPUTED_VALUE"""),"IST")</f>
        <v>IST</v>
      </c>
      <c r="G613" s="7" t="str">
        <f>IFERROR(__xludf.DUMMYFUNCTION("""COMPUTED_VALUE"""),"Nowadays, end-users are able to adapt Web applications when some of their requirements have not been taken into account by developers. One possible way to do adaptations is by using Web Augmentation techniques. Web Augmentation allows end-users to modify "&amp;"the Web sites’ user interfaces once these are loaded on the client-side, i.e., in the browser. They achieve these adaptations by developing and/or installing Web browser plugins (“augmenters”) that modify the user interface with new functionalities. This "&amp;"particular kind of software artifacts requires special attention regarding maintenance as–in most cases–they depend on third-party resources, such as HTML pages. When these resources are upgraded, unexpected results during the augmentation process may occ"&amp;"ur. Many communities have arisen around Web Augmentation, and today there are large repositories where developers share their augmenters; end-users may give feedback about existing augmentations and even ask for new ones. Maintenance is a key phase in the"&amp;" augmenters’ life-cycle, and currently, this task falls (as usual) on the developers. In this paper, we present a participatory approach for allowing end-users without programming skills to participate in the augmenters’ maintenance phase. In order to all"&amp;"ow this, we also provide support for the development phase to bootstrap a first version of the augmenter and to reduce the load on developers in both phases, development and maintenance. We present an analysis of more than eight thousand augmenters, which"&amp;" helped us devise the approach. Finally, we present an experiment with 48 participants to validate our approach. © 2021 Elsevier B.V.")</f>
        <v>Nowadays, end-users are able to adapt Web applications when some of their requirements have not been taken into account by developers. One possible way to do adaptations is by using Web Augmentation techniques. Web Augmentation allows end-users to modify the Web sites’ user interfaces once these are loaded on the client-side, i.e., in the browser. They achieve these adaptations by developing and/or installing Web browser plugins (“augmenters”) that modify the user interface with new functionalities. This particular kind of software artifacts requires special attention regarding maintenance as–in most cases–they depend on third-party resources, such as HTML pages. When these resources are upgraded, unexpected results during the augmentation process may occur. Many communities have arisen around Web Augmentation, and today there are large repositories where developers share their augmenters; end-users may give feedback about existing augmentations and even ask for new ones. Maintenance is a key phase in the augmenters’ life-cycle, and currently, this task falls (as usual) on the developers. In this paper, we present a participatory approach for allowing end-users without programming skills to participate in the augmenters’ maintenance phase. In order to allow this, we also provide support for the development phase to bootstrap a first version of the augmenter and to reduce the load on developers in both phases, development and maintenance. We present an analysis of more than eight thousand augmenters, which helped us devise the approach. Finally, we present an experiment with 48 participants to validate our approach. © 2021 Elsevier B.V.</v>
      </c>
      <c r="H613" s="8" t="str">
        <f>IFERROR(__xludf.DUMMYFUNCTION("""COMPUTED_VALUE"""),"End-user driven maintenance; End-user programming; Web adaptation; Web Augmentation")</f>
        <v>End-user driven maintenance; End-user programming; Web adaptation; Web Augmentation</v>
      </c>
      <c r="I613" s="9" t="b">
        <v>1</v>
      </c>
      <c r="J613" s="10" t="b">
        <v>0</v>
      </c>
      <c r="K613" s="9" t="b">
        <v>1</v>
      </c>
      <c r="L613" s="10" t="b">
        <v>0</v>
      </c>
      <c r="M613" s="10" t="b">
        <v>0</v>
      </c>
      <c r="N613" s="10" t="b">
        <v>0</v>
      </c>
      <c r="O613" s="11" t="b">
        <f t="shared" si="1"/>
        <v>0</v>
      </c>
      <c r="P613" s="12" t="b">
        <v>0</v>
      </c>
      <c r="Q613" s="13"/>
    </row>
    <row r="614">
      <c r="A614" s="5" t="b">
        <v>1</v>
      </c>
      <c r="B614" s="5" t="s">
        <v>657</v>
      </c>
      <c r="C614" s="6" t="str">
        <f>IFERROR(__xludf.DUMMYFUNCTION("""COMPUTED_VALUE"""),"10.1016/j.infsof.2021.106713")</f>
        <v>10.1016/j.infsof.2021.106713</v>
      </c>
      <c r="D614" s="7" t="str">
        <f>IFERROR(__xludf.DUMMYFUNCTION("""COMPUTED_VALUE"""),"Kadri S.; Aouag S.; Hedjazi D.")</f>
        <v>Kadri S.; Aouag S.; Hedjazi D.</v>
      </c>
      <c r="E614" s="7" t="str">
        <f>IFERROR(__xludf.DUMMYFUNCTION("""COMPUTED_VALUE"""),"MS-QuAAF: A generic evaluation framework for monitoring software architecture quality")</f>
        <v>MS-QuAAF: A generic evaluation framework for monitoring software architecture quality</v>
      </c>
      <c r="F614" s="7" t="str">
        <f>IFERROR(__xludf.DUMMYFUNCTION("""COMPUTED_VALUE"""),"IST")</f>
        <v>IST</v>
      </c>
      <c r="G614" s="7" t="str">
        <f>IFERROR(__xludf.DUMMYFUNCTION("""COMPUTED_VALUE"""),"Context: In a highly competitive software market, architecture quality is one of the key differentiators between software systems. Many quantitative and qualitative evaluation frameworks were proposed to measure architecture. However, qualitative evaluati"&amp;"on lacks statistical significance, whereas quantitative methods are designed for evaluating specific quality attributes, such as modifiability and performance. Besides, the assessment covers usually a single development stage, either at the design stage o"&amp;"r at the implementation stage. Objective: A lack of generic frameworks that can support the assessment of a broad set of attributes and ensure continuous evaluation by covering the main development stages is addressed. Accordingly, this paper presents MS-"&amp;"QuAAF, a quantitative assessment framework destined for evaluating software architecture through a set of generic metrics. Method: The quantitative evaluation consists of checking architecture facets mapped to quality attributes against the early specifie"&amp;"d meta-models. This process starts by analyzing rules infringements and calculating architecture defects after accomplishing the design stage. Second, the assigned responsibilities supposed to promote stakeholders’ quality attributes are assessed quantita"&amp;"tively at the end of the implementation stage. Third, the final evaluation report is generated. Results: We made specifically three main contributions. First, the proposed metrics within the framework are generic, which means that the framework has the ab"&amp;"ility to assess any inputted quality. Second, the framework proposes a set of evaluation services capable of assessing the architecture at two main development stages, which are design and implementation. Third, we proposed a quantitative assessment tree "&amp;"within the framework called the Responsibilities Satisfaction Tree (RST) that uses NFR responsibilities nodes to evaluate the implemented architectures. Conclusion: The conducted experiment showed that the framework is capable of evaluating quality attrib"&amp;"utes based on architecture specification using the proposed metrics. Furthermore, these metrics contributed to enhancing architecture quality during the development stages by notifying architects of the discovered anomalies. © 2021")</f>
        <v>Context: In a highly competitive software market, architecture quality is one of the key differentiators between software systems. Many quantitative and qualitative evaluation frameworks were proposed to measure architecture. However, qualitative evaluation lacks statistical significance, whereas quantitative methods are designed for evaluating specific quality attributes, such as modifiability and performance. Besides, the assessment covers usually a single development stage, either at the design stage or at the implementation stage. Objective: A lack of generic frameworks that can support the assessment of a broad set of attributes and ensure continuous evaluation by covering the main development stages is addressed. Accordingly, this paper presents MS-QuAAF, a quantitative assessment framework destined for evaluating software architecture through a set of generic metrics. Method: The quantitative evaluation consists of checking architecture facets mapped to quality attributes against the early specified meta-models. This process starts by analyzing rules infringements and calculating architecture defects after accomplishing the design stage. Second, the assigned responsibilities supposed to promote stakeholders’ quality attributes are assessed quantitatively at the end of the implementation stage. Third, the final evaluation report is generated. Results: We made specifically three main contributions. First, the proposed metrics within the framework are generic, which means that the framework has the ability to assess any inputted quality. Second, the framework proposes a set of evaluation services capable of assessing the architecture at two main development stages, which are design and implementation. Third, we proposed a quantitative assessment tree within the framework called the Responsibilities Satisfaction Tree (RST) that uses NFR responsibilities nodes to evaluate the implemented architectures. Conclusion: The conducted experiment showed that the framework is capable of evaluating quality attributes based on architecture specification using the proposed metrics. Furthermore, these metrics contributed to enhancing architecture quality during the development stages by notifying architects of the discovered anomalies. © 2021</v>
      </c>
      <c r="H614" s="8" t="str">
        <f>IFERROR(__xludf.DUMMYFUNCTION("""COMPUTED_VALUE"""),"Architecture Defects; Architecture Erosion; Continuous Evaluation; Non-Functional requirement; Quality evaluation; Quality Metrics; Software architecture")</f>
        <v>Architecture Defects; Architecture Erosion; Continuous Evaluation; Non-Functional requirement; Quality evaluation; Quality Metrics; Software architecture</v>
      </c>
      <c r="I614" s="10" t="b">
        <v>0</v>
      </c>
      <c r="J614" s="10" t="b">
        <v>0</v>
      </c>
      <c r="K614" s="10" t="b">
        <v>0</v>
      </c>
      <c r="L614" s="10" t="b">
        <v>0</v>
      </c>
      <c r="M614" s="10" t="b">
        <v>0</v>
      </c>
      <c r="N614" s="10" t="b">
        <v>0</v>
      </c>
      <c r="O614" s="11" t="b">
        <f t="shared" si="1"/>
        <v>0</v>
      </c>
      <c r="P614" s="16" t="b">
        <v>0</v>
      </c>
      <c r="Q614" s="7"/>
    </row>
    <row r="615">
      <c r="A615" s="5" t="b">
        <v>1</v>
      </c>
      <c r="B615" s="5" t="s">
        <v>658</v>
      </c>
      <c r="C615" s="6" t="str">
        <f>IFERROR(__xludf.DUMMYFUNCTION("""COMPUTED_VALUE"""),"10.1016/j.infsof.2015.10.006")</f>
        <v>10.1016/j.infsof.2015.10.006</v>
      </c>
      <c r="D615" s="7" t="str">
        <f>IFERROR(__xludf.DUMMYFUNCTION("""COMPUTED_VALUE"""),"Trkman M.; Mendling J.; Krisper M.")</f>
        <v>Trkman M.; Mendling J.; Krisper M.</v>
      </c>
      <c r="E615" s="7" t="str">
        <f>IFERROR(__xludf.DUMMYFUNCTION("""COMPUTED_VALUE"""),"Using business process models to better understand the dependencies among user stories")</f>
        <v>Using business process models to better understand the dependencies among user stories</v>
      </c>
      <c r="F615" s="7" t="str">
        <f>IFERROR(__xludf.DUMMYFUNCTION("""COMPUTED_VALUE"""),"IST")</f>
        <v>IST</v>
      </c>
      <c r="G615" s="7" t="str">
        <f>IFERROR(__xludf.DUMMYFUNCTION("""COMPUTED_VALUE"""),"Context Agile software development projects often manage user requirements with models that are called user stories. Every good user story has to be independent, negotiable, valuable, estimable, small, and testable. A proper understanding of a user story "&amp;"also requires an understanding of its dependencies. The lack of explicit representation of such dependencies presumably leads to missing information regarding the context of a user story. Objective We propose a method that facilitates better understanding"&amp;" of execution order and integration dependencies of user stories by making use of business process models. The method associates user stories with the corresponding business process model activity element. Method We adopted a situational method engineerin"&amp;"g approach to define our proposed method. In order to provide understanding of proposed method's constructs we used ontological concepts. Our method associates a user story to an activity element. In this way, the business process model can be used to inf"&amp;"er information about the execution order and integration dependencies of the user story. We defined three levels of association granularity: a user story can be more abstract, approximately equal to, or more detailed than its associated business process m"&amp;"odel activity element. In our experiment we evaluate each of these three levels. Results Our experiment uses a between-subject design. We applied comprehension, problem-solving and recall tasks to evaluate the hypotheses. The statistical results provide s"&amp;"upport for all of the hypotheses. Accordingly, there appears to be significantly greater understanding of the execution order and integration dependencies of user stories when associated business process models are available. Conclusions We addressed a pr"&amp;"oblem which arises from managing user stories in software development projects and focuses on the missing context of a user story. Our method contributes to the discipline of conceptual modeling in agile development. Our experiment provides empirical insi"&amp;"ght into requirement dependencies. © 2015 Elsevier B.V. All rights reserved.")</f>
        <v>Context Agile software development projects often manage user requirements with models that are called user stories. Every good user story has to be independent, negotiable, valuable, estimable, small, and testable. A proper understanding of a user story also requires an understanding of its dependencies. The lack of explicit representation of such dependencies presumably leads to missing information regarding the context of a user story. Objective We propose a method that facilitates better understanding of execution order and integration dependencies of user stories by making use of business process models. The method associates user stories with the corresponding business process model activity element. Method We adopted a situational method engineering approach to define our proposed method. In order to provide understanding of proposed method's constructs we used ontological concepts. Our method associates a user story to an activity element. In this way, the business process model can be used to infer information about the execution order and integration dependencies of the user story. We defined three levels of association granularity: a user story can be more abstract, approximately equal to, or more detailed than its associated business process model activity element. In our experiment we evaluate each of these three levels. Results Our experiment uses a between-subject design. We applied comprehension, problem-solving and recall tasks to evaluate the hypotheses. The statistical results provide support for all of the hypotheses. Accordingly, there appears to be significantly greater understanding of the execution order and integration dependencies of user stories when associated business process models are available. Conclusions We addressed a problem which arises from managing user stories in software development projects and focuses on the missing context of a user story. Our method contributes to the discipline of conceptual modeling in agile development. Our experiment provides empirical insight into requirement dependencies. © 2015 Elsevier B.V. All rights reserved.</v>
      </c>
      <c r="H615" s="8" t="str">
        <f>IFERROR(__xludf.DUMMYFUNCTION("""COMPUTED_VALUE"""),"Context; Execution order dependency; Experiment; Integration dependency; User story")</f>
        <v>Context; Execution order dependency; Experiment; Integration dependency; User story</v>
      </c>
      <c r="I615" s="9" t="b">
        <v>1</v>
      </c>
      <c r="J615" s="9" t="b">
        <v>1</v>
      </c>
      <c r="K615" s="9" t="b">
        <v>1</v>
      </c>
      <c r="L615" s="10" t="b">
        <v>0</v>
      </c>
      <c r="M615" s="10" t="b">
        <v>0</v>
      </c>
      <c r="N615" s="10" t="b">
        <v>0</v>
      </c>
      <c r="O615" s="11" t="b">
        <f t="shared" si="1"/>
        <v>1</v>
      </c>
      <c r="P615" s="16" t="b">
        <v>0</v>
      </c>
      <c r="Q615" s="7"/>
    </row>
    <row r="616">
      <c r="A616" s="5" t="b">
        <v>1</v>
      </c>
      <c r="B616" s="5" t="s">
        <v>659</v>
      </c>
      <c r="C616" s="6" t="str">
        <f>IFERROR(__xludf.DUMMYFUNCTION("""COMPUTED_VALUE"""),"10.1016/j.infsof.2017.07.012")</f>
        <v>10.1016/j.infsof.2017.07.012</v>
      </c>
      <c r="D616" s="7" t="str">
        <f>IFERROR(__xludf.DUMMYFUNCTION("""COMPUTED_VALUE"""),"Bonifacio A.; Moura A.; Simao A.")</f>
        <v>Bonifacio A.; Moura A.; Simao A.</v>
      </c>
      <c r="E616" s="7" t="str">
        <f>IFERROR(__xludf.DUMMYFUNCTION("""COMPUTED_VALUE"""),"Experimental comparison of approaches for checking completeness of test suites from finite state machines")</f>
        <v>Experimental comparison of approaches for checking completeness of test suites from finite state machines</v>
      </c>
      <c r="F616" s="7" t="str">
        <f>IFERROR(__xludf.DUMMYFUNCTION("""COMPUTED_VALUE"""),"IST")</f>
        <v>IST</v>
      </c>
      <c r="G616" s="7" t="str">
        <f>IFERROR(__xludf.DUMMYFUNCTION("""COMPUTED_VALUE"""),"Context Many approaches have been proposed for checking test suite completeness for Finite State Machines (FSMs). Some approaches provide sufficient conditions whereas others give necessary and sufficient conditions for test suite completeness. One method"&amp;", called the CONF method, is based on sufficient conditions, and relies on a search for confirmed sets when checking completeness. If a confirmed set cannot be found, then the outcome is inconclusive. Another method, the SIM method, is based on the notion"&amp;" of simulation relations, and relies on necessary and sufficient conditions when checking test suite completeness. The SIM method always returns conclusive verdicts about suite completeness. Objective In this work, we describe experimental results compari"&amp;"ng these two methods. We also investigate when both methods can be combined for checking completeness of test suites. Method We evaluate both strategies according to different parameters of the FSMs, such as the number of states and the number of transiti"&amp;"ons in the FSM models, the size of input and output alphabets of the FSM models, as well as the size of the test suites. We also report on the relative rates of conclusive and inconclusive verdicts when using both methods. Results We see that these method"&amp;"s are complementary, which allows for a combined strategy: the CONF method is the fastest in terms of processing time, while the SIM method is not as scalable in terms of the size of the specifications. Conclusion The experimental results indicated a subs"&amp;"tantial difference for the rate of positive verdicts obtained by the SIM method when compared with the number of positive answers returned by the CONF method. © 2017 Elsevier B.V.")</f>
        <v>Context Many approaches have been proposed for checking test suite completeness for Finite State Machines (FSMs). Some approaches provide sufficient conditions whereas others give necessary and sufficient conditions for test suite completeness. One method, called the CONF method, is based on sufficient conditions, and relies on a search for confirmed sets when checking completeness. If a confirmed set cannot be found, then the outcome is inconclusive. Another method, the SIM method, is based on the notion of simulation relations, and relies on necessary and sufficient conditions when checking test suite completeness. The SIM method always returns conclusive verdicts about suite completeness. Objective In this work, we describe experimental results comparing these two methods. We also investigate when both methods can be combined for checking completeness of test suites. Method We evaluate both strategies according to different parameters of the FSMs, such as the number of states and the number of transitions in the FSM models, the size of input and output alphabets of the FSM models, as well as the size of the test suites. We also report on the relative rates of conclusive and inconclusive verdicts when using both methods. Results We see that these methods are complementary, which allows for a combined strategy: the CONF method is the fastest in terms of processing time, while the SIM method is not as scalable in terms of the size of the specifications. Conclusion The experimental results indicated a substantial difference for the rate of positive verdicts obtained by the SIM method when compared with the number of positive answers returned by the CONF method. © 2017 Elsevier B.V.</v>
      </c>
      <c r="H616" s="8" t="str">
        <f>IFERROR(__xludf.DUMMYFUNCTION("""COMPUTED_VALUE"""),"Completeness conditions; Confirmed sets; Experiments; Simulation relations; Test suite completeness")</f>
        <v>Completeness conditions; Confirmed sets; Experiments; Simulation relations; Test suite completeness</v>
      </c>
      <c r="I616" s="10" t="b">
        <v>0</v>
      </c>
      <c r="J616" s="10" t="b">
        <v>0</v>
      </c>
      <c r="K616" s="10" t="b">
        <v>0</v>
      </c>
      <c r="L616" s="10" t="b">
        <v>0</v>
      </c>
      <c r="M616" s="10" t="b">
        <v>0</v>
      </c>
      <c r="N616" s="10" t="b">
        <v>0</v>
      </c>
      <c r="O616" s="11" t="b">
        <f t="shared" si="1"/>
        <v>0</v>
      </c>
      <c r="P616" s="16" t="b">
        <v>0</v>
      </c>
      <c r="Q616" s="7"/>
    </row>
    <row r="617">
      <c r="A617" s="5" t="b">
        <v>1</v>
      </c>
      <c r="B617" s="5" t="s">
        <v>660</v>
      </c>
      <c r="C617" s="6" t="str">
        <f>IFERROR(__xludf.DUMMYFUNCTION("""COMPUTED_VALUE"""),"10.1016/j.infsof.2020.106465")</f>
        <v>10.1016/j.infsof.2020.106465</v>
      </c>
      <c r="D617" s="7" t="str">
        <f>IFERROR(__xludf.DUMMYFUNCTION("""COMPUTED_VALUE"""),"Melegati J.; Guerra E.; Wang X.")</f>
        <v>Melegati J.; Guerra E.; Wang X.</v>
      </c>
      <c r="E617" s="7" t="str">
        <f>IFERROR(__xludf.DUMMYFUNCTION("""COMPUTED_VALUE"""),"Understanding Hypotheses Engineering in Software Startups through a Gray Literature Review")</f>
        <v>Understanding Hypotheses Engineering in Software Startups through a Gray Literature Review</v>
      </c>
      <c r="F617" s="7" t="str">
        <f>IFERROR(__xludf.DUMMYFUNCTION("""COMPUTED_VALUE"""),"IST")</f>
        <v>IST</v>
      </c>
      <c r="G617" s="7" t="str">
        <f>IFERROR(__xludf.DUMMYFUNCTION("""COMPUTED_VALUE"""),"Context: The higher availability of software usage data and the influence of the Lean Startup led to the rise of experimentation in software engineering, a new approach for development based on experiments to understand the user needs. In the models propo"&amp;"sed to guide this approach, the first step is generally to identify, prioritize, and specify the hypotheses that will be tested through experimentation. However, although practitioners have proposed several techniques to handle hypotheses, the scientific "&amp;"literature is still scarce. Objective: The goal of this study is to understand what activities, as proposed in industry, are entailed to handle hypotheses, facilitating the comparison, creation, and evaluation of relevant techniques. Methods: We performed"&amp;" a gray literature review (GLR) on the practices proposed by practitioners to handle hypotheses in the context of software startups. We analyzed the identified documents using thematic synthesis. Results: The analysis revealed that techniques proposed for"&amp;" software startups in practice compress five different activities: elicitation, prioritization, specification, analysis, and management. It also showed that practitioners often classify hypotheses in types and which qualities they aim for these statements"&amp;". Conclusion: Our results represent the first description for hypotheses engineering grounded in practice data. This mapping of the state-of-practice indicates how research could go forward in investigating hypotheses for experimentation in the context of"&amp;" software startups. For practitioners, they represent a catalog of available practices to be used in this context. © 2020 Elsevier B.V.")</f>
        <v>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v>
      </c>
      <c r="H617" s="8" t="str">
        <f>IFERROR(__xludf.DUMMYFUNCTION("""COMPUTED_VALUE"""),"gray literature review; hypotheses engineering; software startups")</f>
        <v>gray literature review; hypotheses engineering; software startups</v>
      </c>
      <c r="I617" s="10" t="b">
        <v>0</v>
      </c>
      <c r="J617" s="10" t="b">
        <v>0</v>
      </c>
      <c r="K617" s="10" t="b">
        <v>0</v>
      </c>
      <c r="L617" s="10" t="b">
        <v>0</v>
      </c>
      <c r="M617" s="10" t="b">
        <v>0</v>
      </c>
      <c r="N617" s="10" t="b">
        <v>0</v>
      </c>
      <c r="O617" s="11" t="b">
        <f t="shared" si="1"/>
        <v>0</v>
      </c>
      <c r="P617" s="16" t="b">
        <v>0</v>
      </c>
      <c r="Q617" s="7"/>
    </row>
    <row r="618">
      <c r="A618" s="5" t="b">
        <v>1</v>
      </c>
      <c r="B618" s="5" t="s">
        <v>661</v>
      </c>
      <c r="C618" s="6" t="str">
        <f>IFERROR(__xludf.DUMMYFUNCTION("""COMPUTED_VALUE"""),"10.1016/j.infsof.2017.07.015")</f>
        <v>10.1016/j.infsof.2017.07.015</v>
      </c>
      <c r="D618" s="7" t="str">
        <f>IFERROR(__xludf.DUMMYFUNCTION("""COMPUTED_VALUE"""),"Qi F.; Jing X.-Y.; Zhu X.; Xie X.; Xu B.; Ying S.")</f>
        <v>Qi F.; Jing X.-Y.; Zhu X.; Xie X.; Xu B.; Ying S.</v>
      </c>
      <c r="E618" s="7" t="str">
        <f>IFERROR(__xludf.DUMMYFUNCTION("""COMPUTED_VALUE"""),"Software effort estimation based on open source projects: Case study of Github")</f>
        <v>Software effort estimation based on open source projects: Case study of Github</v>
      </c>
      <c r="F618" s="7" t="str">
        <f>IFERROR(__xludf.DUMMYFUNCTION("""COMPUTED_VALUE"""),"IST")</f>
        <v>IST</v>
      </c>
      <c r="G618" s="7" t="str">
        <f>IFERROR(__xludf.DUMMYFUNCTION("""COMPUTED_VALUE"""),"Context Managers usually want to pre-estimate the effort of a new project for reasonably dividing their limited resources. In reality, it is common practice to train a prediction model based on effort datasets to predict the effort required by a project. "&amp;"Sufficient data is the basis for training a good estimator, yet most of the data owners are unwilling to share their closed source project (CSP) effort data due to the privacy concerns, which means that we can only obtain a small number of effort data. Ef"&amp;"fort estimator built on the limited data usually cannot satisfy the practical requirement. Objective We aim to provide a method which can be used to collect sufficient data for solving the problem of lack of training data when building an effort estimatio"&amp;"n model. Method We propose to mine GitHub to collect sufficient and diverse real-life effort data for effort estimation. Specifically, we first demonstrate the feasibility of our cost metrics (including functional point analysis and personnel factors). In"&amp;" particular, we design a quantitative method for evaluating the personnel metrics based on GitHub data. Then we design a samples incremental approach based on AdaBoost and Classification And Regression Tree (ABCART) to make the collected dataset owns dyna"&amp;"mic expansion capability. Results Experimental results on the collected dataset show that: (1) the personnel factor is helpful for improving the performance of the effort estimation. (2) the proposed ABCART algorithm can increase the samples of the collec"&amp;"ted dataset online. (3) the estimators built on the collected data can achieve comparable performance with those of the estimators which built on existing effort datasets. Conclusions Effort estimation based on Open Source Project (OSP) is an effective wa"&amp;"y for getting the effort required by a new project, especially for the case of lacking training data. © 2017")</f>
        <v>Context Managers usually want to pre-estimate the effort of a new project for reasonably dividing their limited resources. In reality, it is common practice to train a prediction model based on effort datasets to predict the effort required by a project. Sufficient data is the basis for training a good estimator, yet most of the data owners are unwilling to share their closed source project (CSP) effort data due to the privacy concerns, which means that we can only obtain a small number of effort data. Effort estimator built on the limited data usually cannot satisfy the practical requirement. Objective We aim to provide a method which can be used to collect sufficient data for solving the problem of lack of training data when building an effort estimation model. Method We propose to mine GitHub to collect sufficient and diverse real-life effort data for effort estimation. Specifically, we first demonstrate the feasibility of our cost metrics (including functional point analysis and personnel factors). In particular, we design a quantitative method for evaluating the personnel metrics based on GitHub data. Then we design a samples incremental approach based on AdaBoost and Classification And Regression Tree (ABCART) to make the collected dataset owns dynamic expansion capability. Results Experimental results on the collected dataset show that: (1) the personnel factor is helpful for improving the performance of the effort estimation. (2) the proposed ABCART algorithm can increase the samples of the collected dataset online. (3) the estimators built on the collected data can achieve comparable performance with those of the estimators which built on existing effort datasets. Conclusions Effort estimation based on Open Source Project (OSP) is an effective way for getting the effort required by a new project, especially for the case of lacking training data. © 2017</v>
      </c>
      <c r="H618" s="8" t="str">
        <f>IFERROR(__xludf.DUMMYFUNCTION("""COMPUTED_VALUE"""),"AdaBoost; Automated function point; Effort data collection; Open source project; Software effort estimation")</f>
        <v>AdaBoost; Automated function point; Effort data collection; Open source project; Software effort estimation</v>
      </c>
      <c r="I618" s="10" t="b">
        <v>0</v>
      </c>
      <c r="J618" s="10" t="b">
        <v>0</v>
      </c>
      <c r="K618" s="10" t="b">
        <v>0</v>
      </c>
      <c r="L618" s="10" t="b">
        <v>0</v>
      </c>
      <c r="M618" s="10" t="b">
        <v>0</v>
      </c>
      <c r="N618" s="10" t="b">
        <v>0</v>
      </c>
      <c r="O618" s="11" t="b">
        <f t="shared" si="1"/>
        <v>0</v>
      </c>
      <c r="P618" s="16" t="b">
        <v>0</v>
      </c>
      <c r="Q618" s="7"/>
    </row>
    <row r="619">
      <c r="A619" s="5" t="b">
        <v>1</v>
      </c>
      <c r="B619" s="5" t="s">
        <v>662</v>
      </c>
      <c r="C619" s="6" t="str">
        <f>IFERROR(__xludf.DUMMYFUNCTION("""COMPUTED_VALUE"""),"10.1016/j.infsof.2015.03.008")</f>
        <v>10.1016/j.infsof.2015.03.008</v>
      </c>
      <c r="D619" s="7" t="str">
        <f>IFERROR(__xludf.DUMMYFUNCTION("""COMPUTED_VALUE"""),"Veerapen N.; Ochoa G.; Harman M.; Burke E.K.")</f>
        <v>Veerapen N.; Ochoa G.; Harman M.; Burke E.K.</v>
      </c>
      <c r="E619" s="7" t="str">
        <f>IFERROR(__xludf.DUMMYFUNCTION("""COMPUTED_VALUE"""),"An Integer Linear Programming approach to the single and bi-objective Next Release Problem")</f>
        <v>An Integer Linear Programming approach to the single and bi-objective Next Release Problem</v>
      </c>
      <c r="F619" s="7" t="str">
        <f>IFERROR(__xludf.DUMMYFUNCTION("""COMPUTED_VALUE"""),"IST")</f>
        <v>IST</v>
      </c>
      <c r="G619" s="7" t="str">
        <f>IFERROR(__xludf.DUMMYFUNCTION("""COMPUTED_VALUE"""),"Context The Next Release Problem involves determining the set of requirements to implement in the next release of a software project. When the problem was first formulated in 2001, Integer Linear Programming, an exact method, was found to be impractical b"&amp;"ecause of large execution times. Since then, the problem has mainly been addressed by employing metaheuristic techniques. Objective In this paper, we investigate if the single-objective and bi-objective Next Release Problem can be solved exactly and how t"&amp;"o better approximate the results when exact resolution is costly. Methods We revisit Integer Linear Programming for the single-objective version of the problem. In addition, we integrate it within the Epsilon-constraint method to address the bi-objective "&amp;"problem. We also investigate how the Pareto front of the bi-objective problem can be approximated through an anytime deterministic Integer Linear Programming-based algorithm when results are required within strict runtime constraints. Comparisons are carr"&amp;"ied out against NSGA-II. Experiments are performed on a combination of synthetic and real-world datasets. Findings We show that a modern Integer Linear Programming solver is now a viable method for this problem. Large single objective instances and small "&amp;"bi-objective instances can be solved exactly very quickly. On large bi-objective instances, execution times can be significant when calculating the complete Pareto front. However, good approximations can be found effectively. Conclusion This study suggest"&amp;"s that (1) approximation algorithms can be discarded in favor of the exact method for the single-objective instances and small bi-objective instances, (2) the Integer Linear Programming-based approximate algorithm outperforms the NSGA-II genetic approach "&amp;"on large bi-objective instances, and (3) the run times for both methods are low enough to be used in real-world situations. © 2015 The Authors.")</f>
        <v>Context The Next Release Problem involves determining the set of requirements to implement in the next release of a software project. When the problem was first formulated in 2001, Integer Linear Programming, an exact method, was found to be impractical because of large execution times. Since then, the problem has mainly been addressed by employing metaheuristic techniques. Objective In this paper, we investigate if the single-objective and bi-objective Next Release Problem can be solved exactly and how to better approximate the results when exact resolution is costly. Methods We revisit Integer Linear Programming for the single-objective version of the problem. In addition, we integrate it within the Epsilon-constraint method to address the bi-objective problem. We also investigate how the Pareto front of the bi-objective problem can be approximated through an anytime deterministic Integer Linear Programming-based algorithm when results are required within strict runtime constraints. Comparisons are carried out against NSGA-II. Experiments are performed on a combination of synthetic and real-world datasets. Findings We show that a modern Integer Linear Programming solver is now a viable method for this problem. Large single objective instances and small bi-objective instances can be solved exactly very quickly. On large bi-objective instances, execution times can be significant when calculating the complete Pareto front. However, good approximations can be found effectively. Conclusion This study suggests that (1) approximation algorithms can be discarded in favor of the exact method for the single-objective instances and small bi-objective instances, (2) the Integer Linear Programming-based approximate algorithm outperforms the NSGA-II genetic approach on large bi-objective instances, and (3) the run times for both methods are low enough to be used in real-world situations. © 2015 The Authors.</v>
      </c>
      <c r="H619" s="8" t="str">
        <f>IFERROR(__xludf.DUMMYFUNCTION("""COMPUTED_VALUE"""),"Integer Linear Programming; Multi-objective optimization; Next Release Problem; Requirements optimization; Search based software engineering")</f>
        <v>Integer Linear Programming; Multi-objective optimization; Next Release Problem; Requirements optimization; Search based software engineering</v>
      </c>
      <c r="I619" s="10" t="b">
        <v>0</v>
      </c>
      <c r="J619" s="10" t="b">
        <v>0</v>
      </c>
      <c r="K619" s="10" t="b">
        <v>0</v>
      </c>
      <c r="L619" s="10" t="b">
        <v>0</v>
      </c>
      <c r="M619" s="10" t="b">
        <v>0</v>
      </c>
      <c r="N619" s="10" t="b">
        <v>0</v>
      </c>
      <c r="O619" s="11" t="b">
        <f t="shared" si="1"/>
        <v>0</v>
      </c>
      <c r="P619" s="16" t="b">
        <v>0</v>
      </c>
      <c r="Q619" s="7"/>
    </row>
    <row r="620">
      <c r="A620" s="5" t="b">
        <v>1</v>
      </c>
      <c r="B620" s="5" t="s">
        <v>663</v>
      </c>
      <c r="C620" s="6" t="str">
        <f>IFERROR(__xludf.DUMMYFUNCTION("""COMPUTED_VALUE"""),"10.1016/j.infsof.2017.09.006")</f>
        <v>10.1016/j.infsof.2017.09.006</v>
      </c>
      <c r="D620" s="7" t="str">
        <f>IFERROR(__xludf.DUMMYFUNCTION("""COMPUTED_VALUE"""),"Arcelli D.; Cortellessa V.; Di Pompeo D.")</f>
        <v>Arcelli D.; Cortellessa V.; Di Pompeo D.</v>
      </c>
      <c r="E620" s="7" t="str">
        <f>IFERROR(__xludf.DUMMYFUNCTION("""COMPUTED_VALUE"""),"Performance-driven software model refactoring")</f>
        <v>Performance-driven software model refactoring</v>
      </c>
      <c r="F620" s="7" t="str">
        <f>IFERROR(__xludf.DUMMYFUNCTION("""COMPUTED_VALUE"""),"IST")</f>
        <v>IST</v>
      </c>
      <c r="G620" s="7" t="str">
        <f>IFERROR(__xludf.DUMMYFUNCTION("""COMPUTED_VALUE"""),"Context: Software refactoring is a common practice aimed at addressing requirements or fixing bugs during the software development. While refactoring related to functional requirements has been widely studied in the last few years, non-functional-driven r"&amp;"efactoring is still critical, mostly because non-functional characteristics of software are hard to assess and appropriate refactoring actions can be difficult to identify. In the context of performance, which is the focus of this paper, antipatterns repr"&amp;"esent effective instruments to tackle this issue, because they document common mistakes leading to performance problems as well as their solutions. Objective: In order to effectively reuse the knowledge beyond performance antipatterns, automation is requi"&amp;"red to detect and remove them. In this paper we introduce a framework that enables, in an unique tool context, the refactoring of software models driven by performance antipattern detection and removal. Method: We have implemented, within the EPSILON plat"&amp;"form, detection rules and refactoring actions on UML models for a set of well-known performance antipatterns. By exploiting the EPSILON languages to check properties and apply refactoring on models, we enable three types of refactoring sessions. Results: "&amp;"We experiment our framework on a Botanical Garden Management System to show, on one side, that antipatterns can effectively drive software refactoring towards models that satisfy performance requirements and, on the other side, that the automation introdu"&amp;"ced by EPSILON-based sessions enables to inspect multiple paths and to propose a variety of solutions. Conclusion: This work demonstrates that automation in performance-driven software model refactoring can be beneficial, and that performance antipatterns"&amp;" can be powerful instruments in the hands of software engineers for detecting (and solving) performance problems usually hidden to traditional bottleneck analysis. This work also opens the road to the integration of well-known techniques for software refa"&amp;"ctoring driven by functional requirements with novel techniques addressing non-functional requirements like performance. © 2017 Elsevier B.V.")</f>
        <v>Context: Software refactoring is a common practice aimed at addressing requirements or fixing bugs during the software development. While refactoring related to functional requirements has been widely studied in the last few years, non-functional-driven refactoring is still critical, mostly because non-functional characteristics of software are hard to assess and appropriate refactoring actions can be difficult to identify. In the context of performance, which is the focus of this paper, antipatterns represent effective instruments to tackle this issue, because they document common mistakes leading to performance problems as well as their solutions. Objective: In order to effectively reuse the knowledge beyond performance antipatterns, automation is required to detect and remove them. In this paper we introduce a framework that enables, in an unique tool context, the refactoring of software models driven by performance antipattern detection and removal. Method: We have implemented, within the EPSILON platform, detection rules and refactoring actions on UML models for a set of well-known performance antipatterns. By exploiting the EPSILON languages to check properties and apply refactoring on models, we enable three types of refactoring sessions. Results: We experiment our framework on a Botanical Garden Management System to show, on one side, that antipatterns can effectively drive software refactoring towards models that satisfy performance requirements and, on the other side, that the automation introduced by EPSILON-based sessions enables to inspect multiple paths and to propose a variety of solutions. Conclusion: This work demonstrates that automation in performance-driven software model refactoring can be beneficial, and that performance antipatterns can be powerful instruments in the hands of software engineers for detecting (and solving) performance problems usually hidden to traditional bottleneck analysis. This work also opens the road to the integration of well-known techniques for software refactoring driven by functional requirements with novel techniques addressing non-functional requirements like performance. © 2017 Elsevier B.V.</v>
      </c>
      <c r="H620" s="8" t="str">
        <f>IFERROR(__xludf.DUMMYFUNCTION("""COMPUTED_VALUE"""),"Model-driven engineering; Performance antipatterns; Performance engineering; Software refactoring; UML")</f>
        <v>Model-driven engineering; Performance antipatterns; Performance engineering; Software refactoring; UML</v>
      </c>
      <c r="I620" s="10" t="b">
        <v>0</v>
      </c>
      <c r="J620" s="10" t="b">
        <v>0</v>
      </c>
      <c r="K620" s="10" t="b">
        <v>0</v>
      </c>
      <c r="L620" s="10" t="b">
        <v>0</v>
      </c>
      <c r="M620" s="10" t="b">
        <v>0</v>
      </c>
      <c r="N620" s="10" t="b">
        <v>0</v>
      </c>
      <c r="O620" s="11" t="b">
        <f t="shared" si="1"/>
        <v>0</v>
      </c>
      <c r="P620" s="16" t="b">
        <v>0</v>
      </c>
      <c r="Q620" s="7"/>
    </row>
    <row r="621">
      <c r="A621" s="5" t="b">
        <v>1</v>
      </c>
      <c r="B621" s="5" t="s">
        <v>664</v>
      </c>
      <c r="C621" s="6" t="str">
        <f>IFERROR(__xludf.DUMMYFUNCTION("""COMPUTED_VALUE"""),"10.1016/j.infsof.2015.05.002")</f>
        <v>10.1016/j.infsof.2015.05.002</v>
      </c>
      <c r="D621" s="7" t="str">
        <f>IFERROR(__xludf.DUMMYFUNCTION("""COMPUTED_VALUE"""),"Saleh F.; El-Attar M.")</f>
        <v>Saleh F.; El-Attar M.</v>
      </c>
      <c r="E621" s="7" t="str">
        <f>IFERROR(__xludf.DUMMYFUNCTION("""COMPUTED_VALUE"""),"A scientific evaluation of the misuse case diagrams visual syntax")</f>
        <v>A scientific evaluation of the misuse case diagrams visual syntax</v>
      </c>
      <c r="F621" s="7" t="str">
        <f>IFERROR(__xludf.DUMMYFUNCTION("""COMPUTED_VALUE"""),"IST")</f>
        <v>IST</v>
      </c>
      <c r="G621" s="7" t="str">
        <f>IFERROR(__xludf.DUMMYFUNCTION("""COMPUTED_VALUE"""),"Abstract Context Misuse case modeling is a well-known technique in the domain of capturing and specifying functional security requirements. Misuse case modeling provides a mechanism for security analysts to consider and account for security requirements i"&amp;"n the early stages of a development process instead of relying on generic defensive mechanisms that are augmented to software systems towards the latter stages of development. Objective Many research contributions in the area of misuse case modeling have "&amp;"been devoted to extending the notation to increase its coverage of additional security related semantics. However, there lacks research that evaluates the perception of misuse case models by its readers. A misread or misinterpreted misuse case model can h"&amp;"ave dire consequences downstream leading to the development of an insecure system. Method This paper presents an assessment of the design of the original misuse case modeling notation based on the Physics of Notations framework. A number of improvements t"&amp;"o the notation were suggested. A survey and a controlled experiment were carried out to compare the cognitive effectiveness of the new notation in comparison to the original notation. Results The survey had 55 participants for have mostly indicated that t"&amp;"he new notation is more semantically transparent than the original notation. The results of the experiment show that subjects reading diagrams developed using the new notation performed their tasks an average 6 min quicker, while in general the subjects p"&amp;"erformed their tasks in approximately 14.5 min. The experimental tasks only required subjects reading diagrams and not creating them. Conclusion The main finding of this paper is that the use of colors and icons has improved the readability of misuse case"&amp;" diagrams. Software engineering notations are usually black and white. It is expected that the readability of other software notations will improve if they utilize colors and icons. © 2015 Elsevier B.V.")</f>
        <v>Abstract Context Misuse case modeling is a well-known technique in the domain of capturing and specifying functional security requirements. Misuse case modeling provides a mechanism for security analysts to consider and account for security requirements in the early stages of a development process instead of relying on generic defensive mechanisms that are augmented to software systems towards the latter stages of development. Objective Many research contributions in the area of misuse case modeling have been devoted to extending the notation to increase its coverage of additional security related semantics. However, there lacks research that evaluates the perception of misuse case models by its readers. A misread or misinterpreted misuse case model can have dire consequences downstream leading to the development of an insecure system. Method This paper presents an assessment of the design of the original misuse case modeling notation based on the Physics of Notations framework. A number of improvements to the notation were suggested. A survey and a controlled experiment were carried out to compare the cognitive effectiveness of the new notation in comparison to the original notation. Results The survey had 55 participants for have mostly indicated that the new notation is more semantically transparent than the original notation. The results of the experiment show that subjects reading diagrams developed using the new notation performed their tasks an average 6 min quicker, while in general the subjects performed their tasks in approximately 14.5 min. The experimental tasks only required subjects reading diagrams and not creating them. Conclusion The main finding of this paper is that the use of colors and icons has improved the readability of misuse case diagrams. Software engineering notations are usually black and white. It is expected that the readability of other software notations will improve if they utilize colors and icons. © 2015 Elsevier B.V.</v>
      </c>
      <c r="H621" s="8" t="str">
        <f>IFERROR(__xludf.DUMMYFUNCTION("""COMPUTED_VALUE"""),"Cognitive evaluation; Misuse cases diagrams; Visual syntax")</f>
        <v>Cognitive evaluation; Misuse cases diagrams; Visual syntax</v>
      </c>
      <c r="I621" s="9" t="b">
        <v>1</v>
      </c>
      <c r="J621" s="9" t="b">
        <v>1</v>
      </c>
      <c r="K621" s="9" t="b">
        <v>1</v>
      </c>
      <c r="L621" s="10" t="b">
        <v>0</v>
      </c>
      <c r="M621" s="10" t="b">
        <v>0</v>
      </c>
      <c r="N621" s="10" t="b">
        <v>0</v>
      </c>
      <c r="O621" s="11" t="b">
        <f t="shared" si="1"/>
        <v>1</v>
      </c>
      <c r="P621" s="16" t="b">
        <v>0</v>
      </c>
      <c r="Q621" s="7"/>
    </row>
    <row r="622">
      <c r="A622" s="5" t="b">
        <v>1</v>
      </c>
      <c r="B622" s="5" t="s">
        <v>665</v>
      </c>
      <c r="C622" s="6" t="str">
        <f>IFERROR(__xludf.DUMMYFUNCTION("""COMPUTED_VALUE"""),"10.1016/j.infsof.2022.106992")</f>
        <v>10.1016/j.infsof.2022.106992</v>
      </c>
      <c r="D622" s="7" t="str">
        <f>IFERROR(__xludf.DUMMYFUNCTION("""COMPUTED_VALUE"""),"Li Z.; Shang C.; Wu J.; Li Y.")</f>
        <v>Li Z.; Shang C.; Wu J.; Li Y.</v>
      </c>
      <c r="E622" s="7" t="str">
        <f>IFERROR(__xludf.DUMMYFUNCTION("""COMPUTED_VALUE"""),"Microservice extraction based on knowledge graph from monolithic applications")</f>
        <v>Microservice extraction based on knowledge graph from monolithic applications</v>
      </c>
      <c r="F622" s="7" t="str">
        <f>IFERROR(__xludf.DUMMYFUNCTION("""COMPUTED_VALUE"""),"IST")</f>
        <v>IST</v>
      </c>
      <c r="G622" s="7" t="str">
        <f>IFERROR(__xludf.DUMMYFUNCTION("""COMPUTED_VALUE"""),"Context: Re-architecting monolithic systems with microservice architecture is a common trend. However, determining the ""optimal"" size of individual services during microservice extraction has been a challenge in software engineering. Common limitations "&amp;"of the literature include not being reasonable enough to be put into practical application; relying too much on human experience; neglection of the impact of hardware environment on the performance. Objective: To address these problems, this paper propose"&amp;"s a novel method based on knowledge-graph to support the extraction of microservices during the initial phases of re-architecting existing applications. Method: According to the microservice extraction method based on the AKF principle which is a widely p"&amp;"racticed microservice design principle in the industry, four kinds of entities and four types of entity-entity relationships are designed and automatically extracted from specification and design artifacts of the monolithic application to build the knowle"&amp;"dge graph. A constrained Louvain algorithm is proposed to identify microservice candidates. Results: Our approach is tested based on two open-source projects with the other three typical methods: the domain-driven design-based method, the similarity calcu"&amp;"lation-based method, and the graph clustering-based method. Conducted experiments show that our method performs well concerning all the evaluation metrics. © 2022")</f>
        <v>Context: Re-architecting monolithic systems with microservice architecture is a common trend. However, determining the "optimal" size of individual services during microservice extraction has been a challenge in software engineering. Common limitations of the literature include not being reasonable enough to be put into practical application; relying too much on human experience; neglection of the impact of hardware environment on the performance. Objective: To address these problems, this paper proposes a novel method based on knowledge-graph to support the extraction of microservices during the initial phases of re-architecting existing applications. Method: According to the microservice extraction method based on the AKF principle which is a widely practiced microservice design principle in the industry, four kinds of entities and four types of entity-entity relationships are designed and automatically extracted from specification and design artifacts of the monolithic application to build the knowledge graph. A constrained Louvain algorithm is proposed to identify microservice candidates. Results: Our approach is tested based on two open-source projects with the other three typical methods: the domain-driven design-based method, the similarity calculation-based method, and the graph clustering-based method. Conducted experiments show that our method performs well concerning all the evaluation metrics. © 2022</v>
      </c>
      <c r="H622" s="8" t="str">
        <f>IFERROR(__xludf.DUMMYFUNCTION("""COMPUTED_VALUE"""),"Constrained Louvain algorithm; Knowledge graph; Microservice extraction; Monolithic architecture")</f>
        <v>Constrained Louvain algorithm; Knowledge graph; Microservice extraction; Monolithic architecture</v>
      </c>
      <c r="I622" s="10" t="b">
        <v>0</v>
      </c>
      <c r="J622" s="10" t="b">
        <v>0</v>
      </c>
      <c r="K622" s="10" t="b">
        <v>0</v>
      </c>
      <c r="L622" s="10" t="b">
        <v>0</v>
      </c>
      <c r="M622" s="10" t="b">
        <v>0</v>
      </c>
      <c r="N622" s="10" t="b">
        <v>0</v>
      </c>
      <c r="O622" s="11" t="b">
        <f t="shared" si="1"/>
        <v>0</v>
      </c>
      <c r="P622" s="16" t="b">
        <v>0</v>
      </c>
      <c r="Q622" s="7"/>
    </row>
    <row r="623">
      <c r="A623" s="5" t="b">
        <v>1</v>
      </c>
      <c r="B623" s="5" t="s">
        <v>666</v>
      </c>
      <c r="C623" s="6" t="str">
        <f>IFERROR(__xludf.DUMMYFUNCTION("""COMPUTED_VALUE"""),"10.1016/j.infsof.2020.106484")</f>
        <v>10.1016/j.infsof.2020.106484</v>
      </c>
      <c r="D623" s="7" t="str">
        <f>IFERROR(__xludf.DUMMYFUNCTION("""COMPUTED_VALUE"""),"Dalpiaz F.; Gieske P.; Sturm A.")</f>
        <v>Dalpiaz F.; Gieske P.; Sturm A.</v>
      </c>
      <c r="E623" s="7" t="str">
        <f>IFERROR(__xludf.DUMMYFUNCTION("""COMPUTED_VALUE"""),"On deriving conceptual models from user requirements: An empirical study")</f>
        <v>On deriving conceptual models from user requirements: An empirical study</v>
      </c>
      <c r="F623" s="7" t="str">
        <f>IFERROR(__xludf.DUMMYFUNCTION("""COMPUTED_VALUE"""),"IST")</f>
        <v>IST</v>
      </c>
      <c r="G623" s="7" t="str">
        <f>IFERROR(__xludf.DUMMYFUNCTION("""COMPUTED_VALUE"""),"Context: There are numerous textual notations and techniques that can be used in requirements engineering. Currently, practitioners make a choice without having scientific evidence regarding their suitability for given tasks. This uninformed choice may af"&amp;"fect task performance. Objective: In this research, we investigate the adequacy of two well-known notations: use cases and user stories, as a starting point for the manual derivation of a structural conceptual model that represents the domain of the syste"&amp;"m. We also examine other factors that may affect the performance of this task. Methods: This work relies on two experiments. The first is a controlled classroom experiment. The second one is a quasi-experiment, conducted over multiple weeks, that aims at "&amp;"evaluating the quality of the derived conceptual model in light of the notation used, the adopted derivation process, and the complexity of the system to be. We measure quality in terms of validity and completeness of the conceptual model. Results: The re"&amp;"sults of the controlled experiment indicate that, for deriving conceptual models, user stories fit better than use cases. Yet, the second experiment indicates that the quality of the derived conceptual models is affected mainly by the derivation process a"&amp;"nd by the complexity of the case rather than the notation used. Contribution: We present evidence that the task of deriving a conceptual model is affected significantly by additional factors other than requirements notations. Furthermore, we propose impli"&amp;"cations and hypotheses that pave the way for further studies that compare alternative notations for the same task as well as for other tasks. Practitioners may use our findings to analyze the factors that affect the quality of the conceptual model when ch"&amp;"oosing a requirements notation and an elicitation technique that best fit their needs. © 2020 The Authors")</f>
        <v>Context: There are numerous textual notations and techniques that can be used in requirements engineering. Currently, practitioners make a choice without having scientific evidence regarding their suitability for given tasks. This uninformed choice may affect task performance. Objective: In this research, we investigate the adequacy of two well-known notations: use cases and user stories, as a starting point for the manual derivation of a structural conceptual model that represents the domain of the system. We also examine other factors that may affect the performance of this task. Methods: This work relies on two experiments. The first is a controlled classroom experiment. The second one is a quasi-experiment, conducted over multiple weeks, that aims at evaluating the quality of the derived conceptual model in light of the notation used, the adopted derivation process, and the complexity of the system to be. We measure quality in terms of validity and completeness of the conceptual model. Results: The results of the controlled experiment indicate that, for deriving conceptual models, user stories fit better than use cases. Yet, the second experiment indicates that the quality of the derived conceptual models is affected mainly by the derivation process and by the complexity of the case rather than the notation used. Contribution: We present evidence that the task of deriving a conceptual model is affected significantly by additional factors other than requirements notations. Furthermore, we propose implications and hypotheses that pave the way for further studies that compare alternative notations for the same task as well as for other tasks. Practitioners may use our findings to analyze the factors that affect the quality of the conceptual model when choosing a requirements notation and an elicitation technique that best fit their needs. © 2020 The Authors</v>
      </c>
      <c r="H623" s="8" t="str">
        <f>IFERROR(__xludf.DUMMYFUNCTION("""COMPUTED_VALUE"""),"Conceptual modeling; Derivation process; Requirements engineering; Use cases; User stories")</f>
        <v>Conceptual modeling; Derivation process; Requirements engineering; Use cases; User stories</v>
      </c>
      <c r="I623" s="9" t="b">
        <v>1</v>
      </c>
      <c r="J623" s="9" t="b">
        <v>1</v>
      </c>
      <c r="K623" s="9" t="b">
        <v>1</v>
      </c>
      <c r="L623" s="10" t="b">
        <v>0</v>
      </c>
      <c r="M623" s="10" t="b">
        <v>0</v>
      </c>
      <c r="N623" s="10" t="b">
        <v>0</v>
      </c>
      <c r="O623" s="11" t="b">
        <f t="shared" si="1"/>
        <v>1</v>
      </c>
      <c r="P623" s="16" t="b">
        <v>0</v>
      </c>
      <c r="Q623" s="7"/>
    </row>
    <row r="624">
      <c r="A624" s="5" t="b">
        <v>1</v>
      </c>
      <c r="B624" s="5" t="s">
        <v>667</v>
      </c>
      <c r="C624" s="6" t="str">
        <f>IFERROR(__xludf.DUMMYFUNCTION("""COMPUTED_VALUE"""),"10.1016/j.infsof.2017.06.003")</f>
        <v>10.1016/j.infsof.2017.06.003</v>
      </c>
      <c r="D624" s="7" t="str">
        <f>IFERROR(__xludf.DUMMYFUNCTION("""COMPUTED_VALUE"""),"Tiwari S.; Gupta A.")</f>
        <v>Tiwari S.; Gupta A.</v>
      </c>
      <c r="E624" s="7" t="str">
        <f>IFERROR(__xludf.DUMMYFUNCTION("""COMPUTED_VALUE"""),"Investigating comprehension and learnability aspects of use cases for software specification problems")</f>
        <v>Investigating comprehension and learnability aspects of use cases for software specification problems</v>
      </c>
      <c r="F624" s="7" t="str">
        <f>IFERROR(__xludf.DUMMYFUNCTION("""COMPUTED_VALUE"""),"IST")</f>
        <v>IST</v>
      </c>
      <c r="G624" s="7" t="str">
        <f>IFERROR(__xludf.DUMMYFUNCTION("""COMPUTED_VALUE"""),"Context: Availability of multiple use case templates to document software requirements inevitably requires their characterization in terms of their relevance, usefulness, and the degree of the formality of the expressions. Objective: This paper reports tw"&amp;"o experimental studies that separately investigate two usability aspects, namely the comprehension and the learnability of use case templates for software specification problems. Method: We judged the comprehension aspect by evaluating the subjects’ under"&amp;"standing of the requirements, specified in eight different use case templates, and the ease with which the changes were made by them in the requirement specifications. The learnability aspect was judged by assessing the completeness, the correctness, and "&amp;"the redundancy of the use case specifications developed by the subjects using these eight use case templates for three software specification problems. Results: Our results suggested that the Kettenis's use case template was found to be significantly more"&amp;" understandable, and the templates by Tiwari, Yue and Somé were found to be significantly more flexible to adapt to the changes. On the learnability aspect, the way we formulated it, we found different templates to be more complete (Kettenis), correct (So"&amp;"mé), and non-redundant (Tiwari). Conclusion: The specifications documented using a more detailed use case template with an intermediate degree of formality can be more comprehensible and flexible to adapt to the required changes to be made in the specific"&amp;"ation. A more formal template seems to enhance the learnability as well. © 2017 Elsevier B.V.")</f>
        <v>Context: Availability of multiple use case templates to document software requirements inevitably requires their characterization in terms of their relevance, usefulness, and the degree of the formality of the expressions. Objective: This paper reports two experimental studies that separately investigate two usability aspects, namely the comprehension and the learnability of use case templates for software specification problems. Method: We judged the comprehension aspect by evaluating the subjects’ understanding of the requirements, specified in eight different use case templates, and the ease with which the changes were made by them in the requirement specifications. The learnability aspect was judged by assessing the completeness, the correctness, and the redundancy of the use case specifications developed by the subjects using these eight use case templates for three software specification problems. Results: Our results suggested that the Kettenis's use case template was found to be significantly more understandable, and the templates by Tiwari, Yue and Somé were found to be significantly more flexible to adapt to the changes. On the learnability aspect, the way we formulated it, we found different templates to be more complete (Kettenis), correct (Somé), and non-redundant (Tiwari). Conclusion: The specifications documented using a more detailed use case template with an intermediate degree of formality can be more comprehensible and flexible to adapt to the required changes to be made in the specification. A more formal template seems to enhance the learnability as well. © 2017 Elsevier B.V.</v>
      </c>
      <c r="H624" s="8" t="str">
        <f>IFERROR(__xludf.DUMMYFUNCTION("""COMPUTED_VALUE"""),"Comprehension; Experimental study; Learnability; Software specification problem; Usability aspects; Use case templates; Use cases")</f>
        <v>Comprehension; Experimental study; Learnability; Software specification problem; Usability aspects; Use case templates; Use cases</v>
      </c>
      <c r="I624" s="9" t="b">
        <v>1</v>
      </c>
      <c r="J624" s="9" t="b">
        <v>1</v>
      </c>
      <c r="K624" s="9" t="b">
        <v>1</v>
      </c>
      <c r="L624" s="10" t="b">
        <v>0</v>
      </c>
      <c r="M624" s="10" t="b">
        <v>0</v>
      </c>
      <c r="N624" s="10" t="b">
        <v>0</v>
      </c>
      <c r="O624" s="11" t="b">
        <f t="shared" si="1"/>
        <v>1</v>
      </c>
      <c r="P624" s="12" t="b">
        <v>0</v>
      </c>
      <c r="Q624" s="13"/>
    </row>
    <row r="625">
      <c r="A625" s="5" t="b">
        <v>1</v>
      </c>
      <c r="B625" s="5" t="s">
        <v>668</v>
      </c>
      <c r="C625" s="6" t="str">
        <f>IFERROR(__xludf.DUMMYFUNCTION("""COMPUTED_VALUE"""),"10.1016/j.infsof.2011.02.001")</f>
        <v>10.1016/j.infsof.2011.02.001</v>
      </c>
      <c r="D625" s="7" t="str">
        <f>IFERROR(__xludf.DUMMYFUNCTION("""COMPUTED_VALUE"""),"Zhang Y.; Harman M.; Finkelstein A.; Afshin Mansouri S.")</f>
        <v>Zhang Y.; Harman M.; Finkelstein A.; Afshin Mansouri S.</v>
      </c>
      <c r="E625" s="7" t="str">
        <f>IFERROR(__xludf.DUMMYFUNCTION("""COMPUTED_VALUE"""),"Comparing the performance of metaheuristics for the analysis of multi-stakeholder tradeoffs in requirements optimisation")</f>
        <v>Comparing the performance of metaheuristics for the analysis of multi-stakeholder tradeoffs in requirements optimisation</v>
      </c>
      <c r="F625" s="7" t="str">
        <f>IFERROR(__xludf.DUMMYFUNCTION("""COMPUTED_VALUE"""),"IST")</f>
        <v>IST</v>
      </c>
      <c r="G625" s="7" t="str">
        <f>IFERROR(__xludf.DUMMYFUNCTION("""COMPUTED_VALUE"""),"Context: In requirements engineering, there will be many different stake holders. Often the requirements engineer has to find a set of requirements that reflect the needs of several different stake holders, while remaining within budget. Objective: This p"&amp;"aper introduces an optimisation-based approach to the automated analysis of requirements assignments when multiple stake holders are to be satisfied by a single choice of requirements. Method: The paper reports on experiments using two different multi-obj"&amp;"ective evolutionary optimisation algorithms with real world data sets as well as synthetic data sets. This empirical validation includes a statistical analysis of the performance of the two algorithms. Results: The results reveal that the Two-Archive algo"&amp;"rithm outperformed the others in convergence as the scale of problems increase. The paper also shows how both traditional and animated Kiviat diagrams can be used to visualise the tensions between the stake holders"" competing requirements in the presence"&amp;" of increasing budgetary pressure. Conclusion: This paper presented the concept of internal tensioning among multi-stakeholder in requirements analysis and optimisation for the first time. This analysis may be useful in internal negotiations over budgetar"&amp;"y allowance for the project. © 2011 Elsevier B.V. All rights reserved.")</f>
        <v>Context: In requirements engineering, there will be many different stake holders. Often the requirements engineer has to find a set of requirements that reflect the needs of several different stake holders, while remaining within budget. Objective: This paper introduces an optimisation-based approach to the automated analysis of requirements assignments when multiple stake holders are to be satisfied by a single choice of requirements. Method: The paper reports on experiments using two different multi-objective evolutionary optimisation algorithms with real world data sets as well as synthetic data sets. This empirical validation includes a statistical analysis of the performance of the two algorithms. Results: The results reveal that the Two-Archive algorithm outperformed the others in convergence as the scale of problems increase. The paper also shows how both traditional and animated Kiviat diagrams can be used to visualise the tensions between the stake holders" competing requirements in the presence of increasing budgetary pressure. Conclusion: This paper presented the concept of internal tensioning among multi-stakeholder in requirements analysis and optimisation for the first time. This analysis may be useful in internal negotiations over budgetary allowance for the project. © 2011 Elsevier B.V. All rights reserved.</v>
      </c>
      <c r="H625" s="8" t="str">
        <f>IFERROR(__xludf.DUMMYFUNCTION("""COMPUTED_VALUE"""),"Multi-objective genetic algorithms; Pareto optimality; Requirements engineering")</f>
        <v>Multi-objective genetic algorithms; Pareto optimality; Requirements engineering</v>
      </c>
      <c r="I625" s="10" t="b">
        <v>0</v>
      </c>
      <c r="J625" s="10" t="b">
        <v>0</v>
      </c>
      <c r="K625" s="10" t="b">
        <v>0</v>
      </c>
      <c r="L625" s="10" t="b">
        <v>0</v>
      </c>
      <c r="M625" s="10" t="b">
        <v>0</v>
      </c>
      <c r="N625" s="10" t="b">
        <v>0</v>
      </c>
      <c r="O625" s="11" t="b">
        <f t="shared" si="1"/>
        <v>0</v>
      </c>
      <c r="P625" s="16" t="b">
        <v>0</v>
      </c>
      <c r="Q625" s="7"/>
    </row>
    <row r="626">
      <c r="A626" s="5" t="b">
        <v>1</v>
      </c>
      <c r="B626" s="5" t="s">
        <v>669</v>
      </c>
      <c r="C626" s="6" t="str">
        <f>IFERROR(__xludf.DUMMYFUNCTION("""COMPUTED_VALUE"""),"10.1016/j.infsof.2008.08.007")</f>
        <v>10.1016/j.infsof.2008.08.007</v>
      </c>
      <c r="D626" s="7" t="str">
        <f>IFERROR(__xludf.DUMMYFUNCTION("""COMPUTED_VALUE"""),"Krishnamoorthi R.; Sahaaya Arul Mary S.A.")</f>
        <v>Krishnamoorthi R.; Sahaaya Arul Mary S.A.</v>
      </c>
      <c r="E626" s="7" t="str">
        <f>IFERROR(__xludf.DUMMYFUNCTION("""COMPUTED_VALUE"""),"Factor oriented requirement coverage based system test case prioritization of new and regression test cases")</f>
        <v>Factor oriented requirement coverage based system test case prioritization of new and regression test cases</v>
      </c>
      <c r="F626" s="7" t="str">
        <f>IFERROR(__xludf.DUMMYFUNCTION("""COMPUTED_VALUE"""),"IST")</f>
        <v>IST</v>
      </c>
      <c r="G626" s="7" t="str">
        <f>IFERROR(__xludf.DUMMYFUNCTION("""COMPUTED_VALUE"""),"Test case prioritization involves scheduling test cases in an order that increases the effectiveness in achieving some performance goals. One of the most important performance goals is the rate of fault detection. Test cases should run in an order that in"&amp;"creases the possibility of fault detection and also that detects the most severe faults at the earliest in its testing life cycle. In this paper, we propose to put forth a model for system level test case prioritization (TCP) from software requirement spe"&amp;"cification to improve user satisfaction with quality software that can also be cost effective and to improve the rate of severe fault detection. The proposed model prioritizes the system test cases based on the six factors: customer priority, changes in r"&amp;"equirement, implementation complexity, completeness, traceability and fault impact. The proposed prioritization technique is validated with two different validation techniques and is experimented in three phases with student projects and two sets of indus"&amp;"trial projects and the results show convincingly that the proposed prioritization technique improves the rate of severe fault detection. © 2008 Elsevier B.V. All rights reserved.")</f>
        <v>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completeness, traceability and fault impact. The proposed prioritization technique is validated with two different validation techniques and is experimented in three phases with student projects and two sets of industrial projects and the results show convincingly that the proposed prioritization technique improves the rate of severe fault detection. © 2008 Elsevier B.V. All rights reserved.</v>
      </c>
      <c r="H626" s="8" t="str">
        <f>IFERROR(__xludf.DUMMYFUNCTION("""COMPUTED_VALUE"""),"Customer satisfaction; Regression testing; Severe faults; System testing; Test case prioritization")</f>
        <v>Customer satisfaction; Regression testing; Severe faults; System testing; Test case prioritization</v>
      </c>
      <c r="I626" s="10" t="b">
        <v>0</v>
      </c>
      <c r="J626" s="10" t="b">
        <v>0</v>
      </c>
      <c r="K626" s="10" t="b">
        <v>0</v>
      </c>
      <c r="L626" s="10" t="b">
        <v>0</v>
      </c>
      <c r="M626" s="10" t="b">
        <v>0</v>
      </c>
      <c r="N626" s="10" t="b">
        <v>0</v>
      </c>
      <c r="O626" s="11" t="b">
        <f t="shared" si="1"/>
        <v>0</v>
      </c>
      <c r="P626" s="16" t="b">
        <v>0</v>
      </c>
      <c r="Q626" s="7"/>
    </row>
    <row r="627">
      <c r="A627" s="5" t="b">
        <v>1</v>
      </c>
      <c r="B627" s="5" t="s">
        <v>670</v>
      </c>
      <c r="C627" s="6" t="str">
        <f>IFERROR(__xludf.DUMMYFUNCTION("""COMPUTED_VALUE"""),"10.1016/s0950-5849(97)00053-0")</f>
        <v>10.1016/s0950-5849(97)00053-0</v>
      </c>
      <c r="D627" s="7" t="str">
        <f>IFERROR(__xludf.DUMMYFUNCTION("""COMPUTED_VALUE"""),"Karlsson J.; Wohlin C.; Regnell B.")</f>
        <v>Karlsson J.; Wohlin C.; Regnell B.</v>
      </c>
      <c r="E627" s="7" t="str">
        <f>IFERROR(__xludf.DUMMYFUNCTION("""COMPUTED_VALUE"""),"An evaluation of methods for prioritizing software requirements")</f>
        <v>An evaluation of methods for prioritizing software requirements</v>
      </c>
      <c r="F627" s="7" t="str">
        <f>IFERROR(__xludf.DUMMYFUNCTION("""COMPUTED_VALUE"""),"IST")</f>
        <v>IST</v>
      </c>
      <c r="G627" s="7" t="str">
        <f>IFERROR(__xludf.DUMMYFUNCTION("""COMPUTED_VALUE"""),"This article describes an evaluation of six different methods for prioritizing software requirements. Based on the quality requirements for a telephony system, the authors individually used all six methods on separate occasions to prioritize the requireme"&amp;"nts. The methods were then characterized according to a number of criteria from a user's perspective. We found the analytic hierarchy process to be the most promising method, although it may be problematic to scale-up. In an industrial follow-up study we "&amp;"used the analytic hierarchy process to further investigate its applicability. We found that the process is demanding but worth the effort because of its ability to provide reliable results, promote knowledge transfer and create consensus among project mem"&amp;"bers. © 1998 Elsevier Science B.V.")</f>
        <v>This article describes an evaluation of six different methods for prioritizing software requirements. Based on the quality requirements for a telephony system, the authors individually used all six methods on separate occasions to prioritize the requirements. The methods were then characterized according to a number of criteria from a user's perspective. We found the analytic hierarchy process to be the most promising method, although it may be problematic to scale-up. In an industrial follow-up study we used the analytic hierarchy process to further investigate its applicability. We found that the process is demanding but worth the effort because of its ability to provide reliable results, promote knowledge transfer and create consensus among project members. © 1998 Elsevier Science B.V.</v>
      </c>
      <c r="H627" s="8" t="str">
        <f>IFERROR(__xludf.DUMMYFUNCTION("""COMPUTED_VALUE"""),"Experimental evaluation; Requirements, engineering; Requirements, prioritising")</f>
        <v>Experimental evaluation; Requirements, engineering; Requirements, prioritising</v>
      </c>
      <c r="I627" s="9" t="b">
        <v>1</v>
      </c>
      <c r="J627" s="9" t="b">
        <v>1</v>
      </c>
      <c r="K627" s="9" t="b">
        <v>1</v>
      </c>
      <c r="L627" s="10" t="b">
        <v>0</v>
      </c>
      <c r="M627" s="10" t="b">
        <v>0</v>
      </c>
      <c r="N627" s="10" t="b">
        <v>0</v>
      </c>
      <c r="O627" s="11" t="b">
        <f t="shared" si="1"/>
        <v>1</v>
      </c>
      <c r="P627" s="12" t="b">
        <v>0</v>
      </c>
      <c r="Q627" s="13"/>
    </row>
    <row r="628">
      <c r="A628" s="5" t="b">
        <v>1</v>
      </c>
      <c r="B628" s="5" t="s">
        <v>671</v>
      </c>
      <c r="C628" s="6" t="str">
        <f>IFERROR(__xludf.DUMMYFUNCTION("""COMPUTED_VALUE"""),"10.1016/j.infsof.2012.02.005")</f>
        <v>10.1016/j.infsof.2012.02.005</v>
      </c>
      <c r="D628" s="7" t="str">
        <f>IFERROR(__xludf.DUMMYFUNCTION("""COMPUTED_VALUE"""),"Thurimella A.K.; Bruegge B.")</f>
        <v>Thurimella A.K.; Bruegge B.</v>
      </c>
      <c r="E628" s="7" t="str">
        <f>IFERROR(__xludf.DUMMYFUNCTION("""COMPUTED_VALUE"""),"Issue-based variability management")</f>
        <v>Issue-based variability management</v>
      </c>
      <c r="F628" s="7" t="str">
        <f>IFERROR(__xludf.DUMMYFUNCTION("""COMPUTED_VALUE"""),"IST")</f>
        <v>IST</v>
      </c>
      <c r="G628" s="7" t="str">
        <f>IFERROR(__xludf.DUMMYFUNCTION("""COMPUTED_VALUE"""),"Context: Variability management is a key activity in software product line engineering. This paper focuses on managing rationale information during the decision-making activities that arise during variability management. By decision-making we refer to sys"&amp;"tematic problem solving by considering and evaluating various alternatives. Rationale management is a branch of science that enables decision-making based on the argumentation of stakeholders while capturing the reasons and justifications behind these dec"&amp;"isions. Objective: Decision-making should be supported to identify variability in domain engineering and to resolve variation points in application engineering. We capture the rationale behind variability management decisions. The captured rationale infor"&amp;"mation is useful to evaluate future changes of variability models as well as to handle future instantiations of variation points. We claim that maintaining rationale will enhance the longevity of variability models. Furthermore, decisions should be perfor"&amp;"med using a formal communication between domain engineering and application engineering. Method: We initiate the novel area of issue-based variability management (IVM) by extending variability management with rationale management. The key contributions of"&amp;" this paper are: (i) an issue-based variability management methodology (IVMM), which combines questions, options and criteria (QOC) and a specific variability approach; (ii) a meta-model for IVMM and a process for variability management and (iii) a tool f"&amp;"or the methodology, which was developed by extending an open source rationale management tool. Results: Rationale approaches (e.g. questions, options and criteria) guide distributed stakeholders when selecting choices for instantiating variation points. S"&amp;"imilarly, rationale approaches also aid the elicitation of variability and the evaluation of changes. The rationale captured within the decision-making process can be reused to perform future decisions on variability. Conclusion: IVMM was evaluated compar"&amp;"atively based on an experimental survey, which provided evidence that IVMM is more effective than a variability modeling approach that does not use issues. © 2012 Elsevier B.V. All rights reserved.")</f>
        <v>Context: Variability management is a key activity in software product line engineering. This paper focuses on managing rationale information during the decision-making activities that arise during variability management. By decision-making we refer to systematic problem solving by considering and evaluating various alternatives. Rationale management is a branch of science that enables decision-making based on the argumentation of stakeholders while capturing the reasons and justifications behind these decisions. Objective: Decision-making should be supported to identify variability in domain engineering and to resolve variation points in application engineering. We capture the rationale behind variability management decisions. The captured rationale information is useful to evaluate future changes of variability models as well as to handle future instantiations of variation points. We claim that maintaining rationale will enhance the longevity of variability models. Furthermore, decisions should be performed using a formal communication between domain engineering and application engineering. Method: We initiate the novel area of issue-based variability management (IVM) by extending variability management with rationale management. The key contributions of this paper are: (i) an issue-based variability management methodology (IVMM), which combines questions, options and criteria (QOC) and a specific variability approach; (ii) a meta-model for IVMM and a process for variability management and (iii) a tool for the methodology, which was developed by extending an open source rationale management tool. Results: Rationale approaches (e.g. questions, options and criteria) guide distributed stakeholders when selecting choices for instantiating variation points. Similarly, rationale approaches also aid the elicitation of variability and the evaluation of changes. The rationale captured within the decision-making process can be reused to perform future decisions on variability. Conclusion: IVMM was evaluated comparatively based on an experimental survey, which provided evidence that IVMM is more effective than a variability modeling approach that does not use issues. © 2012 Elsevier B.V. All rights reserved.</v>
      </c>
      <c r="H628" s="8" t="str">
        <f>IFERROR(__xludf.DUMMYFUNCTION("""COMPUTED_VALUE"""),"Empirical software engineering; Product line engineering; Rationale management; Requirements engineering")</f>
        <v>Empirical software engineering; Product line engineering; Rationale management; Requirements engineering</v>
      </c>
      <c r="I628" s="10" t="b">
        <v>0</v>
      </c>
      <c r="J628" s="10" t="b">
        <v>0</v>
      </c>
      <c r="K628" s="10" t="b">
        <v>0</v>
      </c>
      <c r="L628" s="10" t="b">
        <v>0</v>
      </c>
      <c r="M628" s="10" t="b">
        <v>0</v>
      </c>
      <c r="N628" s="10" t="b">
        <v>0</v>
      </c>
      <c r="O628" s="11" t="b">
        <f t="shared" si="1"/>
        <v>0</v>
      </c>
      <c r="P628" s="16" t="b">
        <v>0</v>
      </c>
      <c r="Q628" s="7"/>
    </row>
    <row r="629">
      <c r="A629" s="5" t="b">
        <v>1</v>
      </c>
      <c r="B629" s="5" t="s">
        <v>672</v>
      </c>
      <c r="C629" s="6" t="str">
        <f>IFERROR(__xludf.DUMMYFUNCTION("""COMPUTED_VALUE"""),"10.1016/j.infsof.2010.07.001")</f>
        <v>10.1016/j.infsof.2010.07.001</v>
      </c>
      <c r="D629" s="7" t="str">
        <f>IFERROR(__xludf.DUMMYFUNCTION("""COMPUTED_VALUE"""),"Dorofeeva R.; El-Fakih K.; Maag S.; Cavalli A.R.; Yevtushenko N.")</f>
        <v>Dorofeeva R.; El-Fakih K.; Maag S.; Cavalli A.R.; Yevtushenko N.</v>
      </c>
      <c r="E629" s="7" t="str">
        <f>IFERROR(__xludf.DUMMYFUNCTION("""COMPUTED_VALUE"""),"FSM-based conformance testing methods: A survey annotated with experimental evaluation")</f>
        <v>FSM-based conformance testing methods: A survey annotated with experimental evaluation</v>
      </c>
      <c r="F629" s="7" t="str">
        <f>IFERROR(__xludf.DUMMYFUNCTION("""COMPUTED_VALUE"""),"IST")</f>
        <v>IST</v>
      </c>
      <c r="G629" s="7" t="str">
        <f>IFERROR(__xludf.DUMMYFUNCTION("""COMPUTED_VALUE"""),"The development of test cases is an important issue for testing software, communication protocols and other reactive systems. A number of methods are known for the development of a test suite based on a formal specification given in the form of a finite s"&amp;"tate machine. In this paper, we overview and experiment with these methods to assess their complexity, applicability, completeness, fault detection capability, length and derivation time of their test suites. The experiments are conducted on randomly gene"&amp;"rated specifications and on two realistic protocols called the Simple Connection Protocol and the ITU-T V.76 Recommendation. © 2010 Elsevier B.V. All rights reserved.")</f>
        <v>The development of test cases is an important issue for testing software, communication protocols and other reactive systems. A number of methods are known for the development of a test suite based on a formal specification given in the form of a finite state machine. In this paper, we overview and experiment with these methods to assess their complexity, applicability, completeness, fault detection capability, length and derivation time of their test suites. The experiments are conducted on randomly generated specifications and on two realistic protocols called the Simple Connection Protocol and the ITU-T V.76 Recommendation. © 2010 Elsevier B.V. All rights reserved.</v>
      </c>
      <c r="H629" s="8" t="str">
        <f>IFERROR(__xludf.DUMMYFUNCTION("""COMPUTED_VALUE"""),"Conformance testing; Finite state machines; Model based testing; Protocol testing")</f>
        <v>Conformance testing; Finite state machines; Model based testing; Protocol testing</v>
      </c>
      <c r="I629" s="10" t="b">
        <v>0</v>
      </c>
      <c r="J629" s="10" t="b">
        <v>0</v>
      </c>
      <c r="K629" s="10" t="b">
        <v>0</v>
      </c>
      <c r="L629" s="10" t="b">
        <v>0</v>
      </c>
      <c r="M629" s="10" t="b">
        <v>0</v>
      </c>
      <c r="N629" s="10" t="b">
        <v>0</v>
      </c>
      <c r="O629" s="11" t="b">
        <f t="shared" si="1"/>
        <v>0</v>
      </c>
      <c r="P629" s="16" t="b">
        <v>0</v>
      </c>
      <c r="Q629" s="7"/>
    </row>
    <row r="630">
      <c r="A630" s="5" t="b">
        <v>1</v>
      </c>
      <c r="B630" s="5" t="s">
        <v>673</v>
      </c>
      <c r="C630" s="6" t="str">
        <f>IFERROR(__xludf.DUMMYFUNCTION("""COMPUTED_VALUE"""),"10.1016/j.infsof.2008.09.004")</f>
        <v>10.1016/j.infsof.2008.09.004</v>
      </c>
      <c r="D630" s="7" t="str">
        <f>IFERROR(__xludf.DUMMYFUNCTION("""COMPUTED_VALUE"""),"Ahmed M.A.; Muzaffar Z.")</f>
        <v>Ahmed M.A.; Muzaffar Z.</v>
      </c>
      <c r="E630" s="7" t="str">
        <f>IFERROR(__xludf.DUMMYFUNCTION("""COMPUTED_VALUE"""),"Handling imprecision and uncertainty in software development effort prediction: A type-2 fuzzy logic based framework")</f>
        <v>Handling imprecision and uncertainty in software development effort prediction: A type-2 fuzzy logic based framework</v>
      </c>
      <c r="F630" s="7" t="str">
        <f>IFERROR(__xludf.DUMMYFUNCTION("""COMPUTED_VALUE"""),"IST")</f>
        <v>IST</v>
      </c>
      <c r="G630" s="7" t="str">
        <f>IFERROR(__xludf.DUMMYFUNCTION("""COMPUTED_VALUE"""),"Traditional approaches for software projects effort prediction such as the use of mathematical formulae derived from historical data, or the use of experts judgments are plagued with issues pertaining to effectiveness and robustness in their results. Thes"&amp;"e issues are more pronounced when these effort prediction approaches are used during the early phases of the software development lifecycle, for example requirements development, whose effort predictors along with their relationships to effort are charact"&amp;"erized as being even more imprecise and uncertain than those of later development phases, for example design. Recent works have demonstrated promising results using approaches based on fuzzy logic. Effort prediction systems that use fuzzy logic can deal w"&amp;"ith imprecision; they, however, can not deal with uncertainty. This paper presents an effort prediction framework that is based on type-2 fuzzy logic to allow handling imprecision and uncertainty inherent in the information available for effort prediction"&amp;". Evaluation experiments have shown the framework to be promising. © 2008 Elsevier B.V. All rights reserved.")</f>
        <v>Traditional approaches for software projects effort prediction such as the use of mathematical formulae derived from historical data, or the use of experts judgments are plagued with issues pertaining to effectiveness and robustness in their results. These issues are more pronounced when these effort prediction approaches are used during the early phases of the software development lifecycle, for example requirements development, whose effort predictors along with their relationships to effort are characterized as being even more imprecise and uncertain than those of later development phases, for example design. Recent works have demonstrated promising results using approaches based on fuzzy logic. Effort prediction systems that use fuzzy logic can deal with imprecision; they, however, can not deal with uncertainty. This paper presents an effort prediction framework that is based on type-2 fuzzy logic to allow handling imprecision and uncertainty inherent in the information available for effort prediction. Evaluation experiments have shown the framework to be promising. © 2008 Elsevier B.V. All rights reserved.</v>
      </c>
      <c r="H630" s="8" t="str">
        <f>IFERROR(__xludf.DUMMYFUNCTION("""COMPUTED_VALUE"""),"COCOMO; Effort prediction; Imprecision; Type-2 fuzzy logic; Uncertainty")</f>
        <v>COCOMO; Effort prediction; Imprecision; Type-2 fuzzy logic; Uncertainty</v>
      </c>
      <c r="I630" s="10" t="b">
        <v>0</v>
      </c>
      <c r="J630" s="10" t="b">
        <v>0</v>
      </c>
      <c r="K630" s="10" t="b">
        <v>0</v>
      </c>
      <c r="L630" s="10" t="b">
        <v>0</v>
      </c>
      <c r="M630" s="10" t="b">
        <v>0</v>
      </c>
      <c r="N630" s="10" t="b">
        <v>0</v>
      </c>
      <c r="O630" s="11" t="b">
        <f t="shared" si="1"/>
        <v>0</v>
      </c>
      <c r="P630" s="16" t="b">
        <v>0</v>
      </c>
      <c r="Q630" s="7"/>
    </row>
    <row r="631">
      <c r="A631" s="5" t="b">
        <v>1</v>
      </c>
      <c r="B631" s="5" t="s">
        <v>674</v>
      </c>
      <c r="C631" s="6" t="str">
        <f>IFERROR(__xludf.DUMMYFUNCTION("""COMPUTED_VALUE"""),"10.1016/j.infsof.2009.04.008")</f>
        <v>10.1016/j.infsof.2009.04.008</v>
      </c>
      <c r="D631" s="7" t="str">
        <f>IFERROR(__xludf.DUMMYFUNCTION("""COMPUTED_VALUE"""),"Eichelberger H.; Schmid K.")</f>
        <v>Eichelberger H.; Schmid K.</v>
      </c>
      <c r="E631" s="7" t="str">
        <f>IFERROR(__xludf.DUMMYFUNCTION("""COMPUTED_VALUE"""),"Guidelines on the aesthetic quality of UML class diagrams")</f>
        <v>Guidelines on the aesthetic quality of UML class diagrams</v>
      </c>
      <c r="F631" s="7" t="str">
        <f>IFERROR(__xludf.DUMMYFUNCTION("""COMPUTED_VALUE"""),"IST")</f>
        <v>IST</v>
      </c>
      <c r="G631" s="7" t="str">
        <f>IFERROR(__xludf.DUMMYFUNCTION("""COMPUTED_VALUE"""),"In the past, formatting guidelines have proved to be a successful method to improve the readability of source code. With the increasing success of visual specification languages such as UML for model-driven software engineering visual guidelines are neede"&amp;"d to standardize the presentation and the exchange of modeling diagrams with respect to human communication, understandability and readability. In this article, we introduce a new and encompassing taxonomy of visual guidelines capturing the aesthetic qual"&amp;"ity of UML class diagrams. We propose these guidelines as a framework to improve the aesthetic quality and thus the understandability of UML class diagrams. To validate this claim, we describe in detail a controlled experiment carried out as a pilot study"&amp;" to gather preliminary insights on the effects of some of the guideline rules on the understandability of UML class diagrams. © 2009 Elsevier B.V. All rights reserved.")</f>
        <v>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 © 2009 Elsevier B.V. All rights reserved.</v>
      </c>
      <c r="H631" s="8" t="str">
        <f>IFERROR(__xludf.DUMMYFUNCTION("""COMPUTED_VALUE"""),"Aesthetic quality; Automatic layout; Layout guidelines; Modeling tools; Software engineering; UML class diagrams")</f>
        <v>Aesthetic quality; Automatic layout; Layout guidelines; Modeling tools; Software engineering; UML class diagrams</v>
      </c>
      <c r="I631" s="10" t="b">
        <v>0</v>
      </c>
      <c r="J631" s="10" t="b">
        <v>0</v>
      </c>
      <c r="K631" s="10" t="b">
        <v>0</v>
      </c>
      <c r="L631" s="10" t="b">
        <v>0</v>
      </c>
      <c r="M631" s="10" t="b">
        <v>0</v>
      </c>
      <c r="N631" s="10" t="b">
        <v>0</v>
      </c>
      <c r="O631" s="11" t="b">
        <f t="shared" si="1"/>
        <v>0</v>
      </c>
      <c r="P631" s="16" t="b">
        <v>0</v>
      </c>
      <c r="Q631" s="7"/>
    </row>
    <row r="632">
      <c r="A632" s="5" t="b">
        <v>1</v>
      </c>
      <c r="B632" s="5" t="s">
        <v>675</v>
      </c>
      <c r="C632" s="6" t="str">
        <f>IFERROR(__xludf.DUMMYFUNCTION("""COMPUTED_VALUE"""),"10.1016/j.infsof.2013.04.004")</f>
        <v>10.1016/j.infsof.2013.04.004</v>
      </c>
      <c r="D632" s="7" t="str">
        <f>IFERROR(__xludf.DUMMYFUNCTION("""COMPUTED_VALUE"""),"Rogstad E.; Briand L.; Torkar R.")</f>
        <v>Rogstad E.; Briand L.; Torkar R.</v>
      </c>
      <c r="E632" s="7" t="str">
        <f>IFERROR(__xludf.DUMMYFUNCTION("""COMPUTED_VALUE"""),"Test case selection for black-box regression testing of database applications")</f>
        <v>Test case selection for black-box regression testing of database applications</v>
      </c>
      <c r="F632" s="7" t="str">
        <f>IFERROR(__xludf.DUMMYFUNCTION("""COMPUTED_VALUE"""),"IST")</f>
        <v>IST</v>
      </c>
      <c r="G632" s="7" t="str">
        <f>IFERROR(__xludf.DUMMYFUNCTION("""COMPUTED_VALUE"""),"Context This paper presents an approach for selecting regression test cases in the context of large-scale database applications. We focus on a black-box (specification-based) approach, relying on classification tree models to model the input domain of the"&amp;" system under test (SUT), in order to obtain a more practical and scalable solution. We perform an experiment in an industrial setting where the SUT is a large database application in Norway's tax department. Objective We investigate the use of similarity"&amp;"-based test case selection for supporting black box regression testing of database applications. We have developed a practical approach and tool (DART) for functional black-box regression testing of database applications. In order to make the regression t"&amp;"est approach scalable for large database applications, we needed a test case selection strategy that reduces the test execution costs and analysis effort. We used classification tree models to partition the input domain of the SUT in order to then select "&amp;"test cases. Rather than selecting test cases at random from each partition, we incorporated a similarity-based test case selection, hypothesizing that it would yield a higher fault detection rate. Method An experiment was conducted to determine which simi"&amp;"larity-based selection algorithm was the most suitable in selecting test cases in large regression test suites, and whether similarity-based selection was a worthwhile and practical alternative to simpler solutions. Results The results show that combining"&amp;" similarity measurement with partition-based test case selection, by using similarity-based test case selection within each partition, can provide improved fault detection rates over simpler solutions when specific conditions are met regarding the partiti"&amp;"ons. Conclusions Under the conditions present in the experiment the improvements were marginal. However, a detailed analysis concludes that the similarity-based selection strategy should be applied when a large number of test cases are contained in each p"&amp;"artition and there is significant variability within partitions. If these conditions are not present, incorporating similarity measures is not worthwhile, since the gain is negligible over a random selection within each partition. © 2013 Elsevier B.V. All"&amp;" rights reserved.")</f>
        <v>Context This paper presents an approach for selecting regression test cases in the context of large-scale database applications. We focus on a black-box (specification-based) approach, relying on classification tree models to model the input domain of the system under test (SUT), in order to obtain a more practical and scalable solution. We perform an experiment in an industrial setting where the SUT is a large database application in Norway's tax department. Objective We investigate the use of similarity-based test case selection for supporting black box regression testing of database applications. We have developed a practical approach and tool (DART) for functional black-box regression testing of database applications. In order to make the regression test approach scalable for large database applications, we needed a test case selection strategy that reduces the test execution costs and analysis effort. We used classification tree models to partition the input domain of the SUT in order to then select test cases. Rather than selecting test cases at random from each partition, we incorporated a similarity-based test case selection, hypothesizing that it would yield a higher fault detection rate. Method An experiment was conducted to determine which similarity-based selection algorithm was the most suitable in selecting test cases in large regression test suites, and whether similarity-based selection was a worthwhile and practical alternative to simpler solutions. Results The results show that combining similarity measurement with partition-based test case selection, by using similarity-based test case selection within each partition, can provide improved fault detection rates over simpler solutions when specific conditions are met regarding the partitions. Conclusions Under the conditions present in the experiment the improvements were marginal. However, a detailed analysis concludes that the similarity-based selection strategy should be applied when a large number of test cases are contained in each partition and there is significant variability within partitions. If these conditions are not present, incorporating similarity measures is not worthwhile, since the gain is negligible over a random selection within each partition. © 2013 Elsevier B.V. All rights reserved.</v>
      </c>
      <c r="H632" s="8" t="str">
        <f>IFERROR(__xludf.DUMMYFUNCTION("""COMPUTED_VALUE"""),"Database applications; Regression testing; Similarity measures; Test case selection")</f>
        <v>Database applications; Regression testing; Similarity measures; Test case selection</v>
      </c>
      <c r="I632" s="9" t="b">
        <v>0</v>
      </c>
      <c r="J632" s="10" t="b">
        <v>0</v>
      </c>
      <c r="K632" s="9" t="b">
        <v>1</v>
      </c>
      <c r="L632" s="10" t="b">
        <v>0</v>
      </c>
      <c r="M632" s="10" t="b">
        <v>0</v>
      </c>
      <c r="N632" s="10" t="b">
        <v>0</v>
      </c>
      <c r="O632" s="11" t="b">
        <f t="shared" si="1"/>
        <v>0</v>
      </c>
      <c r="P632" s="16" t="b">
        <v>0</v>
      </c>
      <c r="Q632" s="7"/>
    </row>
    <row r="633">
      <c r="A633" s="5" t="b">
        <v>1</v>
      </c>
      <c r="B633" s="5" t="s">
        <v>676</v>
      </c>
      <c r="C633" s="6" t="str">
        <f>IFERROR(__xludf.DUMMYFUNCTION("""COMPUTED_VALUE"""),"10.1016/j.infsof.2003.07.003")</f>
        <v>10.1016/j.infsof.2003.07.003</v>
      </c>
      <c r="D633" s="7" t="str">
        <f>IFERROR(__xludf.DUMMYFUNCTION("""COMPUTED_VALUE"""),"Woo K.-G.; Lee J.-H.; Kim M.-H.; Lee Y.-J.")</f>
        <v>Woo K.-G.; Lee J.-H.; Kim M.-H.; Lee Y.-J.</v>
      </c>
      <c r="E633" s="7" t="str">
        <f>IFERROR(__xludf.DUMMYFUNCTION("""COMPUTED_VALUE"""),"FINDIT: A fast and intelligent subspace clustering algorithm using dimension voting")</f>
        <v>FINDIT: A fast and intelligent subspace clustering algorithm using dimension voting</v>
      </c>
      <c r="F633" s="7" t="str">
        <f>IFERROR(__xludf.DUMMYFUNCTION("""COMPUTED_VALUE"""),"IST")</f>
        <v>IST</v>
      </c>
      <c r="G633" s="7" t="str">
        <f>IFERROR(__xludf.DUMMYFUNCTION("""COMPUTED_VALUE"""),"The aim of this paper is to present a novel subspace clustering method named FINDIT. Clustering is the process of finding interesting patterns residing in the dataset by grouping similar data objects from dissimilar ones based on their dimensional values."&amp;" Subspace clustering is a new area of clustering which achieves the clustering goal in high dimension by allowing clusters to be formed with their own correlated dimensions. In subspace clustering, selecting correct dimensions is very important because th"&amp;"e distance between points is easily changed according to the selected dimensions. However, to select dimensions correctly is difficult, because data grouping and dimension selecting should be performed simultaneously. FINDIT determines the correlated dime"&amp;"nsions for each cluster based on two key ideas: dimension-oriented distance measure which fully utilizes dimensional difference information, and dimension voting policy which determines important dimensions in a probabilistic way based on V nearest neighb"&amp;"ors' information. Through various experiments on synthetic data, FINDIT is shown to be very successful in the high dimensional clustering problem. FINDIT satisfies most requirements for good clustering methods such as accuracy of results, robustness to th"&amp;"e noise and the cluster density, and scalability to the dataset size and the dimensionality. Moreover, it is gracefully scalable to full dimension without any modification to algorithm. © 2003 Elsevier B.V. All rights reserved.")</f>
        <v>The aim of this paper is to present a novel subspace clustering method named FINDIT. Clustering is the process of finding interesting patterns residing in the dataset by grouping similar data objects from dissimilar ones based on their dimensional values. Subspace clustering is a new area of clustering which achieves the clustering goal in high dimension by allowing clusters to be formed with their own correlated dimensions. In subspace clustering, selecting correct dimensions is very important because the distance between points is easily changed according to the selected dimensions. However, to select dimensions correctly is difficult, because data grouping and dimension selecting should be performed simultaneously. FINDIT determines the correlated dimensions for each cluster based on two key ideas: dimension-oriented distance measure which fully utilizes dimensional difference information, and dimension voting policy which determines important dimensions in a probabilistic way based on V nearest neighbors' information. Through various experiments on synthetic data, FINDIT is shown to be very successful in the high dimensional clustering problem. FINDIT satisfies most requirements for good clustering methods such as accuracy of results, robustness to the noise and the cluster density, and scalability to the dataset size and the dimensionality. Moreover, it is gracefully scalable to full dimension without any modification to algorithm. © 2003 Elsevier B.V. All rights reserved.</v>
      </c>
      <c r="H633" s="8" t="str">
        <f>IFERROR(__xludf.DUMMYFUNCTION("""COMPUTED_VALUE"""),"Data clustering; Data mining; High dimension; Subspace clustering")</f>
        <v>Data clustering; Data mining; High dimension; Subspace clustering</v>
      </c>
      <c r="I633" s="10" t="b">
        <v>0</v>
      </c>
      <c r="J633" s="10" t="b">
        <v>0</v>
      </c>
      <c r="K633" s="10" t="b">
        <v>0</v>
      </c>
      <c r="L633" s="10" t="b">
        <v>0</v>
      </c>
      <c r="M633" s="10" t="b">
        <v>0</v>
      </c>
      <c r="N633" s="10" t="b">
        <v>0</v>
      </c>
      <c r="O633" s="11" t="b">
        <f t="shared" si="1"/>
        <v>0</v>
      </c>
      <c r="P633" s="16" t="b">
        <v>0</v>
      </c>
      <c r="Q633" s="7"/>
    </row>
    <row r="634">
      <c r="A634" s="5" t="b">
        <v>1</v>
      </c>
      <c r="B634" s="5" t="s">
        <v>677</v>
      </c>
      <c r="C634" s="6" t="str">
        <f>IFERROR(__xludf.DUMMYFUNCTION("""COMPUTED_VALUE"""),"10.1016/0950-5849(95)93489-2")</f>
        <v>10.1016/0950-5849(95)93489-2</v>
      </c>
      <c r="D634" s="7" t="str">
        <f>IFERROR(__xludf.DUMMYFUNCTION("""COMPUTED_VALUE"""),"Gorla N.; Pu H.-C.; Rom W.O.")</f>
        <v>Gorla N.; Pu H.-C.; Rom W.O.</v>
      </c>
      <c r="E634" s="7" t="str">
        <f>IFERROR(__xludf.DUMMYFUNCTION("""COMPUTED_VALUE"""),"Evaluation of process tools in systems analysis")</f>
        <v>Evaluation of process tools in systems analysis</v>
      </c>
      <c r="F634" s="7" t="str">
        <f>IFERROR(__xludf.DUMMYFUNCTION("""COMPUTED_VALUE"""),"IST")</f>
        <v>IST</v>
      </c>
      <c r="G634" s="7" t="str">
        <f>IFERROR(__xludf.DUMMYFUNCTION("""COMPUTED_VALUE"""),"Process tools are used during Systems Analysis to describe the process logic of bubbles in Data Flow Diagrams. We conducted two experiments to determine the relative merits of three process tools: Structured English from textual tool category; Decision Ta"&amp;"bles from tabular tool category; and Nassi-Schneiderman Charts from graphical tool category. We measured three performance types: tool-based comprehension to find understandability of the information in the tool itself; context-based comprehension to find"&amp;" understandability of information in the tool in combination with the information in the rest of structured specification; and the time of comprehension. Unlike most previous research that show graphical tools are the best, our results are different. We s"&amp;"how that textual tools (Structured English) are better than both graphical tools (N-S Chart) and tabular tools (Decision Tables), when the problem size is smaller and the users are technically (computer) oriented. The tabular tools (Decision Tables) are b"&amp;"etter than graphical tools and textual tools, when the problem is moderately large and the users are non-technically (management) oriented. © 1995.")</f>
        <v>Process tools are used during Systems Analysis to describe the process logic of bubbles in Data Flow Diagrams. We conducted two experiments to determine the relative merits of three process tools: Structured English from textual tool category; Decision Tables from tabular tool category; and Nassi-Schneiderman Charts from graphical tool category. We measured three performance types: tool-based comprehension to find understandability of the information in the tool itself; context-based comprehension to find understandability of information in the tool in combination with the information in the rest of structured specification; and the time of comprehension. Unlike most previous research that show graphical tools are the best, our results are different. We show that textual tools (Structured English) are better than both graphical tools (N-S Chart) and tabular tools (Decision Tables), when the problem size is smaller and the users are technically (computer) oriented. The tabular tools (Decision Tables) are better than graphical tools and textual tools, when the problem is moderately large and the users are non-technically (management) oriented. © 1995.</v>
      </c>
      <c r="H634" s="8" t="str">
        <f>IFERROR(__xludf.DUMMYFUNCTION("""COMPUTED_VALUE"""),"data flow diagrams; decision tables; N-S charts; structured English; systems analysis")</f>
        <v>data flow diagrams; decision tables; N-S charts; structured English; systems analysis</v>
      </c>
      <c r="I634" s="9" t="b">
        <v>1</v>
      </c>
      <c r="J634" s="10" t="b">
        <v>0</v>
      </c>
      <c r="K634" s="9" t="b">
        <v>1</v>
      </c>
      <c r="L634" s="10" t="b">
        <v>0</v>
      </c>
      <c r="M634" s="10" t="b">
        <v>0</v>
      </c>
      <c r="N634" s="10" t="b">
        <v>0</v>
      </c>
      <c r="O634" s="11" t="b">
        <f t="shared" si="1"/>
        <v>0</v>
      </c>
      <c r="P634" s="16" t="b">
        <v>0</v>
      </c>
      <c r="Q634" s="7"/>
    </row>
    <row r="635">
      <c r="A635" s="5" t="b">
        <v>1</v>
      </c>
      <c r="B635" s="5" t="s">
        <v>678</v>
      </c>
      <c r="C635" s="6" t="str">
        <f>IFERROR(__xludf.DUMMYFUNCTION("""COMPUTED_VALUE"""),"10.1016/j.infsof.2004.04.003")</f>
        <v>10.1016/j.infsof.2004.04.003</v>
      </c>
      <c r="D635" s="7" t="str">
        <f>IFERROR(__xludf.DUMMYFUNCTION("""COMPUTED_VALUE"""),"Snook C.F.; Harrison R.")</f>
        <v>Snook C.F.; Harrison R.</v>
      </c>
      <c r="E635" s="7" t="str">
        <f>IFERROR(__xludf.DUMMYFUNCTION("""COMPUTED_VALUE"""),"Experimental comparison of the comprehensibility of a Z specification and its implementation in Java")</f>
        <v>Experimental comparison of the comprehensibility of a Z specification and its implementation in Java</v>
      </c>
      <c r="F635" s="7" t="str">
        <f>IFERROR(__xludf.DUMMYFUNCTION("""COMPUTED_VALUE"""),"IST")</f>
        <v>IST</v>
      </c>
      <c r="G635" s="7" t="str">
        <f>IFERROR(__xludf.DUMMYFUNCTION("""COMPUTED_VALUE"""),"Comprehensibility is often raised as a problem with formal notations, yet formal methods practitioners dispute this. In a survey, one interviewee said 'formal specifications are no more difficult to understand than code'. Measurement of comprehension is n"&amp;"ecessarily comparative and a useful comparison for a specification is against its implementation. Practitioners have an intuitive feel for the comprehension of code. A quantified comparison will transfer this feeling to formal specifications. We performed"&amp;" an experiment to compare the comprehension of a Z specification with that of its implementation in Java. The results indicate there is little difference in comprehensibility between the two. © 2004 Elsevier B.V. All rights reserved.")</f>
        <v>Comprehensibility is often raised as a problem with formal notations, yet formal methods practitioners dispute this. In a survey, one interviewee said 'formal specifications are no more difficult to understand than code'. Measurement of comprehension is necessarily comparative and a useful comparison for a specification is against its implementation. Practitioners have an intuitive feel for the comprehension of code. A quantified comparison will transfer this feeling to formal specifications. We performed an experiment to compare the comprehension of a Z specification with that of its implementation in Java. The results indicate there is little difference in comprehensibility between the two. © 2004 Elsevier B.V. All rights reserved.</v>
      </c>
      <c r="H635" s="8" t="str">
        <f>IFERROR(__xludf.DUMMYFUNCTION("""COMPUTED_VALUE"""),"Comprehension; Empirical assessment; Formal Specification")</f>
        <v>Comprehension; Empirical assessment; Formal Specification</v>
      </c>
      <c r="I635" s="9" t="b">
        <v>1</v>
      </c>
      <c r="J635" s="10" t="b">
        <v>0</v>
      </c>
      <c r="K635" s="9" t="b">
        <v>1</v>
      </c>
      <c r="L635" s="10" t="b">
        <v>0</v>
      </c>
      <c r="M635" s="10" t="b">
        <v>0</v>
      </c>
      <c r="N635" s="10" t="b">
        <v>0</v>
      </c>
      <c r="O635" s="11" t="b">
        <f t="shared" si="1"/>
        <v>0</v>
      </c>
      <c r="P635" s="16" t="b">
        <v>0</v>
      </c>
      <c r="Q635" s="7"/>
    </row>
    <row r="636">
      <c r="A636" s="5" t="b">
        <v>1</v>
      </c>
      <c r="B636" s="5" t="s">
        <v>679</v>
      </c>
      <c r="C636" s="6" t="str">
        <f>IFERROR(__xludf.DUMMYFUNCTION("""COMPUTED_VALUE"""),"10.1016/j.infsof.2010.05.004")</f>
        <v>10.1016/j.infsof.2010.05.004</v>
      </c>
      <c r="D636" s="7" t="str">
        <f>IFERROR(__xludf.DUMMYFUNCTION("""COMPUTED_VALUE"""),"Ampatzoglou A.; Stamelos I.")</f>
        <v>Ampatzoglou A.; Stamelos I.</v>
      </c>
      <c r="E636" s="7" t="str">
        <f>IFERROR(__xludf.DUMMYFUNCTION("""COMPUTED_VALUE"""),"Software engineering research for computer games: A systematic review")</f>
        <v>Software engineering research for computer games: A systematic review</v>
      </c>
      <c r="F636" s="7" t="str">
        <f>IFERROR(__xludf.DUMMYFUNCTION("""COMPUTED_VALUE"""),"IST")</f>
        <v>IST</v>
      </c>
      <c r="G636" s="7" t="str">
        <f>IFERROR(__xludf.DUMMYFUNCTION("""COMPUTED_VALUE"""),"Context: Currently, computer game development is one of the fastest growing industries in the worldwide economy. In addition to that, computer games are rapidly evolving in the sense that newer game versions arrive in a very short interval. Thus, software"&amp;" engineering techniques are needed for game development in order to achieve greater flexibility and maintainability, less cost and effort, better design, etc. In addition, games present several characteristics that differentiate their development from cla"&amp;"ssical software development. Objective: This study aims to assess the state of the art on research concerning software engineering for computer games and discuss possible important areas for future research. Method: We employed a standard methodology for "&amp;"systematic literature reviews using four well known digital libraries. Results: Software engineering for computer games is a research domain that has doubled its research activity during the last 5 years. The dominant research topic has proven to be requi"&amp;"rements engineering, while topics such as software verification and maintenance have been neglected up to now. Conclusion: The results of the study suggest that software engineering for computer games is a field that embraces many techniques and methods f"&amp;"rom conventional software engineering and adapts them so as to fit the specific requirements of game development. In addition to that, the study proposes the employment of more elaborate empirical methods, i.e. controlled experiments and case studies, in "&amp;"game software engineering research, which, have not been extensively used up to now. © 2010 Elsevier B.V. All rights reserved.")</f>
        <v>Context: Currently, computer game development is one of the fastest growing industries in the worldwide economy. In addition to that, computer games are rapidly evolving in the sense that newer game versions arrive in a very short interval. Thus, software engineering techniques are needed for game development in order to achieve greater flexibility and maintainability, less cost and effort, better design, etc. In addition, games present several characteristics that differentiate their development from classical software development. Objective: This study aims to assess the state of the art on research concerning software engineering for computer games and discuss possible important areas for future research. Method: We employed a standard methodology for systematic literature reviews using four well known digital libraries. Results: Software engineering for computer games is a research domain that has doubled its research activity during the last 5 years. The dominant research topic has proven to be requirements engineering, while topics such as software verification and maintenance have been neglected up to now. Conclusion: The results of the study suggest that software engineering for computer games is a field that embraces many techniques and methods from conventional software engineering and adapts them so as to fit the specific requirements of game development. In addition to that, the study proposes the employment of more elaborate empirical methods, i.e. controlled experiments and case studies, in game software engineering research, which, have not been extensively used up to now. © 2010 Elsevier B.V. All rights reserved.</v>
      </c>
      <c r="H636" s="8" t="str">
        <f>IFERROR(__xludf.DUMMYFUNCTION("""COMPUTED_VALUE"""),"Computer games; Software engineering; Systematic review")</f>
        <v>Computer games; Software engineering; Systematic review</v>
      </c>
      <c r="I636" s="10" t="b">
        <v>0</v>
      </c>
      <c r="J636" s="10" t="b">
        <v>0</v>
      </c>
      <c r="K636" s="10" t="b">
        <v>0</v>
      </c>
      <c r="L636" s="10" t="b">
        <v>0</v>
      </c>
      <c r="M636" s="10" t="b">
        <v>0</v>
      </c>
      <c r="N636" s="10" t="b">
        <v>0</v>
      </c>
      <c r="O636" s="11" t="b">
        <f t="shared" si="1"/>
        <v>0</v>
      </c>
      <c r="P636" s="16" t="b">
        <v>0</v>
      </c>
      <c r="Q636" s="7"/>
    </row>
    <row r="637">
      <c r="A637" s="5" t="b">
        <v>1</v>
      </c>
      <c r="B637" s="5" t="s">
        <v>680</v>
      </c>
      <c r="C637" s="6" t="str">
        <f>IFERROR(__xludf.DUMMYFUNCTION("""COMPUTED_VALUE"""),"10.1016/j.infsof.2006.06.007")</f>
        <v>10.1016/j.infsof.2006.06.007</v>
      </c>
      <c r="D637" s="7" t="str">
        <f>IFERROR(__xludf.DUMMYFUNCTION("""COMPUTED_VALUE"""),"Li J.J.; Weiss D.; Yee H.")</f>
        <v>Li J.J.; Weiss D.; Yee H.</v>
      </c>
      <c r="E637" s="7" t="str">
        <f>IFERROR(__xludf.DUMMYFUNCTION("""COMPUTED_VALUE"""),"Code-coverage guided prioritized test generation")</f>
        <v>Code-coverage guided prioritized test generation</v>
      </c>
      <c r="F637" s="7" t="str">
        <f>IFERROR(__xludf.DUMMYFUNCTION("""COMPUTED_VALUE"""),"IST")</f>
        <v>IST</v>
      </c>
      <c r="G637" s="7" t="str">
        <f>IFERROR(__xludf.DUMMYFUNCTION("""COMPUTED_VALUE"""),"Most automatic test generation research focuses on generation of test data from pre-selected program paths or input domains or program specifications. This paper presents a methodology for a full solution to code-coverage-based test case generation, which"&amp;" includes code coverage-based path selection, test data generation and actual test case representation in program's original languages. We implemented this method in an automatic testing framework, eXVantage. Experimental results and industrial trials sho"&amp;"w that the framework is able to generate tests to achieve program line coverage from 20% to 98% with reduced overall testing effort. Our major contributions include an innovative coverage-based program prioritization algorithm, a novel path selection algo"&amp;"rithm that takes into consideration program priority and functional calling relationship, and a constraint solver for test data generation that derives constraints from bytecode and solves complex constraints involving strings and dynamic objects. © 2006 "&amp;"Elsevier B.V. All rights reserved.")</f>
        <v>Most automatic test generation research focuses on generation of test data from pre-selected program paths or input domains or program specifications. This paper presents a methodology for a full solution to code-coverage-based test case generation, which includes code coverage-based path selection, test data generation and actual test case representation in program's original languages. We implemented this method in an automatic testing framework, eXVantage. Experimental results and industrial trials show that the framework is able to generate tests to achieve program line coverage from 20% to 98% with reduced overall testing effort. Our major contributions include an innovative coverage-based program prioritization algorithm, a novel path selection algorithm that takes into consideration program priority and functional calling relationship, and a constraint solver for test data generation that derives constraints from bytecode and solves complex constraints involving strings and dynamic objects. © 2006 Elsevier B.V. All rights reserved.</v>
      </c>
      <c r="H637" s="8" t="str">
        <f>IFERROR(__xludf.DUMMYFUNCTION("""COMPUTED_VALUE"""),"Code-coverage; Constraint solver; Test generation")</f>
        <v>Code-coverage; Constraint solver; Test generation</v>
      </c>
      <c r="I637" s="10" t="b">
        <v>0</v>
      </c>
      <c r="J637" s="10" t="b">
        <v>0</v>
      </c>
      <c r="K637" s="10" t="b">
        <v>0</v>
      </c>
      <c r="L637" s="10" t="b">
        <v>0</v>
      </c>
      <c r="M637" s="10" t="b">
        <v>0</v>
      </c>
      <c r="N637" s="10" t="b">
        <v>0</v>
      </c>
      <c r="O637" s="11" t="b">
        <f t="shared" si="1"/>
        <v>0</v>
      </c>
      <c r="P637" s="16" t="b">
        <v>0</v>
      </c>
      <c r="Q637" s="7"/>
    </row>
    <row r="638">
      <c r="A638" s="5" t="b">
        <v>1</v>
      </c>
      <c r="B638" s="5" t="s">
        <v>681</v>
      </c>
      <c r="C638" s="6" t="str">
        <f>IFERROR(__xludf.DUMMYFUNCTION("""COMPUTED_VALUE"""),"10.1016/S0950-5849(02)00158-1")</f>
        <v>10.1016/S0950-5849(02)00158-1</v>
      </c>
      <c r="D638" s="7" t="str">
        <f>IFERROR(__xludf.DUMMYFUNCTION("""COMPUTED_VALUE"""),"Nanopoulos A.; Zakrzewicz M.; Morzy T.; Manolopoulos Y.")</f>
        <v>Nanopoulos A.; Zakrzewicz M.; Morzy T.; Manolopoulos Y.</v>
      </c>
      <c r="E638" s="7" t="str">
        <f>IFERROR(__xludf.DUMMYFUNCTION("""COMPUTED_VALUE"""),"Efficient storage and querying of sequential patterns in database systems")</f>
        <v>Efficient storage and querying of sequential patterns in database systems</v>
      </c>
      <c r="F638" s="7" t="str">
        <f>IFERROR(__xludf.DUMMYFUNCTION("""COMPUTED_VALUE"""),"IST")</f>
        <v>IST</v>
      </c>
      <c r="G638" s="7" t="str">
        <f>IFERROR(__xludf.DUMMYFUNCTION("""COMPUTED_VALUE"""),"The number of patterns discovered by data mining can become tremendous, in some cases exceeding the size of the original database. Therefore, there is a requirement for querying previously generated mining results or for querying the database against disc"&amp;"overed patters. In this paper, we focus on developing methods for the storage and querying of large collections of sequential patterns. We describe a family of algorithms, which address the problem of considering the ordering among elements, that is cruci"&amp;"al when dealing with sequential patterns. Moreover, we take into account the fact that the distribution of elements within sequential patterns is highly skewed, to propose a novel approach for the effective encoding of patterns. Experimental results, whic"&amp;"h examine a variety of factors, illustrate the efficiency of the proposed method. © 2002 Elsevier Science B.V. All rights reserved.")</f>
        <v>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 © 2002 Elsevier Science B.V. All rights reserved.</v>
      </c>
      <c r="H638" s="8" t="str">
        <f>IFERROR(__xludf.DUMMYFUNCTION("""COMPUTED_VALUE"""),"Pattern post-processing; Persistency signatures; Sequential patterns")</f>
        <v>Pattern post-processing; Persistency signatures; Sequential patterns</v>
      </c>
      <c r="I638" s="10" t="b">
        <v>0</v>
      </c>
      <c r="J638" s="10" t="b">
        <v>0</v>
      </c>
      <c r="K638" s="10" t="b">
        <v>0</v>
      </c>
      <c r="L638" s="10" t="b">
        <v>0</v>
      </c>
      <c r="M638" s="10" t="b">
        <v>0</v>
      </c>
      <c r="N638" s="10" t="b">
        <v>0</v>
      </c>
      <c r="O638" s="11" t="b">
        <f t="shared" si="1"/>
        <v>0</v>
      </c>
      <c r="P638" s="16" t="b">
        <v>0</v>
      </c>
      <c r="Q638" s="7"/>
    </row>
    <row r="639">
      <c r="A639" s="5" t="b">
        <v>1</v>
      </c>
      <c r="B639" s="5" t="s">
        <v>682</v>
      </c>
      <c r="C639" s="6" t="str">
        <f>IFERROR(__xludf.DUMMYFUNCTION("""COMPUTED_VALUE"""),"10.1016/0950-5849(95)01062-9")</f>
        <v>10.1016/0950-5849(95)01062-9</v>
      </c>
      <c r="D639" s="7" t="str">
        <f>IFERROR(__xludf.DUMMYFUNCTION("""COMPUTED_VALUE"""),"Termsinsuwan P.; Cheng Z.; Shiratori N.")</f>
        <v>Termsinsuwan P.; Cheng Z.; Shiratori N.</v>
      </c>
      <c r="E639" s="7" t="str">
        <f>IFERROR(__xludf.DUMMYFUNCTION("""COMPUTED_VALUE"""),"A new approach to ADT specification support based on reuse of similar ADT by the application of Case-Based Reasoning")</f>
        <v>A new approach to ADT specification support based on reuse of similar ADT by the application of Case-Based Reasoning</v>
      </c>
      <c r="F639" s="7" t="str">
        <f>IFERROR(__xludf.DUMMYFUNCTION("""COMPUTED_VALUE"""),"IST")</f>
        <v>IST</v>
      </c>
      <c r="G639" s="7" t="str">
        <f>IFERROR(__xludf.DUMMYFUNCTION("""COMPUTED_VALUE"""),"Abstract Data Type (ADT) is a powerful tool having a very good mathematic basis called many-sorted algebra and is also combined into several Formal Description Techniques (FDTs). By using ADT, a protocol or a software system can be specified in a very abs"&amp;"tract way. It also facilitates the verification and validation of the specified system. However, in practice ADT is rarely used because it is difficult for a non-ADT expert to specify. As a consequence of this, in order to promote the widespread use of AD"&amp;"T and FDT, a support method for ADT specification is necessary. Unfortunately, there is almost no such a support method so far. We propose an ADT specification support method in terms of support system based on Case-Based Reasoning (CBR) which is a kind o"&amp;"f problem solving by reusing solutions of the existing similar problem with some appropriate modifications. CBR has been used in some researches. But there is no research which uses this technique for ADT specification support so far. The support system c"&amp;"an ease the specification of ADT and prevent the user from spending too much time and effort in specifying the whole ADT from the beginning. Our support system consists of four parts: (1) Case base of ADTs; (2) Requirement Acquisition Template; (3) Search"&amp;" mechanism for finding the most similar case in (1); (4) Modifier for modifying the retrieved case to meet the requirement of user. Among these parts, the core of the support system is the search mechanism which is based on the definition of similarity of"&amp;" ADTs. In this paper, we first propose an ADT specification model which defines a data carrier part of an ADT as a combination of constructors of four patterns. Based on the specification model, a similarity definition is given. Furthermore, we have desig"&amp;"ned the support system. Finally, in order to evaluate the effectiveness of the system, we experimented with data types of service and protocol in the data communication field. From the evaluation, the effectiveness of the system is ensured.")</f>
        <v>Abstract Data Type (ADT) is a powerful tool having a very good mathematic basis called many-sorted algebra and is also combined into several Formal Description Techniques (FDTs). By using ADT, a protocol or a software system can be specified in a very abstract way. It also facilitates the verification and validation of the specified system. However, in practice ADT is rarely used because it is difficult for a non-ADT expert to specify. As a consequence of this, in order to promote the widespread use of ADT and FDT, a support method for ADT specification is necessary. Unfortunately, there is almost no such a support method so far. We propose an ADT specification support method in terms of support system based on Case-Based Reasoning (CBR) which is a kind of problem solving by reusing solutions of the existing similar problem with some appropriate modifications. CBR has been used in some researches. But there is no research which uses this technique for ADT specification support so far. The support system can ease the specification of ADT and prevent the user from spending too much time and effort in specifying the whole ADT from the beginning. Our support system consists of four parts: (1) Case base of ADTs; (2) Requirement Acquisition Template; (3) Search mechanism for finding the most similar case in (1); (4) Modifier for modifying the retrieved case to meet the requirement of user. Among these parts, the core of the support system is the search mechanism which is based on the definition of similarity of ADTs. In this paper, we first propose an ADT specification model which defines a data carrier part of an ADT as a combination of constructors of four patterns. Based on the specification model, a similarity definition is given. Furthermore, we have designed the support system. Finally, in order to evaluate the effectiveness of the system, we experimented with data types of service and protocol in the data communication field. From the evaluation, the effectiveness of the system is ensured.</v>
      </c>
      <c r="H639" s="8" t="str">
        <f>IFERROR(__xludf.DUMMYFUNCTION("""COMPUTED_VALUE"""),"ADT; Communication software; FDT; LOTOS; Specification of communication protocols")</f>
        <v>ADT; Communication software; FDT; LOTOS; Specification of communication protocols</v>
      </c>
      <c r="I639" s="10" t="b">
        <v>0</v>
      </c>
      <c r="J639" s="10" t="b">
        <v>0</v>
      </c>
      <c r="K639" s="10" t="b">
        <v>0</v>
      </c>
      <c r="L639" s="10" t="b">
        <v>0</v>
      </c>
      <c r="M639" s="10" t="b">
        <v>0</v>
      </c>
      <c r="N639" s="10" t="b">
        <v>0</v>
      </c>
      <c r="O639" s="11" t="b">
        <f t="shared" si="1"/>
        <v>0</v>
      </c>
      <c r="P639" s="16" t="b">
        <v>0</v>
      </c>
      <c r="Q639" s="7"/>
    </row>
    <row r="640">
      <c r="A640" s="5" t="b">
        <v>1</v>
      </c>
      <c r="B640" s="5" t="s">
        <v>683</v>
      </c>
      <c r="C640" s="6" t="str">
        <f>IFERROR(__xludf.DUMMYFUNCTION("""COMPUTED_VALUE"""),"10.1016/j.infsof.2011.12.004")</f>
        <v>10.1016/j.infsof.2011.12.004</v>
      </c>
      <c r="D640" s="7" t="str">
        <f>IFERROR(__xludf.DUMMYFUNCTION("""COMPUTED_VALUE"""),"Ronald N.; Dignum V.; Jonker C.; Arentze T.; Timmermans H.")</f>
        <v>Ronald N.; Dignum V.; Jonker C.; Arentze T.; Timmermans H.</v>
      </c>
      <c r="E640" s="7" t="str">
        <f>IFERROR(__xludf.DUMMYFUNCTION("""COMPUTED_VALUE"""),"On the engineering of agent-based simulations of social activities with social networks")</f>
        <v>On the engineering of agent-based simulations of social activities with social networks</v>
      </c>
      <c r="F640" s="7" t="str">
        <f>IFERROR(__xludf.DUMMYFUNCTION("""COMPUTED_VALUE"""),"IST")</f>
        <v>IST</v>
      </c>
      <c r="G640" s="7" t="str">
        <f>IFERROR(__xludf.DUMMYFUNCTION("""COMPUTED_VALUE"""),"Context: Models of how people move around cities play a role in making decisions about urban and land-use planning. Previous models have been based on space and time, and have neglected the social aspect of travel. Recent work on agent-based modelling sho"&amp;"ws promise as a new approach, especially for models with both social and spatial elements. Objective: This paper demonstrates the design and implementation of an agent-based model of social activity generation and scheduling for experimental purposes to e"&amp;"xplore the effects of social space in addition to physical space. As a side-effect, the paper discusses the need for and requirements on structured design of agent-based models and simulations. Method: Model design was based on the MASQ meta-model and imp"&amp;"lemented in Python. The model was then tested against several hypotheses with several initial networks. Results: The model allowed us to investigate the effects of social networks. We found that the model was most sensitive to the pair attributes of the n"&amp;"etwork, rather than the global or personal attributes. Conclusion: As demonstrated, a structured approach to model development is important in order to be able to understand and apply the results, and for the model to be extensible in the future. Agent-ba"&amp;"sed modelling approaches allow for inclusion of social elements. For models incorporating social networks, testing the sensitivity to the initial network is important to ensure the model performs as expected. © 2012 Elsevier B.V. All rights reserved.")</f>
        <v>Context: Models of how people move around cities play a role in making decisions about urban and land-use planning. Previous models have been based on space and time, and have neglected the social aspect of travel. Recent work on agent-based modelling shows promise as a new approach, especially for models with both social and spatial elements. Objective: This paper demonstrates the design and implementation of an agent-based model of social activity generation and scheduling for experimental purposes to explore the effects of social space in addition to physical space. As a side-effect, the paper discusses the need for and requirements on structured design of agent-based models and simulations. Method: Model design was based on the MASQ meta-model and implemented in Python. The model was then tested against several hypotheses with several initial networks. Results: The model allowed us to investigate the effects of social networks. We found that the model was most sensitive to the pair attributes of the network, rather than the global or personal attributes. Conclusion: As demonstrated, a structured approach to model development is important in order to be able to understand and apply the results, and for the model to be extensible in the future. Agent-based modelling approaches allow for inclusion of social elements. For models incorporating social networks, testing the sensitivity to the initial network is important to ensure the model performs as expected. © 2012 Elsevier B.V. All rights reserved.</v>
      </c>
      <c r="H640" s="8" t="str">
        <f>IFERROR(__xludf.DUMMYFUNCTION("""COMPUTED_VALUE"""),"Activity-travel modelling; Agent-based modelling; Agent-oriented software engineering; Social network modelling")</f>
        <v>Activity-travel modelling; Agent-based modelling; Agent-oriented software engineering; Social network modelling</v>
      </c>
      <c r="I640" s="10" t="b">
        <v>0</v>
      </c>
      <c r="J640" s="10" t="b">
        <v>0</v>
      </c>
      <c r="K640" s="10" t="b">
        <v>0</v>
      </c>
      <c r="L640" s="10" t="b">
        <v>0</v>
      </c>
      <c r="M640" s="10" t="b">
        <v>0</v>
      </c>
      <c r="N640" s="10" t="b">
        <v>0</v>
      </c>
      <c r="O640" s="11" t="b">
        <f t="shared" si="1"/>
        <v>0</v>
      </c>
      <c r="P640" s="16" t="b">
        <v>0</v>
      </c>
      <c r="Q640" s="7"/>
    </row>
    <row r="641">
      <c r="A641" s="5" t="b">
        <v>1</v>
      </c>
      <c r="B641" s="5" t="s">
        <v>684</v>
      </c>
      <c r="C641" s="6" t="str">
        <f>IFERROR(__xludf.DUMMYFUNCTION("""COMPUTED_VALUE"""),"10.1016/s0950-5849(97)00035-9")</f>
        <v>10.1016/s0950-5849(97)00035-9</v>
      </c>
      <c r="D641" s="7" t="str">
        <f>IFERROR(__xludf.DUMMYFUNCTION("""COMPUTED_VALUE"""),"Kim S.-W.; Whang K.-Y.; Kim J.-H.")</f>
        <v>Kim S.-W.; Whang K.-Y.; Kim J.-H.</v>
      </c>
      <c r="E641" s="7" t="str">
        <f>IFERROR(__xludf.DUMMYFUNCTION("""COMPUTED_VALUE"""),"Linearity in directory growth of the multilevel grid file")</f>
        <v>Linearity in directory growth of the multilevel grid file</v>
      </c>
      <c r="F641" s="7" t="str">
        <f>IFERROR(__xludf.DUMMYFUNCTION("""COMPUTED_VALUE"""),"IST")</f>
        <v>IST</v>
      </c>
      <c r="G641" s="7" t="str">
        <f>IFERROR(__xludf.DUMMYFUNCTION("""COMPUTED_VALUE"""),"The multilevel grid file (MLGF) is a multidimensional dynamic hashed file organization. Asymptotic directory growth, defined as the growth of the directory as the data file expands, is an important factor for evaluating storage overhead of a multidimensio"&amp;"nal dynamic file organization. In this article we implement the MLGF and examine the growth of its directory. The concepts and the architecture of the MLGF were introduced in refs [1,2]. We argue that the asymptotic directory growth of the MLGF is linearl"&amp;"y dependent on the growth of the data file regardless of data distributions, data skew, or correlation among different organizing attributes. To justify this argument, we perform extensive experiments with various distributions of data: uniform, normal, a"&amp;"nd exponential distributions. We further perform experiments for more complicated cases where the distributions are highly-skewed or highly-correlated. The results show that the directory size of the MLGF increases linearly in the number of records indepe"&amp;"ndently of data distributions, data skew, or correlation, and the rates of increase are nearly constant in all cases. The results also show that both of the blocking factor and number of dimensions do not affect the linearity in directory growth of the ML"&amp;"GF. Such characteristics are important advantages of the MLGF in comparison with other multidimensional file organizations in that storage requirement for the directory is minimized, and splitting, merging, and hyperplane search operations are made easier"&amp;". © 1997 Elsevier Science B.V.")</f>
        <v>The multilevel grid file (MLGF) is a multidimensional dynamic hashed file organization. Asymptotic directory growth, defined as the growth of the directory as the data file expands, is an important factor for evaluating storage overhead of a multidimensional dynamic file organization. In this article we implement the MLGF and examine the growth of its directory. The concepts and the architecture of the MLGF were introduced in refs [1,2]. We argue that the asymptotic directory growth of the MLGF is linearly dependent on the growth of the data file regardless of data distributions, data skew, or correlation among different organizing attributes. To justify this argument, we perform extensive experiments with various distributions of data: uniform, normal, and exponential distributions. We further perform experiments for more complicated cases where the distributions are highly-skewed or highly-correlated. The results show that the directory size of the MLGF increases linearly in the number of records independently of data distributions, data skew, or correlation, and the rates of increase are nearly constant in all cases. The results also show that both of the blocking factor and number of dimensions do not affect the linearity in directory growth of the MLGF. Such characteristics are important advantages of the MLGF in comparison with other multidimensional file organizations in that storage requirement for the directory is minimized, and splitting, merging, and hyperplane search operations are made easier. © 1997 Elsevier Science B.V.</v>
      </c>
      <c r="H641" s="8" t="str">
        <f>IFERROR(__xludf.DUMMYFUNCTION("""COMPUTED_VALUE"""),"Asymptotic directory growth; Correlation; Data distributions; Data skew; Multi-attribute accesses; Multidimensional file organizations; Multilevel grid files")</f>
        <v>Asymptotic directory growth; Correlation; Data distributions; Data skew; Multi-attribute accesses; Multidimensional file organizations; Multilevel grid files</v>
      </c>
      <c r="I641" s="10" t="b">
        <v>0</v>
      </c>
      <c r="J641" s="10" t="b">
        <v>0</v>
      </c>
      <c r="K641" s="10" t="b">
        <v>0</v>
      </c>
      <c r="L641" s="10" t="b">
        <v>0</v>
      </c>
      <c r="M641" s="10" t="b">
        <v>0</v>
      </c>
      <c r="N641" s="10" t="b">
        <v>0</v>
      </c>
      <c r="O641" s="11" t="b">
        <f t="shared" si="1"/>
        <v>0</v>
      </c>
      <c r="P641" s="16" t="b">
        <v>0</v>
      </c>
      <c r="Q641" s="7"/>
    </row>
    <row r="642">
      <c r="A642" s="5" t="b">
        <v>1</v>
      </c>
      <c r="B642" s="5" t="s">
        <v>685</v>
      </c>
      <c r="C642" s="6" t="str">
        <f>IFERROR(__xludf.DUMMYFUNCTION("""COMPUTED_VALUE"""),"10.1016/j.infsof.2012.01.009")</f>
        <v>10.1016/j.infsof.2012.01.009</v>
      </c>
      <c r="D642" s="7" t="str">
        <f>IFERROR(__xludf.DUMMYFUNCTION("""COMPUTED_VALUE"""),"Spínola R.O.; Travassos G.H.")</f>
        <v>Spínola R.O.; Travassos G.H.</v>
      </c>
      <c r="E642" s="7" t="str">
        <f>IFERROR(__xludf.DUMMYFUNCTION("""COMPUTED_VALUE"""),"Towards a framework to characterize ubiquitous software projects")</f>
        <v>Towards a framework to characterize ubiquitous software projects</v>
      </c>
      <c r="F642" s="7" t="str">
        <f>IFERROR(__xludf.DUMMYFUNCTION("""COMPUTED_VALUE"""),"IST")</f>
        <v>IST</v>
      </c>
      <c r="G642" s="7" t="str">
        <f>IFERROR(__xludf.DUMMYFUNCTION("""COMPUTED_VALUE"""),"Context: Ubiquitous Computing (or UbiComp) represents a paradigm in which information processing is thoroughly integrated into everyday objects and activities. From a Software Engineering point of view this development scenario brings new challenges in ta"&amp;"iloring or building software processes, impacting current software technologies. However, it has not yet been explicitly shown how to characterize a software project with the perception of ubiquitous computing. Objective: This paper presents a conceptual "&amp;"framework to support the characterization of ubiquitous software projects according to their ubiquity adherence level. It also intends to apply such characterization approach to some projects, aiming at observing their adherence with ubiquitous computing "&amp;"principles. Method: To follow a research strategy based on systematic reviews and surveys to acquire UbiComp knowledge and organize a conceptual framework regarding ubiquitous computing, which can be used to characterize UbiComp software projects. Besides"&amp;", to demonstrate its application by characterizing some software projects. Results: Ubiquitous computing encapsulates at least 11 different high abstraction level characteristics represented by 123 functional and 45 restrictive factors. Based on this a ch"&amp;"ecklist was organized to allow the characterization of ubiquitous software projects, which has been applied on 26 ubiquitous software projects from four different application domains (ambient intelligence, pervasive healthcare, U-learning, and urban space"&amp;"). No project demonstrated to support more than 65% of the characteristics set. Service omnipresence was observed in all of these projects. However, some characteristics, although identified as necessary in the checklist, were not identified in any of the"&amp;"m. Conclusion: There are characteristics that identify a software project as ubiquitous. However, a ubiquitous software project does not necessarily have to implement all of them. The application domain can influence the appearing of UbiComp characteristi"&amp;"cs in software projects, promoting an increase of their adherence to UbiComp and, thus, for additional software technologies to deal with these ubiquitous requirements. © 2012 Elsevier B.V. All rights reserved.")</f>
        <v>Context: Ubiquitous Computing (or UbiComp) represents a paradigm in which information processing is thoroughly integrated into everyday objects and activities. From a Software Engineering point of view this development scenario brings new challenges in tailoring or building software processes, impacting current software technologies. However, it has not yet been explicitly shown how to characterize a software project with the perception of ubiquitous computing. Objective: This paper presents a conceptual framework to support the characterization of ubiquitous software projects according to their ubiquity adherence level. It also intends to apply such characterization approach to some projects, aiming at observing their adherence with ubiquitous computing principles. Method: To follow a research strategy based on systematic reviews and surveys to acquire UbiComp knowledge and organize a conceptual framework regarding ubiquitous computing, which can be used to characterize UbiComp software projects. Besides, to demonstrate its application by characterizing some software projects. Results: Ubiquitous computing encapsulates at least 11 different high abstraction level characteristics represented by 123 functional and 45 restrictive factors. Based on this a checklist was organized to allow the characterization of ubiquitous software projects, which has been applied on 26 ubiquitous software projects from four different application domains (ambient intelligence, pervasive healthcare, U-learning, and urban space). No project demonstrated to support more than 65% of the characteristics set. Service omnipresence was observed in all of these projects. However, some characteristics, although identified as necessary in the checklist, were not identified in any of them. Conclusion: There are characteristics that identify a software project as ubiquitous. However, a ubiquitous software project does not necessarily have to implement all of them. The application domain can influence the appearing of UbiComp characteristics in software projects, promoting an increase of their adherence to UbiComp and, thus, for additional software technologies to deal with these ubiquitous requirements. © 2012 Elsevier B.V. All rights reserved.</v>
      </c>
      <c r="H642" s="8" t="str">
        <f>IFERROR(__xludf.DUMMYFUNCTION("""COMPUTED_VALUE"""),"Experimental software engineering; Software projects characterization; Systematic review; Ubiquitous computing")</f>
        <v>Experimental software engineering; Software projects characterization; Systematic review; Ubiquitous computing</v>
      </c>
      <c r="I642" s="10" t="b">
        <v>0</v>
      </c>
      <c r="J642" s="10" t="b">
        <v>0</v>
      </c>
      <c r="K642" s="10" t="b">
        <v>0</v>
      </c>
      <c r="L642" s="10" t="b">
        <v>0</v>
      </c>
      <c r="M642" s="10" t="b">
        <v>0</v>
      </c>
      <c r="N642" s="10" t="b">
        <v>0</v>
      </c>
      <c r="O642" s="11" t="b">
        <f t="shared" si="1"/>
        <v>0</v>
      </c>
      <c r="P642" s="16" t="b">
        <v>0</v>
      </c>
      <c r="Q642" s="7"/>
    </row>
    <row r="643">
      <c r="A643" s="5" t="b">
        <v>1</v>
      </c>
      <c r="B643" s="5" t="s">
        <v>686</v>
      </c>
      <c r="C643" s="6" t="str">
        <f>IFERROR(__xludf.DUMMYFUNCTION("""COMPUTED_VALUE"""),"10.1016/j.infsof.2008.01.007")</f>
        <v>10.1016/j.infsof.2008.01.007</v>
      </c>
      <c r="D643" s="7" t="str">
        <f>IFERROR(__xludf.DUMMYFUNCTION("""COMPUTED_VALUE"""),"Ricca F.; Torchiano M.; Di Penta M.; Ceccato M.; Tonella P.")</f>
        <v>Ricca F.; Torchiano M.; Di Penta M.; Ceccato M.; Tonella P.</v>
      </c>
      <c r="E643" s="7" t="str">
        <f>IFERROR(__xludf.DUMMYFUNCTION("""COMPUTED_VALUE"""),"Using acceptance tests as a support for clarifying requirements: A series of experiments")</f>
        <v>Using acceptance tests as a support for clarifying requirements: A series of experiments</v>
      </c>
      <c r="F643" s="7" t="str">
        <f>IFERROR(__xludf.DUMMYFUNCTION("""COMPUTED_VALUE"""),"IST")</f>
        <v>IST</v>
      </c>
      <c r="G643" s="7" t="str">
        <f>IFERROR(__xludf.DUMMYFUNCTION("""COMPUTED_VALUE"""),"One of the main reasons for the failure of many software projects is the late discovery of a mismatch between the customers' expectations and the pieces of functionality implemented in the delivered system. At the root of such a mismatch is often a set of"&amp;" poorly defined, incomplete, under-specified, and inconsistent requirements. Test driven development has recently been proposed as a way to clarify requirements during the initial elicitation phase, by means of acceptance tests that specify the desired be"&amp;"havior of the system. The goal of the work reported in this paper is to empirically characterize the contribution of acceptance tests to the clarification of the requirements coming from the customer. We focused on Fit tables, a way to express acceptance "&amp;"tests, which can be automatically translated into executable test cases. We ran two experiments with students from University of Trento and Politecnico of Torino, to assess the impact of Fit tables on the clarity of requirements. We considered whether Fit"&amp;" tables actually improve requirement understanding and whether this requires any additional comprehension effort. Experimental results show that Fit helps in the understanding of requirements without requiring a significant additional effort. © 2008 Elsev"&amp;"ier B.V. All rights reserved.")</f>
        <v>One of the main reasons for the failure of many software projects is the late discovery of a mismatch between the customers' expectations and the pieces of functionality implemented in the delivered system. At the root of such a mismatch is often a set of poorly defined, incomplete, under-specified, and inconsistent requirements. Test driven development has recently been proposed as a way to clarify requirements during the initial elicitation phase, by means of acceptance tests that specify the desired behavior of the system. The goal of the work reported in this paper is to empirically characterize the contribution of acceptance tests to the clarification of the requirements coming from the customer. We focused on Fit tables, a way to express acceptance tests, which can be automatically translated into executable test cases. We ran two experiments with students from University of Trento and Politecnico of Torino, to assess the impact of Fit tables on the clarity of requirements. We considered whether Fit tables actually improve requirement understanding and whether this requires any additional comprehension effort. Experimental results show that Fit helps in the understanding of requirements without requiring a significant additional effort. © 2008 Elsevier B.V. All rights reserved.</v>
      </c>
      <c r="H643" s="8" t="str">
        <f>IFERROR(__xludf.DUMMYFUNCTION("""COMPUTED_VALUE"""),"Acceptance testing; Empirical studies; Fit tables; Requirements")</f>
        <v>Acceptance testing; Empirical studies; Fit tables; Requirements</v>
      </c>
      <c r="I643" s="9" t="b">
        <v>1</v>
      </c>
      <c r="J643" s="9" t="b">
        <v>1</v>
      </c>
      <c r="K643" s="9" t="b">
        <v>1</v>
      </c>
      <c r="L643" s="10" t="b">
        <v>0</v>
      </c>
      <c r="M643" s="10" t="b">
        <v>0</v>
      </c>
      <c r="N643" s="10" t="b">
        <v>0</v>
      </c>
      <c r="O643" s="11" t="b">
        <f t="shared" si="1"/>
        <v>1</v>
      </c>
      <c r="P643" s="16" t="b">
        <v>0</v>
      </c>
      <c r="Q643" s="7"/>
    </row>
    <row r="644">
      <c r="A644" s="5" t="b">
        <v>1</v>
      </c>
      <c r="B644" s="5" t="s">
        <v>687</v>
      </c>
      <c r="C644" s="6" t="str">
        <f>IFERROR(__xludf.DUMMYFUNCTION("""COMPUTED_VALUE"""),"10.1016/S0950-5849(01)00222-1")</f>
        <v>10.1016/S0950-5849(01)00222-1</v>
      </c>
      <c r="D644" s="7" t="str">
        <f>IFERROR(__xludf.DUMMYFUNCTION("""COMPUTED_VALUE"""),"Kobayashi N.; Tsuchiya T.; Kikuno T.")</f>
        <v>Kobayashi N.; Tsuchiya T.; Kikuno T.</v>
      </c>
      <c r="E644" s="7" t="str">
        <f>IFERROR(__xludf.DUMMYFUNCTION("""COMPUTED_VALUE"""),"Non-specification-based approaches to logic testing for software")</f>
        <v>Non-specification-based approaches to logic testing for software</v>
      </c>
      <c r="F644" s="7" t="str">
        <f>IFERROR(__xludf.DUMMYFUNCTION("""COMPUTED_VALUE"""),"IST")</f>
        <v>IST</v>
      </c>
      <c r="G644" s="7" t="str">
        <f>IFERROR(__xludf.DUMMYFUNCTION("""COMPUTED_VALUE"""),"Testing is a crucial part of the development of software systems. In this paper, we consider testing of an implementation that is intended to satisfy a Boolean formula. In the literature, specification-based testing has been suggested for this purpose. Ty"&amp;"pically, such methods first hypothesize a fault class and then generate tests. However, there is almost no research that justifies fault classes proposed previously. Moreover, specifications amenable to automatic test generation are not always available t"&amp;"o testers in practice. Based on these observations, we examine the applicability of non-specification-based approaches, which need no specification in the form of a Boolean formula to create tests. We compare a specification-based approach to three non-sp"&amp;"ecification-based approaches, namely, random testing, antirandom testing, and combinatorial testing. The results of an experiment show that combinatorial testing is often comparative to specification-based testing and is superior to both random testing an"&amp;"d antirandom testing. © 2002 Elsevier Science B.V. All rights reserved.")</f>
        <v>Testing is a crucial part of the development of software systems. In this paper, we consider testing of an implementation that is intended to satisfy a Boolean formula. In the literature, specification-based testing has been suggested for this purpose. Typically, such methods first hypothesize a fault class and then generate tests. However, there is almost no research that justifies fault classes proposed previously. Moreover, specifications amenable to automatic test generation are not always available to testers in practice. Based on these observations, we examine the applicability of non-specification-based approaches, which need no specification in the form of a Boolean formula to create tests. We compare a specification-based approach to three non-specification-based approaches, namely, random testing, antirandom testing, and combinatorial testing. The results of an experiment show that combinatorial testing is often comparative to specification-based testing and is superior to both random testing and antirandom testing. © 2002 Elsevier Science B.V. All rights reserved.</v>
      </c>
      <c r="H644" s="8" t="str">
        <f>IFERROR(__xludf.DUMMYFUNCTION("""COMPUTED_VALUE"""),"Black-box testing; Factor covering design; Finite field; Software testing")</f>
        <v>Black-box testing; Factor covering design; Finite field; Software testing</v>
      </c>
      <c r="I644" s="10" t="b">
        <v>0</v>
      </c>
      <c r="J644" s="10" t="b">
        <v>0</v>
      </c>
      <c r="K644" s="9" t="b">
        <v>1</v>
      </c>
      <c r="L644" s="10" t="b">
        <v>0</v>
      </c>
      <c r="M644" s="10" t="b">
        <v>0</v>
      </c>
      <c r="N644" s="10" t="b">
        <v>0</v>
      </c>
      <c r="O644" s="11" t="b">
        <f t="shared" si="1"/>
        <v>0</v>
      </c>
      <c r="P644" s="16" t="b">
        <v>0</v>
      </c>
      <c r="Q644" s="7"/>
    </row>
    <row r="645">
      <c r="A645" s="5" t="b">
        <v>1</v>
      </c>
      <c r="B645" s="5" t="s">
        <v>688</v>
      </c>
      <c r="C645" s="6" t="str">
        <f>IFERROR(__xludf.DUMMYFUNCTION("""COMPUTED_VALUE"""),"10.1016/S0950-5849(97)00019-0")</f>
        <v>10.1016/S0950-5849(97)00019-0</v>
      </c>
      <c r="D645" s="7" t="str">
        <f>IFERROR(__xludf.DUMMYFUNCTION("""COMPUTED_VALUE"""),"Feijs L.")</f>
        <v>Feijs L.</v>
      </c>
      <c r="E645" s="7" t="str">
        <f>IFERROR(__xludf.DUMMYFUNCTION("""COMPUTED_VALUE"""),"Synchronous sequence charts in action")</f>
        <v>Synchronous sequence charts in action</v>
      </c>
      <c r="F645" s="7" t="str">
        <f>IFERROR(__xludf.DUMMYFUNCTION("""COMPUTED_VALUE"""),"IST")</f>
        <v>IST</v>
      </c>
      <c r="G645" s="7" t="str">
        <f>IFERROR(__xludf.DUMMYFUNCTION("""COMPUTED_VALUE"""),"We identify a number of styles for using Interworkings (synchronous sequence charts), together with their roles in the context of the OSI reference model. We employ the well-known ABP (alternating bit protocol) to see how Interworkings can and cannot be u"&amp;"sed. This experiment shows that the charts are attractive from an intuitive point of view, but when used in their purest form, lack sufficient expressive power. Some of the distinctions in style can be interpreted as distinct approaches to adding expressi"&amp;"ve power. © 1997 Elsevier Science B.V.")</f>
        <v>We identify a number of styles for using Interworkings (synchronous sequence charts), together with their roles in the context of the OSI reference model. We employ the well-known ABP (alternating bit protocol) to see how Interworkings can and cannot be used. This experiment shows that the charts are attractive from an intuitive point of view, but when used in their purest form, lack sufficient expressive power. Some of the distinctions in style can be interpreted as distinct approaches to adding expressive power. © 1997 Elsevier Science B.V.</v>
      </c>
      <c r="H645" s="8" t="str">
        <f>IFERROR(__xludf.DUMMYFUNCTION("""COMPUTED_VALUE"""),"Algebraic language theory; Distributed applications; Electronic mail; Methodologies; Representation; Specification techniques; Very high-level languages")</f>
        <v>Algebraic language theory; Distributed applications; Electronic mail; Methodologies; Representation; Specification techniques; Very high-level languages</v>
      </c>
      <c r="I645" s="10" t="b">
        <v>0</v>
      </c>
      <c r="J645" s="10" t="b">
        <v>0</v>
      </c>
      <c r="K645" s="10" t="b">
        <v>0</v>
      </c>
      <c r="L645" s="10" t="b">
        <v>0</v>
      </c>
      <c r="M645" s="10" t="b">
        <v>0</v>
      </c>
      <c r="N645" s="10" t="b">
        <v>0</v>
      </c>
      <c r="O645" s="11" t="b">
        <f t="shared" si="1"/>
        <v>0</v>
      </c>
      <c r="P645" s="16" t="b">
        <v>0</v>
      </c>
      <c r="Q645" s="7"/>
    </row>
    <row r="646">
      <c r="A646" s="5" t="b">
        <v>1</v>
      </c>
      <c r="B646" s="5" t="s">
        <v>689</v>
      </c>
      <c r="C646" s="6" t="str">
        <f>IFERROR(__xludf.DUMMYFUNCTION("""COMPUTED_VALUE"""),"10.1016/j.infsof.2007.10.017")</f>
        <v>10.1016/j.infsof.2007.10.017</v>
      </c>
      <c r="D646" s="7" t="str">
        <f>IFERROR(__xludf.DUMMYFUNCTION("""COMPUTED_VALUE"""),"van den Akker M.; Brinkkemper S.; Diepen G.; Versendaal J.")</f>
        <v>van den Akker M.; Brinkkemper S.; Diepen G.; Versendaal J.</v>
      </c>
      <c r="E646" s="7" t="str">
        <f>IFERROR(__xludf.DUMMYFUNCTION("""COMPUTED_VALUE"""),"Software product release planning through optimization and what-if analysis")</f>
        <v>Software product release planning through optimization and what-if analysis</v>
      </c>
      <c r="F646" s="7" t="str">
        <f>IFERROR(__xludf.DUMMYFUNCTION("""COMPUTED_VALUE"""),"IST")</f>
        <v>IST</v>
      </c>
      <c r="G646" s="7" t="str">
        <f>IFERROR(__xludf.DUMMYFUNCTION("""COMPUTED_VALUE"""),"We present a mathematical formalization of release planning with a corresponding optimization tool that supports product and project managers during release planning. The tool is based on integer linear programming and assumes that an optimal set of requi"&amp;"rements is the set with maximal projected revenue against available resources. The input for the optimization is twofold. The first type of input data concerns the list of candidate requirements, estimated revenues, and resources needed. Second, manageria"&amp;"l steering mechanisms enable what-if analysis in the optimization environment. Experiments based on real-life data made a sound case for the applicability of our approach. © 2007 Elsevier B.V. All rights reserved.")</f>
        <v>We present a mathematical formalization of release planning with a corresponding optimization tool that supports product and project managers during release planning. The tool is based on integer linear programming and assumes that an optimal set of requirements is the set with maximal projected revenue against available resources. The input for the optimization is twofold. The first type of input data concerns the list of candidate requirements, estimated revenues, and resources needed. Second, managerial steering mechanisms enable what-if analysis in the optimization environment. Experiments based on real-life data made a sound case for the applicability of our approach. © 2007 Elsevier B.V. All rights reserved.</v>
      </c>
      <c r="H646" s="8" t="str">
        <f>IFERROR(__xludf.DUMMYFUNCTION("""COMPUTED_VALUE"""),"Integer linear programming; Optimization; Release planning; Requirements management")</f>
        <v>Integer linear programming; Optimization; Release planning; Requirements management</v>
      </c>
      <c r="I646" s="10" t="b">
        <v>0</v>
      </c>
      <c r="J646" s="10" t="b">
        <v>0</v>
      </c>
      <c r="K646" s="10" t="b">
        <v>0</v>
      </c>
      <c r="L646" s="10" t="b">
        <v>0</v>
      </c>
      <c r="M646" s="10" t="b">
        <v>0</v>
      </c>
      <c r="N646" s="10" t="b">
        <v>0</v>
      </c>
      <c r="O646" s="11" t="b">
        <f t="shared" si="1"/>
        <v>0</v>
      </c>
      <c r="P646" s="16" t="b">
        <v>0</v>
      </c>
      <c r="Q646" s="7"/>
    </row>
    <row r="647">
      <c r="A647" s="5" t="b">
        <v>1</v>
      </c>
      <c r="B647" s="5" t="s">
        <v>690</v>
      </c>
      <c r="C647" s="6" t="str">
        <f>IFERROR(__xludf.DUMMYFUNCTION("""COMPUTED_VALUE"""),"10.1016/S0950-5849(03)00098-3")</f>
        <v>10.1016/S0950-5849(03)00098-3</v>
      </c>
      <c r="D647" s="7" t="str">
        <f>IFERROR(__xludf.DUMMYFUNCTION("""COMPUTED_VALUE"""),"Kamsties E.; Von Knethen A.; Reussner R.")</f>
        <v>Kamsties E.; Von Knethen A.; Reussner R.</v>
      </c>
      <c r="E647" s="7" t="str">
        <f>IFERROR(__xludf.DUMMYFUNCTION("""COMPUTED_VALUE"""),"A controlled experiment to evaluate how styles affect the understandability of requirements specifications")</f>
        <v>A controlled experiment to evaluate how styles affect the understandability of requirements specifications</v>
      </c>
      <c r="F647" s="7" t="str">
        <f>IFERROR(__xludf.DUMMYFUNCTION("""COMPUTED_VALUE"""),"IST")</f>
        <v>IST</v>
      </c>
      <c r="G647" s="7" t="str">
        <f>IFERROR(__xludf.DUMMYFUNCTION("""COMPUTED_VALUE"""),"This paper presents a controlled experiment in which two different requirements specification styles (white-box and black-box) were compared concerning the understandability of two requirements specifications from the viewpoint of a customer. The results "&amp;"of the experiment confirm the common belief that black-box requirements specifications (e.g., documented with SCR) are easier to understand from a customer point of view than white-box specifications (e.g., documented with UML). Questions about particular"&amp;" functions and behavior of the specified system were answered faster and more correctly by the participants. This result suggests that using a black-box specification style when communicating with customers is beneficial. © 2003 Elsevier B.V. All rights r"&amp;"eserved.")</f>
        <v>This paper presents a controlled experiment in which two different requirements specification styles (white-box and black-box) were compared concerning the understandability of two requirements specifications from the viewpoint of a customer. The results of the experiment confirm the common belief that black-box requirements specifications (e.g., documented with SCR) are easier to understand from a customer point of view than white-box specifications (e.g., documented with UML). Questions about particular functions and behavior of the specified system were answered faster and more correctly by the participants. This result suggests that using a black-box specification style when communicating with customers is beneficial. © 2003 Elsevier B.V. All rights reserved.</v>
      </c>
      <c r="H647" s="8" t="str">
        <f>IFERROR(__xludf.DUMMYFUNCTION("""COMPUTED_VALUE"""),"Experiment; Software cost reduction; Specification style; Understandability; Unified modeling language")</f>
        <v>Experiment; Software cost reduction; Specification style; Understandability; Unified modeling language</v>
      </c>
      <c r="I647" s="9" t="b">
        <v>1</v>
      </c>
      <c r="J647" s="9" t="b">
        <v>1</v>
      </c>
      <c r="K647" s="9" t="b">
        <v>1</v>
      </c>
      <c r="L647" s="10" t="b">
        <v>0</v>
      </c>
      <c r="M647" s="10" t="b">
        <v>0</v>
      </c>
      <c r="N647" s="10" t="b">
        <v>0</v>
      </c>
      <c r="O647" s="11" t="b">
        <f t="shared" si="1"/>
        <v>1</v>
      </c>
      <c r="P647" s="16" t="b">
        <v>0</v>
      </c>
      <c r="Q647" s="7"/>
    </row>
    <row r="648">
      <c r="A648" s="5" t="b">
        <v>1</v>
      </c>
      <c r="B648" s="5" t="s">
        <v>691</v>
      </c>
      <c r="C648" s="6" t="str">
        <f>IFERROR(__xludf.DUMMYFUNCTION("""COMPUTED_VALUE"""),"10.1016/0950-5849(94)90029-9")</f>
        <v>10.1016/0950-5849(94)90029-9</v>
      </c>
      <c r="D648" s="7" t="str">
        <f>IFERROR(__xludf.DUMMYFUNCTION("""COMPUTED_VALUE"""),"Bass A.; Ratcliff B.")</f>
        <v>Bass A.; Ratcliff B.</v>
      </c>
      <c r="E648" s="7" t="str">
        <f>IFERROR(__xludf.DUMMYFUNCTION("""COMPUTED_VALUE"""),"Automated dismemberment of JSD process specifications")</f>
        <v>Automated dismemberment of JSD process specifications</v>
      </c>
      <c r="F648" s="7" t="str">
        <f>IFERROR(__xludf.DUMMYFUNCTION("""COMPUTED_VALUE"""),"IST")</f>
        <v>IST</v>
      </c>
      <c r="G648" s="7" t="str">
        <f>IFERROR(__xludf.DUMMYFUNCTION("""COMPUTED_VALUE"""),"In the initial phase of Jackson System Development (JSD), behaviour in the real world is modelled using long-running processes. As direct implementation of such processes can be impractical, a transformational approach called dismemberment is sometimes ap"&amp;"plied to allow the separate scheduling of portions of a process's text. A lack of automatic support has, however, made the technique difficult to use, and automation itself has not proved easy. Several writers have noted the relationship between Jackson s"&amp;"tructure diagrams and finite automata. This paper describes in detail the transformation of JSD process specifications into deterministic finite automata, using 'subset construction', a method adapted from compiler theory. The resulting representations ca"&amp;"n be used to generate dismembered implementation routines. The algorithms have been implemented within an experimental version of the PRESTIGE JSD Workbench, a CASE tool for the JSD implementor. © 1994.")</f>
        <v>In the initial phase of Jackson System Development (JSD), behaviour in the real world is modelled using long-running processes. As direct implementation of such processes can be impractical, a transformational approach called dismemberment is sometimes applied to allow the separate scheduling of portions of a process's text. A lack of automatic support has, however, made the technique difficult to use, and automation itself has not proved easy. Several writers have noted the relationship between Jackson structure diagrams and finite automata. This paper describes in detail the transformation of JSD process specifications into deterministic finite automata, using 'subset construction', a method adapted from compiler theory. The resulting representations can be used to generate dismembered implementation routines. The algorithms have been implemented within an experimental version of the PRESTIGE JSD Workbench, a CASE tool for the JSD implementor. © 1994.</v>
      </c>
      <c r="H648" s="8" t="str">
        <f>IFERROR(__xludf.DUMMYFUNCTION("""COMPUTED_VALUE"""),"Jackson System Development (JSD); software tools; transformational implementation")</f>
        <v>Jackson System Development (JSD); software tools; transformational implementation</v>
      </c>
      <c r="I648" s="10" t="b">
        <v>0</v>
      </c>
      <c r="J648" s="10" t="b">
        <v>0</v>
      </c>
      <c r="K648" s="10" t="b">
        <v>0</v>
      </c>
      <c r="L648" s="10" t="b">
        <v>0</v>
      </c>
      <c r="M648" s="10" t="b">
        <v>0</v>
      </c>
      <c r="N648" s="10" t="b">
        <v>0</v>
      </c>
      <c r="O648" s="11" t="b">
        <f t="shared" si="1"/>
        <v>0</v>
      </c>
      <c r="P648" s="16" t="b">
        <v>0</v>
      </c>
      <c r="Q648" s="7"/>
    </row>
    <row r="649">
      <c r="A649" s="5" t="b">
        <v>1</v>
      </c>
      <c r="B649" s="5" t="s">
        <v>692</v>
      </c>
      <c r="C649" s="6" t="str">
        <f>IFERROR(__xludf.DUMMYFUNCTION("""COMPUTED_VALUE"""),"10.1016/j.infsof.2012.09.007")</f>
        <v>10.1016/j.infsof.2012.09.007</v>
      </c>
      <c r="D649" s="7" t="str">
        <f>IFERROR(__xludf.DUMMYFUNCTION("""COMPUTED_VALUE"""),"Guana V.; Correal D.")</f>
        <v>Guana V.; Correal D.</v>
      </c>
      <c r="E649" s="7" t="str">
        <f>IFERROR(__xludf.DUMMYFUNCTION("""COMPUTED_VALUE"""),"Improving software product line configuration: A quality attribute-driven approach")</f>
        <v>Improving software product line configuration: A quality attribute-driven approach</v>
      </c>
      <c r="F649" s="7" t="str">
        <f>IFERROR(__xludf.DUMMYFUNCTION("""COMPUTED_VALUE"""),"IST")</f>
        <v>IST</v>
      </c>
      <c r="G649" s="7" t="str">
        <f>IFERROR(__xludf.DUMMYFUNCTION("""COMPUTED_VALUE"""),"Context: During the definition of software product lines (SPLs) it is necessary to choose the components that appropriately fulfil a product's intended functionalities, including its quality requirements (i.e., security, performance, scalability). The sel"&amp;"ection of the appropriate set of assets from many possible combinations is usually done manually, turning this process into a complex, time-consuming, and error-prone task. Objective: Our main objective is to determine whether, with the use of modeling to"&amp;"ols, we can simplify and automate the definition process of a SPL, improving the selection process of reusable assets. Method: We developed a model-driven strategy based on the identification of critical points (sensitivity points) inside the SPL architec"&amp;"ture. This strategy automatically selects the components that appropriately match the product's functional and quality requirements. We validated our approach experimenting with different real configuration and derivation scenarios in a mobile healthcare "&amp;"SPL where we have worked during the last three years. Results: Through our SPL experiment, we established that our approach improved in nearly 98% the selection of reusable assets when compared with the unassisted analysis selection. However, using our ap"&amp;"proach there is an increment in the time required for the configuration corresponding to the learning curve of the proposed tools. Conclusion: We can conclude that our domain-specific modeling approach significantly improves the software architect's decis"&amp;"ion making when selecting the most suitable combinations of reusable components in the context of a SPL. © 2012 Elsevier B.V. All rights reserved.")</f>
        <v>Context: During the definition of software product lines (SPLs) it is necessary to choose the components that appropriately fulfil a product's intended functionalities, including its quality requirements (i.e., security, performance, scalability). The selection of the appropriate set of assets from many possible combinations is usually done manually, turning this process into a complex, time-consuming, and error-prone task. Objective: Our main objective is to determine whether, with the use of modeling tools, we can simplify and automate the definition process of a SPL, improving the selection process of reusable assets. Method: We developed a model-driven strategy based on the identification of critical points (sensitivity points) inside the SPL architecture. This strategy automatically selects the components that appropriately match the product's functional and quality requirements. We validated our approach experimenting with different real configuration and derivation scenarios in a mobile healthcare SPL where we have worked during the last three years. Results: Through our SPL experiment, we established that our approach improved in nearly 98% the selection of reusable assets when compared with the unassisted analysis selection. However, using our approach there is an increment in the time required for the configuration corresponding to the learning curve of the proposed tools. Conclusion: We can conclude that our domain-specific modeling approach significantly improves the software architect's decision making when selecting the most suitable combinations of reusable components in the context of a SPL. © 2012 Elsevier B.V. All rights reserved.</v>
      </c>
      <c r="H649" s="8" t="str">
        <f>IFERROR(__xludf.DUMMYFUNCTION("""COMPUTED_VALUE"""),"Domain specific modeling; Model driven-software product lines; Quality evaluation; Sensitivity points; Software architecture; Variability management")</f>
        <v>Domain specific modeling; Model driven-software product lines; Quality evaluation; Sensitivity points; Software architecture; Variability management</v>
      </c>
      <c r="I649" s="10" t="b">
        <v>0</v>
      </c>
      <c r="J649" s="10" t="b">
        <v>0</v>
      </c>
      <c r="K649" s="10" t="b">
        <v>0</v>
      </c>
      <c r="L649" s="10" t="b">
        <v>0</v>
      </c>
      <c r="M649" s="10" t="b">
        <v>0</v>
      </c>
      <c r="N649" s="10" t="b">
        <v>0</v>
      </c>
      <c r="O649" s="11" t="b">
        <f t="shared" si="1"/>
        <v>0</v>
      </c>
      <c r="P649" s="16" t="b">
        <v>0</v>
      </c>
      <c r="Q649" s="7"/>
    </row>
    <row r="650">
      <c r="A650" s="5" t="b">
        <v>1</v>
      </c>
      <c r="B650" s="5" t="s">
        <v>693</v>
      </c>
      <c r="C650" s="6" t="str">
        <f>IFERROR(__xludf.DUMMYFUNCTION("""COMPUTED_VALUE"""),"10.1016/j.infsof.2012.06.001")</f>
        <v>10.1016/j.infsof.2012.06.001</v>
      </c>
      <c r="D650" s="7" t="str">
        <f>IFERROR(__xludf.DUMMYFUNCTION("""COMPUTED_VALUE"""),"Teruel M.A.; Navarro E.; López-Jaquero V.; Montero F.; Jaen J.; González P.")</f>
        <v>Teruel M.A.; Navarro E.; López-Jaquero V.; Montero F.; Jaen J.; González P.</v>
      </c>
      <c r="E650" s="7" t="str">
        <f>IFERROR(__xludf.DUMMYFUNCTION("""COMPUTED_VALUE"""),"Analyzing the understandability of Requirements Engineering languages for CSCW systems: A family of experiments")</f>
        <v>Analyzing the understandability of Requirements Engineering languages for CSCW systems: A family of experiments</v>
      </c>
      <c r="F650" s="7" t="str">
        <f>IFERROR(__xludf.DUMMYFUNCTION("""COMPUTED_VALUE"""),"IST")</f>
        <v>IST</v>
      </c>
      <c r="G650" s="7" t="str">
        <f>IFERROR(__xludf.DUMMYFUNCTION("""COMPUTED_VALUE"""),"Context: A collaborative system is a special kind of software whose users can perform collaboration, communication and collaboration tasks. These systems usually have a high number of non-functional requirements, resulting from the users' need of being aw"&amp;"are of other users with whom to collaborate, that is, the workspace awareness. Objective: This paper aims at evaluating two Requirements Engineering languages i and CSRML (an extension of i) in order to determine which is the most suitable one to specify "&amp;"requirements of collaborative systems, taking into account their special characteristics regarding collaboration and awareness. Method: We performed a family of experiments comprising an original experiment and two replicas. They were performed by 30, 45 "&amp;"and 9 Computer Science students, respectively, from Spain and Argentina. These subjects filled in two understandability questionnaires once they analyzed the requirements models of two systems: an e-learning collaborative system and a conference review sy"&amp;"stem with some collaborative aspects support. Both models were specified by using the evaluated languages. Results: The statistical analysis of the family of experiments showed that the understandability was higher for the models specified with CSRML than"&amp;" for those specified with i, especially for collaborative aspects. This result was also confirmed by the meta-analysis conducted. Conclusions: CSRML surpasses i when modeling collaborative systems requirements models due to the specific expressiveness int"&amp;"roduced to represent collaboration between users and awareness and the new resorts to manage actors and roles. © 2012 Elsevier B.V. All rights reserved.")</f>
        <v>Context: A collaborative system is a special kind of software whose users can perform collaboration, communication and collaboration tasks. These systems usually have a high number of non-functional requirements, resulting from the users' need of being aware of other users with whom to collaborate, that is, the workspace awareness. Objective: This paper aims at evaluating two Requirements Engineering languages i and CSRML (an extension of i) in order to determine which is the most suitable one to specify requirements of collaborative systems, taking into account their special characteristics regarding collaboration and awareness. Method: We performed a family of experiments comprising an original experiment and two replicas. They were performed by 30, 45 and 9 Computer Science students, respectively, from Spain and Argentina. These subjects filled in two understandability questionnaires once they analyzed the requirements models of two systems: an e-learning collaborative system and a conference review system with some collaborative aspects support. Both models were specified by using the evaluated languages. Results: The statistical analysis of the family of experiments showed that the understandability was higher for the models specified with CSRML than for those specified with i, especially for collaborative aspects. This result was also confirmed by the meta-analysis conducted. Conclusions: CSRML surpasses i when modeling collaborative systems requirements models due to the specific expressiveness introduced to represent collaboration between users and awareness and the new resorts to manage actors and roles. © 2012 Elsevier B.V. All rights reserved.</v>
      </c>
      <c r="H650" s="8" t="str">
        <f>IFERROR(__xludf.DUMMYFUNCTION("""COMPUTED_VALUE"""),"Awareness; Collaborative systems; Controlled experiment; Meta-analysis; Requirements Engineering; Understandability")</f>
        <v>Awareness; Collaborative systems; Controlled experiment; Meta-analysis; Requirements Engineering; Understandability</v>
      </c>
      <c r="I650" s="9" t="b">
        <v>1</v>
      </c>
      <c r="J650" s="9" t="b">
        <v>1</v>
      </c>
      <c r="K650" s="9" t="b">
        <v>1</v>
      </c>
      <c r="L650" s="10" t="b">
        <v>0</v>
      </c>
      <c r="M650" s="10" t="b">
        <v>0</v>
      </c>
      <c r="N650" s="10" t="b">
        <v>0</v>
      </c>
      <c r="O650" s="11" t="b">
        <f t="shared" si="1"/>
        <v>1</v>
      </c>
      <c r="P650" s="16" t="b">
        <v>0</v>
      </c>
      <c r="Q650" s="7"/>
    </row>
    <row r="651">
      <c r="A651" s="5" t="b">
        <v>1</v>
      </c>
      <c r="B651" s="5" t="s">
        <v>694</v>
      </c>
      <c r="C651" s="6" t="str">
        <f>IFERROR(__xludf.DUMMYFUNCTION("""COMPUTED_VALUE"""),"10.1016/S0950-5849(01)00191-4")</f>
        <v>10.1016/S0950-5849(01)00191-4</v>
      </c>
      <c r="D651" s="7" t="str">
        <f>IFERROR(__xludf.DUMMYFUNCTION("""COMPUTED_VALUE"""),"Groß H.-G.")</f>
        <v>Groß H.-G.</v>
      </c>
      <c r="E651" s="7" t="str">
        <f>IFERROR(__xludf.DUMMYFUNCTION("""COMPUTED_VALUE"""),"A prediction system for evolutionary testability applied to dynamic execution time analysis")</f>
        <v>A prediction system for evolutionary testability applied to dynamic execution time analysis</v>
      </c>
      <c r="F651" s="7" t="str">
        <f>IFERROR(__xludf.DUMMYFUNCTION("""COMPUTED_VALUE"""),"IST")</f>
        <v>IST</v>
      </c>
      <c r="G651" s="7" t="str">
        <f>IFERROR(__xludf.DUMMYFUNCTION("""COMPUTED_VALUE"""),"Evolutionary testing (ET) is a test case generation technique based on the application of an evolutionary algorithm. It can be applied to timing analysis of real-time systems. In this instance, timing analysis is equivalent to testing. The test objective "&amp;"is to uncover temporal errors. This corresponds to the violation of the system's timing specification. Testability is the ability of the test technique to uncover faults. Evolutionary testability is the ability of an evolutionary algorithm to successfully"&amp;" generate test cases with the goal to uncover faults, in this instance violation of the timing specification. This process attempts to find the best- and worst-case execution time of a real-time system. Some attributes of real-time systems were found to g"&amp;"reatly inhibit the successful generation of the best- and worst-case execution times through ET. These are small path domains, high data dependence, large input vectors and nesting. This paper defines software metrics, which aim to express the effects of "&amp;"these attributes on ET. ET is applied to generate the best- and worst-case execution paths of test programs. Their extreme timing paths are determined analytically and the average success of ET to cover these paths is assessed. This empirical data is mapp"&amp;"ed against the software metrics to derive a prediction system for evolutionary testability. The measurement and prediction system developed from the experiments is able to forecast evolutionary testability with almost 90% accuracy. The prediction system w"&amp;"ill be used to assess whether the application of ET to a real-time system will be sufficient to successful dynamic timing analysis, or whether additional testing strategies are needed. © 2001 Elsevier Science B.V. All rights reserved.")</f>
        <v>Evolutionary testing (ET) is a test case generation technique based on the application of an evolutionary algorithm. It can be applied to timing analysis of real-time systems. In this instance, timing analysis is equivalent to testing. The test objective is to uncover temporal errors. This corresponds to the violation of the system's timing specification. Testability is the ability of the test technique to uncover faults. Evolutionary testability is the ability of an evolutionary algorithm to successfully generate test cases with the goal to uncover faults, in this instance violation of the timing specification. This process attempts to find the best- and worst-case execution time of a real-time system. Some attributes of real-time systems were found to greatly inhibit the successful generation of the best- and worst-case execution times through ET. These are small path domains, high data dependence, large input vectors and nesting. This paper defines software metrics, which aim to express the effects of these attributes on ET. ET is applied to generate the best- and worst-case execution paths of test programs. Their extreme timing paths are determined analytically and the average success of ET to cover these paths is assessed. This empirical data is mapped against the software metrics to derive a prediction system for evolutionary testability. The measurement and prediction system developed from the experiments is able to forecast evolutionary testability with almost 90% accuracy. The prediction system will be used to assess whether the application of ET to a real-time system will be sufficient to successful dynamic timing analysis, or whether additional testing strategies are needed. © 2001 Elsevier Science B.V. All rights reserved.</v>
      </c>
      <c r="H651" s="8" t="str">
        <f>IFERROR(__xludf.DUMMYFUNCTION("""COMPUTED_VALUE"""),"Genetic Algorithm; Real-Time System; Timing Analysis")</f>
        <v>Genetic Algorithm; Real-Time System; Timing Analysis</v>
      </c>
      <c r="I651" s="10" t="b">
        <v>0</v>
      </c>
      <c r="J651" s="10" t="b">
        <v>0</v>
      </c>
      <c r="K651" s="10" t="b">
        <v>0</v>
      </c>
      <c r="L651" s="10" t="b">
        <v>0</v>
      </c>
      <c r="M651" s="10" t="b">
        <v>0</v>
      </c>
      <c r="N651" s="10" t="b">
        <v>0</v>
      </c>
      <c r="O651" s="11" t="b">
        <f t="shared" si="1"/>
        <v>0</v>
      </c>
      <c r="P651" s="16" t="b">
        <v>0</v>
      </c>
      <c r="Q651" s="7"/>
    </row>
    <row r="652">
      <c r="A652" s="5" t="b">
        <v>1</v>
      </c>
      <c r="B652" s="5" t="s">
        <v>695</v>
      </c>
      <c r="C652" s="6" t="str">
        <f>IFERROR(__xludf.DUMMYFUNCTION("""COMPUTED_VALUE"""),"10.1016/S0950-5849(99)00008-7")</f>
        <v>10.1016/S0950-5849(99)00008-7</v>
      </c>
      <c r="D652" s="7" t="str">
        <f>IFERROR(__xludf.DUMMYFUNCTION("""COMPUTED_VALUE"""),"Hattori N.; Ishii N.")</f>
        <v>Hattori N.; Ishii N.</v>
      </c>
      <c r="E652" s="7" t="str">
        <f>IFERROR(__xludf.DUMMYFUNCTION("""COMPUTED_VALUE"""),"Extended educational system for programming and its evaluation")</f>
        <v>Extended educational system for programming and its evaluation</v>
      </c>
      <c r="F652" s="7" t="str">
        <f>IFERROR(__xludf.DUMMYFUNCTION("""COMPUTED_VALUE"""),"IST")</f>
        <v>IST</v>
      </c>
      <c r="G652" s="7" t="str">
        <f>IFERROR(__xludf.DUMMYFUNCTION("""COMPUTED_VALUE"""),"This article presents extension and evaluation of an on-line educational system for programming [N. Hattori, N. Ishii, A programming support system for students, in: Proc. of IASTED Inter. Conf. Artificial Intelligence and Soft Computing, Banff, Canada, 1"&amp;"997, pp. 188-191.] The system judges novice students' C and Pascal source codes. On behalf of education, we regard that acceptance of various codes and ease of access are the most important. For acceptance of various codes, the system partially standardiz"&amp;"es codes. Moreover model codes are automatically translated into the format of a program database in the system, so adding codes of new variations and new specifications to the database is easy. For ease of access, it cooperates with a Web server, so stud"&amp;"ents can access it anywhere and anytime through the Internet using a Web browser. Our experiment showed that the system judged about 80% of correct codes and the system should store model codes about 80% reduction in the database.")</f>
        <v>This article presents extension and evaluation of an on-line educational system for programming [N. Hattori, N. Ishii, A programming support system for students, in: Proc. of IASTED Inter. Conf. Artificial Intelligence and Soft Computing, Banff, Canada, 1997, pp. 188-191.] The system judges novice students' C and Pascal source codes. On behalf of education, we regard that acceptance of various codes and ease of access are the most important. For acceptance of various codes, the system partially standardizes codes. Moreover model codes are automatically translated into the format of a program database in the system, so adding codes of new variations and new specifications to the database is easy. For ease of access, it cooperates with a Web server, so students can access it anywhere and anytime through the Internet using a Web browser. Our experiment showed that the system judged about 80% of correct codes and the system should store model codes about 80% reduction in the database.</v>
      </c>
      <c r="H652" s="8"/>
      <c r="I652" s="10" t="b">
        <v>0</v>
      </c>
      <c r="J652" s="10" t="b">
        <v>0</v>
      </c>
      <c r="K652" s="10" t="b">
        <v>0</v>
      </c>
      <c r="L652" s="10" t="b">
        <v>0</v>
      </c>
      <c r="M652" s="10" t="b">
        <v>0</v>
      </c>
      <c r="N652" s="10" t="b">
        <v>0</v>
      </c>
      <c r="O652" s="11" t="b">
        <f t="shared" si="1"/>
        <v>0</v>
      </c>
      <c r="P652" s="16" t="b">
        <v>0</v>
      </c>
      <c r="Q652" s="7"/>
    </row>
    <row r="653">
      <c r="A653" s="5" t="b">
        <v>1</v>
      </c>
      <c r="B653" s="5" t="s">
        <v>696</v>
      </c>
      <c r="C653" s="6" t="str">
        <f>IFERROR(__xludf.DUMMYFUNCTION("""COMPUTED_VALUE"""),"10.1016/j.infsof.2011.06.006")</f>
        <v>10.1016/j.infsof.2011.06.006</v>
      </c>
      <c r="D653" s="7" t="str">
        <f>IFERROR(__xludf.DUMMYFUNCTION("""COMPUTED_VALUE"""),"Simao A.; Petrenko A.")</f>
        <v>Simao A.; Petrenko A.</v>
      </c>
      <c r="E653" s="7" t="str">
        <f>IFERROR(__xludf.DUMMYFUNCTION("""COMPUTED_VALUE"""),"Generating asynchronous test cases from test purposes")</f>
        <v>Generating asynchronous test cases from test purposes</v>
      </c>
      <c r="F653" s="7" t="str">
        <f>IFERROR(__xludf.DUMMYFUNCTION("""COMPUTED_VALUE"""),"IST")</f>
        <v>IST</v>
      </c>
      <c r="G653" s="7" t="str">
        <f>IFERROR(__xludf.DUMMYFUNCTION("""COMPUTED_VALUE"""),"Context: Input/output transition system (IOTS) models are commonly used when next input can arrive even before outputs are produced. The interaction between the tester and an implementation under test (IUT) is usually assumed to be synchronous. However, a"&amp;"s the IUT can produce outputs at any moment, the tester should be prepared to accept all outputs from the IUT, or else be able to block (refuse) outputs of the implementation. Testing distributed, remote applications under the assumptions that communicati"&amp;"on is synchronous and actions can be blocked is unrealistic, since synchronous communication for such applications can only be achieved if special protocols are used. In this context, asynchronous tests can be more appropriate, reflecting the underlying t"&amp;"est architecture which includes queues. Objective: In this paper, we investigate the problem of constructing test cases for given test purposes and specification input/output transition systems, when the communication between the tester and the implementa"&amp;"tion under test is assumed to be asynchronous, performed via multiple queues. Method: When issuing verdicts, asynchronous tests should take into account a distortion caused by the queues in the observed interactions. First, we investigate how the test pur"&amp;"pose can be transformed to account for this distortion when there are a single input queue and a single output queue. Then, we consider a more general problem, when there may be multiple queues. Results: We propose an algorithm which constructs a sound te"&amp;"st case, by transforming the test purpose prior to composing it with the specification without queues. Conclusion: The proposed algorithm mitigates the state explosion problem which usually occurs when queues are directly involved in the composition. Expe"&amp;"rimental results confirm the resulting state space reduction. © 2011 Elsevier B.V. All rights reserved.")</f>
        <v>Context: Input/output transition system (IOTS) models are commonly used when next input can arrive even before outputs are produced. The interaction between the tester and an implementation under test (IUT) is usually assumed to be synchronous. However, as the IUT can produce outputs at any moment, the tester should be prepared to accept all outputs from the IUT, or else be able to block (refuse) outputs of the implementation. Testing distributed, remote applications under the assumptions that communication is synchronous and actions can be blocked is unrealistic, since synchronous communication for such applications can only be achieved if special protocols are used. In this context, asynchronous tests can be more appropriate, reflecting the underlying test architecture which includes queues. Objective: In this paper, we investigate the problem of constructing test cases for given test purposes and specification input/output transition systems, when the communication between the tester and the implementation under test is assumed to be asynchronous, performed via multiple queues. Method: When issuing verdicts, asynchronous tests should take into account a distortion caused by the queues in the observed interactions. First, we investigate how the test purpose can be transformed to account for this distortion when there are a single input queue and a single output queue. Then, we consider a more general problem, when there may be multiple queues. Results: We propose an algorithm which constructs a sound test case, by transforming the test purpose prior to composing it with the specification without queues. Conclusion: The proposed algorithm mitigates the state explosion problem which usually occurs when queues are directly involved in the composition. Experimental results confirm the resulting state space reduction. © 2011 Elsevier B.V. All rights reserved.</v>
      </c>
      <c r="H653" s="8" t="str">
        <f>IFERROR(__xludf.DUMMYFUNCTION("""COMPUTED_VALUE"""),"Asynchronous testing; Distributed testing; Input/output transition system; Test case generation; Test purpose")</f>
        <v>Asynchronous testing; Distributed testing; Input/output transition system; Test case generation; Test purpose</v>
      </c>
      <c r="I653" s="10" t="b">
        <v>0</v>
      </c>
      <c r="J653" s="10" t="b">
        <v>0</v>
      </c>
      <c r="K653" s="10" t="b">
        <v>0</v>
      </c>
      <c r="L653" s="10" t="b">
        <v>0</v>
      </c>
      <c r="M653" s="10" t="b">
        <v>0</v>
      </c>
      <c r="N653" s="10" t="b">
        <v>0</v>
      </c>
      <c r="O653" s="11" t="b">
        <f t="shared" si="1"/>
        <v>0</v>
      </c>
      <c r="P653" s="16" t="b">
        <v>0</v>
      </c>
      <c r="Q653" s="7"/>
    </row>
    <row r="654">
      <c r="A654" s="5" t="b">
        <v>1</v>
      </c>
      <c r="B654" s="5" t="s">
        <v>697</v>
      </c>
      <c r="C654" s="6" t="str">
        <f>IFERROR(__xludf.DUMMYFUNCTION("""COMPUTED_VALUE"""),"10.1016/j.infsof.2008.07.001")</f>
        <v>10.1016/j.infsof.2008.07.001</v>
      </c>
      <c r="D654" s="7" t="str">
        <f>IFERROR(__xludf.DUMMYFUNCTION("""COMPUTED_VALUE"""),"Liu H.; Kuan Tan H.B.")</f>
        <v>Liu H.; Kuan Tan H.B.</v>
      </c>
      <c r="E654" s="7" t="str">
        <f>IFERROR(__xludf.DUMMYFUNCTION("""COMPUTED_VALUE"""),"Covering code behavior on input validation in functional testing")</f>
        <v>Covering code behavior on input validation in functional testing</v>
      </c>
      <c r="F654" s="7" t="str">
        <f>IFERROR(__xludf.DUMMYFUNCTION("""COMPUTED_VALUE"""),"IST")</f>
        <v>IST</v>
      </c>
      <c r="G654" s="7" t="str">
        <f>IFERROR(__xludf.DUMMYFUNCTION("""COMPUTED_VALUE"""),"Input validation is the enforcement built in software systems to ensure that only valid input is accepted to raise external effects. It is essential and very important to a large class of systems and usually forms a major part of a data-intensive system. "&amp;"Most existing methods for input validation testing are specification-based. However, to test input validation more accurately, a code-based method is also required. In this paper, we propose an approach to extract path partition and input conditions from "&amp;"code for testing input validation. The path partition can be used to design white-box test cases for testing input validation. It can also be used to measure the coverage of input validation testing. The valid and invalid input conditions recovered can be"&amp;" used to check against the specifications and aid the test suite design in black-box testing. We have also evaluated the proposed method through experimental study. © 2008 Elsevier B.V. All rights reserved.")</f>
        <v>Input validation is the enforcement built in software systems to ensure that only valid input is accepted to raise external effects. It is essential and very important to a large class of systems and usually forms a major part of a data-intensive system. Most existing methods for input validation testing are specification-based. However, to test input validation more accurately, a code-based method is also required. In this paper, we propose an approach to extract path partition and input conditions from code for testing input validation. The path partition can be used to design white-box test cases for testing input validation. It can also be used to measure the coverage of input validation testing. The valid and invalid input conditions recovered can be used to check against the specifications and aid the test suite design in black-box testing. We have also evaluated the proposed method through experimental study. © 2008 Elsevier B.V. All rights reserved.</v>
      </c>
      <c r="H654" s="8" t="str">
        <f>IFERROR(__xludf.DUMMYFUNCTION("""COMPUTED_VALUE"""),"Black-box testing; Input validation; Software testing; Test coverage; White-box testing")</f>
        <v>Black-box testing; Input validation; Software testing; Test coverage; White-box testing</v>
      </c>
      <c r="I654" s="10" t="b">
        <v>0</v>
      </c>
      <c r="J654" s="10" t="b">
        <v>0</v>
      </c>
      <c r="K654" s="10" t="b">
        <v>0</v>
      </c>
      <c r="L654" s="10" t="b">
        <v>0</v>
      </c>
      <c r="M654" s="10" t="b">
        <v>0</v>
      </c>
      <c r="N654" s="10" t="b">
        <v>0</v>
      </c>
      <c r="O654" s="11" t="b">
        <f t="shared" si="1"/>
        <v>0</v>
      </c>
      <c r="P654" s="16" t="b">
        <v>0</v>
      </c>
      <c r="Q654" s="7"/>
    </row>
    <row r="655">
      <c r="A655" s="5" t="b">
        <v>1</v>
      </c>
      <c r="B655" s="5" t="s">
        <v>698</v>
      </c>
      <c r="C655" s="6" t="str">
        <f>IFERROR(__xludf.DUMMYFUNCTION("""COMPUTED_VALUE"""),"10.1016/0950-5849(91)90042-A")</f>
        <v>10.1016/0950-5849(91)90042-A</v>
      </c>
      <c r="D655" s="7" t="str">
        <f>IFERROR(__xludf.DUMMYFUNCTION("""COMPUTED_VALUE"""),"Habra N.")</f>
        <v>Habra N.</v>
      </c>
      <c r="E655" s="7" t="str">
        <f>IFERROR(__xludf.DUMMYFUNCTION("""COMPUTED_VALUE"""),"Computer-aided prototyping: transformational approach")</f>
        <v>Computer-aided prototyping: transformational approach</v>
      </c>
      <c r="F655" s="7" t="str">
        <f>IFERROR(__xludf.DUMMYFUNCTION("""COMPUTED_VALUE"""),"IST")</f>
        <v>IST</v>
      </c>
      <c r="G655" s="7" t="str">
        <f>IFERROR(__xludf.DUMMYFUNCTION("""COMPUTED_VALUE"""),"The paper outlines an experiment in the development of a computer-aided prototyping tool. The idea is to generate a prototype from requirements specification by a succession of transformations. The objective is to support early validation of requirements "&amp;"and easier modification of specification. The tool involves a set of transformation rules that transforms a non-executable specification into an executable prototype. The specification is written in the algebraic language ELICSIR and the prototype in the "&amp;"logic programming language Prolog. The prototype produced by transformation is formally correct with respect to the original specification. In addition, it is a high-level product that keeps a sufficient trace of the original specification; this allows th"&amp;"e specification to be easily adjusted according to the user's comments about the prototype execution. The computer-aided prototyping approach is illustrated by showing the application of the successive transformation steps on the specification of a short "&amp;"and complete example. © 1991.")</f>
        <v>The paper outlines an experiment in the development of a computer-aided prototyping tool. The idea is to generate a prototype from requirements specification by a succession of transformations. The objective is to support early validation of requirements and easier modification of specification. The tool involves a set of transformation rules that transforms a non-executable specification into an executable prototype. The specification is written in the algebraic language ELICSIR and the prototype in the logic programming language Prolog. The prototype produced by transformation is formally correct with respect to the original specification. In addition, it is a high-level product that keeps a sufficient trace of the original specification; this allows the specification to be easily adjusted according to the user's comments about the prototype execution. The computer-aided prototyping approach is illustrated by showing the application of the successive transformation steps on the specification of a short and complete example. © 1991.</v>
      </c>
      <c r="H655" s="8" t="str">
        <f>IFERROR(__xludf.DUMMYFUNCTION("""COMPUTED_VALUE"""),"CASE; computer-aided software engineering; prototyping; requirements specification; requirements validation; transformations")</f>
        <v>CASE; computer-aided software engineering; prototyping; requirements specification; requirements validation; transformations</v>
      </c>
      <c r="I655" s="10" t="b">
        <v>0</v>
      </c>
      <c r="J655" s="9" t="b">
        <v>1</v>
      </c>
      <c r="K655" s="9" t="b">
        <v>1</v>
      </c>
      <c r="L655" s="10" t="b">
        <v>0</v>
      </c>
      <c r="M655" s="10" t="b">
        <v>0</v>
      </c>
      <c r="N655" s="10" t="b">
        <v>0</v>
      </c>
      <c r="O655" s="11" t="b">
        <f t="shared" si="1"/>
        <v>0</v>
      </c>
      <c r="P655" s="12" t="b">
        <v>0</v>
      </c>
      <c r="Q655" s="13"/>
    </row>
    <row r="656">
      <c r="A656" s="5" t="b">
        <v>1</v>
      </c>
      <c r="B656" s="5" t="s">
        <v>699</v>
      </c>
      <c r="C656" s="6" t="str">
        <f>IFERROR(__xludf.DUMMYFUNCTION("""COMPUTED_VALUE"""),"10.1016/S0950-5849(03)00028-4")</f>
        <v>10.1016/S0950-5849(03)00028-4</v>
      </c>
      <c r="D656" s="7" t="str">
        <f>IFERROR(__xludf.DUMMYFUNCTION("""COMPUTED_VALUE"""),"Paik I.; Han T.; Oh D.; Ha S.; Park D.")</f>
        <v>Paik I.; Han T.; Oh D.; Ha S.; Park D.</v>
      </c>
      <c r="E656" s="7" t="str">
        <f>IFERROR(__xludf.DUMMYFUNCTION("""COMPUTED_VALUE"""),"An affiliated search system for an electronic commerce and software component architecture")</f>
        <v>An affiliated search system for an electronic commerce and software component architecture</v>
      </c>
      <c r="F656" s="7" t="str">
        <f>IFERROR(__xludf.DUMMYFUNCTION("""COMPUTED_VALUE"""),"IST")</f>
        <v>IST</v>
      </c>
      <c r="G656" s="7" t="str">
        <f>IFERROR(__xludf.DUMMYFUNCTION("""COMPUTED_VALUE"""),"This paper describes an Electronic Commerce Goods Search System (ECGSS) that has functions that increase the precision of search results through training of the search system and uses affiliated business transaction processes. The software component archi"&amp;"tecture for ECGSS also allows the effective deployment of the system on every local business site, in view of the evolving trend in information technology toward easier configuration and re-usability. A general information gathering system with the infras"&amp;"tructure to accept every Internet communication protocol and access control is described. In this affiliated business transaction model, we classify Internet sites into two groups: a cooperative sites group, and a non-cooperative sites group. While design"&amp;"ing the components, we optimized their specifications with respect to the whole architecture analysis, dependencies, and interface types using a component-based software development process. Experiments on the effectiveness of the user training function f"&amp;"or the search system and the response time for simple queries for each communication protocol are presented. Comparisons of commercial search solutions and architectural standards of several organizations are also given. © 2003 Elsevier Science B.V. All r"&amp;"ights reserved.")</f>
        <v>This paper describes an Electronic Commerce Goods Search System (ECGSS) that has functions that increase the precision of search results through training of the search system and uses affiliated business transaction processes. The software component architecture for ECGSS also allows the effective deployment of the system on every local business site, in view of the evolving trend in information technology toward easier configuration and re-usability. A general information gathering system with the infrastructure to accept every Internet communication protocol and access control is described. In this affiliated business transaction model, we classify Internet sites into two groups: a cooperative sites group, and a non-cooperative sites group. While designing the components, we optimized their specifications with respect to the whole architecture analysis, dependencies, and interface types using a component-based software development process. Experiments on the effectiveness of the user training function for the search system and the response time for simple queries for each communication protocol are presented. Comparisons of commercial search solutions and architectural standards of several organizations are also given. © 2003 Elsevier Science B.V. All rights reserved.</v>
      </c>
      <c r="H656" s="8" t="str">
        <f>IFERROR(__xludf.DUMMYFUNCTION("""COMPUTED_VALUE"""),"Component-based software development; Electronic commerce; Information search system; Internet business model; Software component")</f>
        <v>Component-based software development; Electronic commerce; Information search system; Internet business model; Software component</v>
      </c>
      <c r="I656" s="10" t="b">
        <v>0</v>
      </c>
      <c r="J656" s="10" t="b">
        <v>0</v>
      </c>
      <c r="K656" s="10" t="b">
        <v>0</v>
      </c>
      <c r="L656" s="10" t="b">
        <v>0</v>
      </c>
      <c r="M656" s="10" t="b">
        <v>0</v>
      </c>
      <c r="N656" s="10" t="b">
        <v>0</v>
      </c>
      <c r="O656" s="11" t="b">
        <f t="shared" si="1"/>
        <v>0</v>
      </c>
      <c r="P656" s="16" t="b">
        <v>0</v>
      </c>
      <c r="Q656" s="7"/>
    </row>
    <row r="657">
      <c r="A657" s="5" t="b">
        <v>1</v>
      </c>
      <c r="B657" s="5" t="s">
        <v>700</v>
      </c>
      <c r="C657" s="6" t="str">
        <f>IFERROR(__xludf.DUMMYFUNCTION("""COMPUTED_VALUE"""),"10.1016/0950-5849(90)90162-K")</f>
        <v>10.1016/0950-5849(90)90162-K</v>
      </c>
      <c r="D657" s="7" t="str">
        <f>IFERROR(__xludf.DUMMYFUNCTION("""COMPUTED_VALUE"""),"Nibler R.; Raedels A.; Johnson M.")</f>
        <v>Nibler R.; Raedels A.; Johnson M.</v>
      </c>
      <c r="E657" s="7" t="str">
        <f>IFERROR(__xludf.DUMMYFUNCTION("""COMPUTED_VALUE"""),"Requirement definitions of data-entry productivity and error reporting system and presentation of onsite experiment")</f>
        <v>Requirement definitions of data-entry productivity and error reporting system and presentation of onsite experiment</v>
      </c>
      <c r="F657" s="7" t="str">
        <f>IFERROR(__xludf.DUMMYFUNCTION("""COMPUTED_VALUE"""),"IST")</f>
        <v>IST</v>
      </c>
      <c r="G657" s="7" t="str">
        <f>IFERROR(__xludf.DUMMYFUNCTION("""COMPUTED_VALUE"""),"Data entry continues to play an important role in most dataprocessing (DP) environments. Recent information shows that data entry represents about 20% of the total DP budget. With the advent of online and distributed DP, monitoring the productivity and qu"&amp;"ality of data-entry operators has become progressively more difficult. To combat this, some firms have begun to install software monitoring systems to measure productivity and quality. The paper describes a software monitoring system called DEPERS (data-e"&amp;"ntry productivity and error reporting system). The ideal characteristics of a DEPERS are described, followed by a discussion of a DEPERS installed at a DP site. The reports from the system have provided diagnostic information that has been useful in pinpo"&amp;"inting difficulties in the data-entry techniques of the operators. In addition, the information from the DEPERS has been quite useful to the system analyst/programmer in making program enhancements to the data-entry software. These software enhancements w"&amp;"ere responsible for a dramatic increase in data-entry productivity and quality. © 1990.")</f>
        <v>Data entry continues to play an important role in most dataprocessing (DP) environments. Recent information shows that data entry represents about 20% of the total DP budget. With the advent of online and distributed DP, monitoring the productivity and quality of data-entry operators has become progressively more difficult. To combat this, some firms have begun to install software monitoring systems to measure productivity and quality. The paper describes a software monitoring system called DEPERS (data-entry productivity and error reporting system). The ideal characteristics of a DEPERS are described, followed by a discussion of a DEPERS installed at a DP site. The reports from the system have provided diagnostic information that has been useful in pinpointing difficulties in the data-entry techniques of the operators. In addition, the information from the DEPERS has been quite useful to the system analyst/programmer in making program enhancements to the data-entry software. These software enhancements were responsible for a dramatic increase in data-entry productivity and quality. © 1990.</v>
      </c>
      <c r="H657" s="8" t="str">
        <f>IFERROR(__xludf.DUMMYFUNCTION("""COMPUTED_VALUE"""),"data entry; data processing; monitoring system; productivity; quality; requirements")</f>
        <v>data entry; data processing; monitoring system; productivity; quality; requirements</v>
      </c>
      <c r="I657" s="10" t="b">
        <v>0</v>
      </c>
      <c r="J657" s="10" t="b">
        <v>0</v>
      </c>
      <c r="K657" s="10" t="b">
        <v>0</v>
      </c>
      <c r="L657" s="10" t="b">
        <v>0</v>
      </c>
      <c r="M657" s="10" t="b">
        <v>0</v>
      </c>
      <c r="N657" s="10" t="b">
        <v>0</v>
      </c>
      <c r="O657" s="11" t="b">
        <f t="shared" si="1"/>
        <v>0</v>
      </c>
      <c r="P657" s="16" t="b">
        <v>0</v>
      </c>
      <c r="Q657" s="7"/>
    </row>
    <row r="658">
      <c r="A658" s="5" t="b">
        <v>1</v>
      </c>
      <c r="B658" s="5" t="s">
        <v>701</v>
      </c>
      <c r="C658" s="6" t="str">
        <f>IFERROR(__xludf.DUMMYFUNCTION("""COMPUTED_VALUE"""),"10.1016/0950-5849(95)01082-3")</f>
        <v>10.1016/0950-5849(95)01082-3</v>
      </c>
      <c r="D658" s="7" t="str">
        <f>IFERROR(__xludf.DUMMYFUNCTION("""COMPUTED_VALUE"""),"Torii K.; Matsumoto K.-I.")</f>
        <v>Torii K.; Matsumoto K.-I.</v>
      </c>
      <c r="E658" s="7" t="str">
        <f>IFERROR(__xludf.DUMMYFUNCTION("""COMPUTED_VALUE"""),"Quantitative analytic approaches in software engineering")</f>
        <v>Quantitative analytic approaches in software engineering</v>
      </c>
      <c r="F658" s="7" t="str">
        <f>IFERROR(__xludf.DUMMYFUNCTION("""COMPUTED_VALUE"""),"IST")</f>
        <v>IST</v>
      </c>
      <c r="G658" s="7" t="str">
        <f>IFERROR(__xludf.DUMMYFUNCTION("""COMPUTED_VALUE"""),"This paper describes the current state of quantitative analysis in software engineering along with the overview on software engineering papers published in Japan in the 1990s and the history of implementation and application of the GINGER system, which is"&amp;" a measurement-based programming support system with real-time feedback. The topics of papers concerning quantitative analysis in software engineering can be classified into four major groups: 'Quality', 'Sizing', 'Human', and 'Code-level diagnosis'. Most"&amp;" of them take a model-based approach and include experimental projects. At this stage, 'Specification-level' and 'Design-level' analysis is not so common, but we believe GINGER can make it easy to quantitatively analyse products and processes at these lev"&amp;"els with the advent of modern CASE tools.")</f>
        <v>This paper describes the current state of quantitative analysis in software engineering along with the overview on software engineering papers published in Japan in the 1990s and the history of implementation and application of the GINGER system, which is a measurement-based programming support system with real-time feedback. The topics of papers concerning quantitative analysis in software engineering can be classified into four major groups: 'Quality', 'Sizing', 'Human', and 'Code-level diagnosis'. Most of them take a model-based approach and include experimental projects. At this stage, 'Specification-level' and 'Design-level' analysis is not so common, but we believe GINGER can make it easy to quantitatively analyse products and processes at these levels with the advent of modern CASE tools.</v>
      </c>
      <c r="H658" s="8" t="str">
        <f>IFERROR(__xludf.DUMMYFUNCTION("""COMPUTED_VALUE"""),"Measurement environment; Quantitative analysis; Software metrics")</f>
        <v>Measurement environment; Quantitative analysis; Software metrics</v>
      </c>
      <c r="I658" s="10" t="b">
        <v>0</v>
      </c>
      <c r="J658" s="10" t="b">
        <v>0</v>
      </c>
      <c r="K658" s="10" t="b">
        <v>0</v>
      </c>
      <c r="L658" s="10" t="b">
        <v>0</v>
      </c>
      <c r="M658" s="10" t="b">
        <v>0</v>
      </c>
      <c r="N658" s="10" t="b">
        <v>0</v>
      </c>
      <c r="O658" s="11" t="b">
        <f t="shared" si="1"/>
        <v>0</v>
      </c>
      <c r="P658" s="16" t="b">
        <v>0</v>
      </c>
      <c r="Q658" s="7"/>
    </row>
    <row r="659">
      <c r="A659" s="5" t="b">
        <v>1</v>
      </c>
      <c r="B659" s="5" t="s">
        <v>702</v>
      </c>
      <c r="C659" s="6" t="str">
        <f>IFERROR(__xludf.DUMMYFUNCTION("""COMPUTED_VALUE"""),"10.1016/j.infsof.2012.06.004")</f>
        <v>10.1016/j.infsof.2012.06.004</v>
      </c>
      <c r="D659" s="7" t="str">
        <f>IFERROR(__xludf.DUMMYFUNCTION("""COMPUTED_VALUE"""),"Strasunskas D.; Hakkarainen S.E.")</f>
        <v>Strasunskas D.; Hakkarainen S.E.</v>
      </c>
      <c r="E659" s="7" t="str">
        <f>IFERROR(__xludf.DUMMYFUNCTION("""COMPUTED_VALUE"""),"Domain model-driven software engineering: A method for discovery of dependency links")</f>
        <v>Domain model-driven software engineering: A method for discovery of dependency links</v>
      </c>
      <c r="F659" s="7" t="str">
        <f>IFERROR(__xludf.DUMMYFUNCTION("""COMPUTED_VALUE"""),"IST")</f>
        <v>IST</v>
      </c>
      <c r="G659" s="7" t="str">
        <f>IFERROR(__xludf.DUMMYFUNCTION("""COMPUTED_VALUE"""),"Context: Dependency management often suffers from labor intensity and complexity in creating and maintaining the dependency relations in practice. This is even more critical in a distributed development, in which developers are geographically distributed "&amp;"and a wide variety of tools is used. In those settings, different interpretations of software requirements or usage of different terminologies make it challenging to predict the change impact. Objective: is (a) to describe a method facilitating change man"&amp;"agement in geographically distributed software engineering by effective discovery and establishment of dependency links using domain models; (b) to evaluate the effectiveness of the proposed method. Method: A domain model, providing a common reference poi"&amp;"nt, is used to manage development objects and to automatically support dependency discovery. We propose to associate (annotate) development objects with the concepts from the model. These associations are used to compute dependency among development objec"&amp;"ts, and are stepwise refined to direct dependency links (i.e. enabling product traceability). To evaluate the method, we conducted a laboratory-based randomized experiment on two real cases. Six participants were using an implemented prototype and two com"&amp;"parable tools to perform simulated tasks. Results: In the paper we elaborate on the proposed method discussing its functional steps. Results from the experiment show that the method can be effectively used to assist in discovery of dependency links. Users"&amp;" have discovered on average fourteen percent more dependency links than by using the comparable tools. Conclusions: The proposed method advocates the use of domain models throughout the whole development life-cycle and is apt to facilitate multi-site soft"&amp;"ware engineering. The experimental study and results suggest that the method is effective in the discovery of dependencies among development objects. © 2012 Elsevier B.V. All rights reserved.")</f>
        <v>Context: Dependency management often suffers from labor intensity and complexity in creating and maintaining the dependency relations in practice. This is even more critical in a distributed development, in which developers are geographically distributed and a wide variety of tools is used. In those settings, different interpretations of software requirements or usage of different terminologies make it challenging to predict the change impact. Objective: is (a) to describe a method facilitating change management in geographically distributed software engineering by effective discovery and establishment of dependency links using domain models; (b) to evaluate the effectiveness of the proposed method. Method: A domain model, providing a common reference point, is used to manage development objects and to automatically support dependency discovery. We propose to associate (annotate) development objects with the concepts from the model. These associations are used to compute dependency among development objects, and are stepwise refined to direct dependency links (i.e. enabling product traceability). To evaluate the method, we conducted a laboratory-based randomized experiment on two real cases. Six participants were using an implemented prototype and two comparable tools to perform simulated tasks. Results: In the paper we elaborate on the proposed method discussing its functional steps. Results from the experiment show that the method can be effectively used to assist in discovery of dependency links. Users have discovered on average fourteen percent more dependency links than by using the comparable tools. Conclusions: The proposed method advocates the use of domain models throughout the whole development life-cycle and is apt to facilitate multi-site software engineering. The experimental study and results suggest that the method is effective in the discovery of dependencies among development objects. © 2012 Elsevier B.V. All rights reserved.</v>
      </c>
      <c r="H659" s="8" t="str">
        <f>IFERROR(__xludf.DUMMYFUNCTION("""COMPUTED_VALUE"""),"Dependency management; Domain model-based information system design; Information systems development; Randomized experiment; Software engineering")</f>
        <v>Dependency management; Domain model-based information system design; Information systems development; Randomized experiment; Software engineering</v>
      </c>
      <c r="I659" s="9" t="b">
        <v>1</v>
      </c>
      <c r="J659" s="10" t="b">
        <v>0</v>
      </c>
      <c r="K659" s="9" t="b">
        <v>1</v>
      </c>
      <c r="L659" s="10" t="b">
        <v>0</v>
      </c>
      <c r="M659" s="10" t="b">
        <v>0</v>
      </c>
      <c r="N659" s="10" t="b">
        <v>0</v>
      </c>
      <c r="O659" s="11" t="b">
        <f t="shared" si="1"/>
        <v>0</v>
      </c>
      <c r="P659" s="16" t="b">
        <v>0</v>
      </c>
      <c r="Q659" s="7"/>
    </row>
    <row r="660">
      <c r="A660" s="5" t="b">
        <v>1</v>
      </c>
      <c r="B660" s="5" t="s">
        <v>703</v>
      </c>
      <c r="C660" s="6" t="str">
        <f>IFERROR(__xludf.DUMMYFUNCTION("""COMPUTED_VALUE"""),"10.1016/j.infsof.2011.02.004")</f>
        <v>10.1016/j.infsof.2011.02.004</v>
      </c>
      <c r="D660" s="7" t="str">
        <f>IFERROR(__xludf.DUMMYFUNCTION("""COMPUTED_VALUE"""),"Ochodek M.; Alchimowicz B.; Jurkiewicz J.; Nawrocki J.")</f>
        <v>Ochodek M.; Alchimowicz B.; Jurkiewicz J.; Nawrocki J.</v>
      </c>
      <c r="E660" s="7" t="str">
        <f>IFERROR(__xludf.DUMMYFUNCTION("""COMPUTED_VALUE"""),"Improving the reliability of transaction identification in use cases")</f>
        <v>Improving the reliability of transaction identification in use cases</v>
      </c>
      <c r="F660" s="7" t="str">
        <f>IFERROR(__xludf.DUMMYFUNCTION("""COMPUTED_VALUE"""),"IST")</f>
        <v>IST</v>
      </c>
      <c r="G660" s="7" t="str">
        <f>IFERROR(__xludf.DUMMYFUNCTION("""COMPUTED_VALUE"""),"Context: The concept of transactions is used in Use Case Points (UCP), and in many other functional size measurement methods, to capture the smallest unit of functionality that should be considered while measuring the size of a system. Unfortunately, in t"&amp;"he case of the UCP method at least four methods for use-case transaction identification have been proposed so far. The different approaches to transaction identification and difficulties related to the analysis of requirements expressed in natural languag"&amp;"e can lead to problems in the reliability of functional size measurement. Objective: The goal of this study was to evaluate reliability of transaction identification in use cases (with the methods mentioned in the literature), analyze their weaknesses, an"&amp;"d propose some means for their improvement. Method: A controlled experiment on a group of 120 students was performed to investigate if the methods for transaction identification, known from the literature, provide similar results. In addition, a qualitati"&amp;"ve analysis of the experiment data was performed to investigate the potential problems related to transaction identification in use cases. During the experiment a use-case benchmark specification was used. The automatic methods for transaction identificat"&amp;"ion, proposed in the paper have been validated using the same benchmark by comparing the outcomes provided by these methods to on-average number of transactions identified by the participants of the experiment. Results: A significant difference in the med"&amp;"ian number of transactions was observed between groups using different methods of transaction identification. The Kruskal-Wallis test was performed with the significance level α set to 0.05 and followed by the post-hoc analysis performed according to the "&amp;"procedure proposed by Conover. Also a large intra-method variability was observed. The ratios between the maximum and minimum number of transactions identified by the participants using the same method were equal to 1.96, 3.83, 2.03, and 2.21. The propose"&amp;"d automatic methods for transaction identification provided results consistent with those provided by the participants of the experiment and functional measurement experts. The relative error between the number of transaction identified by the tool and on"&amp;"-average number of transactions identified by the participants of the experiment ranged from 3% to 7%. Conclusions: Human-performed transaction identification is error prone and quite subjective. Its reliability can be improved by automating the process w"&amp;"ith the use of natural language processing techniques. © 2011 Elsevier B.V. All rights reserved.")</f>
        <v>Context: The concept of transactions is used in Use Case Points (UCP), and in many other functional size measurement methods, to capture the smallest unit of functionality that should be considered while measuring the size of a system. Unfortunately, in the case of the UCP method at least four methods for use-case transaction identification have been proposed so far. The different approaches to transaction identification and difficulties related to the analysis of requirements expressed in natural language can lead to problems in the reliability of functional size measurement. Objective: The goal of this study was to evaluate reliability of transaction identification in use cases (with the methods mentioned in the literature), analyze their weaknesses, and propose some means for their improvement. Method: A controlled experiment on a group of 120 students was performed to investigate if the methods for transaction identification, known from the literature, provide similar results. In addition, a qualitative analysis of the experiment data was performed to investigate the potential problems related to transaction identification in use cases. During the experiment a use-case benchmark specification was used. The automatic methods for transaction identification, proposed in the paper have been validated using the same benchmark by comparing the outcomes provided by these methods to on-average number of transactions identified by the participants of the experiment. Results: A significant difference in the median number of transactions was observed between groups using different methods of transaction identification. The Kruskal-Wallis test was performed with the significance level α set to 0.05 and followed by the post-hoc analysis performed according to the procedure proposed by Conover. Also a large intra-method variability was observed. The ratios between the maximum and minimum number of transactions identified by the participants using the same method were equal to 1.96, 3.83, 2.03, and 2.21. The proposed automatic methods for transaction identification provided results consistent with those provided by the participants of the experiment and functional measurement experts. The relative error between the number of transaction identified by the tool and on-average number of transactions identified by the participants of the experiment ranged from 3% to 7%. Conclusions: Human-performed transaction identification is error prone and quite subjective. Its reliability can be improved by automating the process with the use of natural language processing techniques. © 2011 Elsevier B.V. All rights reserved.</v>
      </c>
      <c r="H660" s="8" t="str">
        <f>IFERROR(__xludf.DUMMYFUNCTION("""COMPUTED_VALUE"""),"Functional size measurement; Natural language processing; Use Case Points; Use-case transactions")</f>
        <v>Functional size measurement; Natural language processing; Use Case Points; Use-case transactions</v>
      </c>
      <c r="I660" s="9" t="b">
        <v>1</v>
      </c>
      <c r="J660" s="9" t="b">
        <v>1</v>
      </c>
      <c r="K660" s="9" t="b">
        <v>1</v>
      </c>
      <c r="L660" s="10" t="b">
        <v>0</v>
      </c>
      <c r="M660" s="10" t="b">
        <v>0</v>
      </c>
      <c r="N660" s="10" t="b">
        <v>0</v>
      </c>
      <c r="O660" s="11" t="b">
        <f t="shared" si="1"/>
        <v>1</v>
      </c>
      <c r="P660" s="16" t="b">
        <v>0</v>
      </c>
      <c r="Q660" s="7"/>
    </row>
    <row r="661">
      <c r="A661" s="5" t="b">
        <v>1</v>
      </c>
      <c r="B661" s="5" t="s">
        <v>704</v>
      </c>
      <c r="C661" s="6" t="str">
        <f>IFERROR(__xludf.DUMMYFUNCTION("""COMPUTED_VALUE"""),"10.1016/j.infsof.2010.11.001")</f>
        <v>10.1016/j.infsof.2010.11.001</v>
      </c>
      <c r="D661" s="7" t="str">
        <f>IFERROR(__xludf.DUMMYFUNCTION("""COMPUTED_VALUE"""),"Park W.-J.; Bae D.-H.")</f>
        <v>Park W.-J.; Bae D.-H.</v>
      </c>
      <c r="E661" s="7" t="str">
        <f>IFERROR(__xludf.DUMMYFUNCTION("""COMPUTED_VALUE"""),"A two-stage framework for UML specification matching")</f>
        <v>A two-stage framework for UML specification matching</v>
      </c>
      <c r="F661" s="7" t="str">
        <f>IFERROR(__xludf.DUMMYFUNCTION("""COMPUTED_VALUE"""),"IST")</f>
        <v>IST</v>
      </c>
      <c r="G661" s="7" t="str">
        <f>IFERROR(__xludf.DUMMYFUNCTION("""COMPUTED_VALUE"""),"Context: Specification matching techniques are crucial for effective retrieval processes. Despite the prevalence for object-oriented methodologies, little attention has been given to Unified Modeling Language (UML) for matching. Objective: This paper pres"&amp;"ents a two-stage framework for matching two UML specifications and quantifying the results based on the systematic integration of their structural and behavioral similarities in order to identify the candidate component set for reuse. Method: The first st"&amp;"age in the framework is an evaluation of the similarities between UML class diagrams using the Structure-Mapping Engine (SME), a simulation of the analogical reasoning approach known as the structure-mapping theory. The second stage, performed on the comp"&amp;"onents identified in the first stage, is based on a graph-similarity scoring algorithm in which UML class diagrams and sequence diagrams are transformed into an SME representation and a Message-Object-Order Graph (MOOG). The effectiveness of the proposed "&amp;"framework was evaluated using a case study. Results: The experimental results showed a reduction in potential mismatches and an overall high precision and recall. Conclusion: It is concluded that the two-stage framework is capable of performing more preci"&amp;"se matching compared to those of other single-stage matching frameworks. Moreover, the two-stage framework could be utilized within a reuse process, bypassing the need for extra information for retrieval of the components described by UML. © 2010 Elsevier"&amp;" B.V. All rights reserved.")</f>
        <v>Context: Specification matching techniques are crucial for effective retrieval processes. Despite the prevalence for object-oriented methodologies, little attention has been given to Unified Modeling Language (UML) for matching. Objective: This paper presents a two-stage framework for matching two UML specifications and quantifying the results based on the systematic integration of their structural and behavioral similarities in order to identify the candidate component set for reuse. Method: The first stage in the framework is an evaluation of the similarities between UML class diagrams using the Structure-Mapping Engine (SME), a simulation of the analogical reasoning approach known as the structure-mapping theory. The second stage, performed on the components identified in the first stage, is based on a graph-similarity scoring algorithm in which UML class diagrams and sequence diagrams are transformed into an SME representation and a Message-Object-Order Graph (MOOG). The effectiveness of the proposed framework was evaluated using a case study. Results: The experimental results showed a reduction in potential mismatches and an overall high precision and recall. Conclusion: It is concluded that the two-stage framework is capable of performing more precise matching compared to those of other single-stage matching frameworks. Moreover, the two-stage framework could be utilized within a reuse process, bypassing the need for extra information for retrieval of the components described by UML. © 2010 Elsevier B.V. All rights reserved.</v>
      </c>
      <c r="H661" s="8" t="str">
        <f>IFERROR(__xludf.DUMMYFUNCTION("""COMPUTED_VALUE"""),"Graph similarity scoring; Specification matching; Structure mapping; UML")</f>
        <v>Graph similarity scoring; Specification matching; Structure mapping; UML</v>
      </c>
      <c r="I661" s="10" t="b">
        <v>0</v>
      </c>
      <c r="J661" s="10" t="b">
        <v>0</v>
      </c>
      <c r="K661" s="10" t="b">
        <v>0</v>
      </c>
      <c r="L661" s="10" t="b">
        <v>0</v>
      </c>
      <c r="M661" s="10" t="b">
        <v>0</v>
      </c>
      <c r="N661" s="10" t="b">
        <v>0</v>
      </c>
      <c r="O661" s="11" t="b">
        <f t="shared" si="1"/>
        <v>0</v>
      </c>
      <c r="P661" s="16" t="b">
        <v>0</v>
      </c>
      <c r="Q661" s="7"/>
    </row>
    <row r="662">
      <c r="A662" s="5" t="b">
        <v>1</v>
      </c>
      <c r="B662" s="5" t="s">
        <v>705</v>
      </c>
      <c r="C662" s="6" t="str">
        <f>IFERROR(__xludf.DUMMYFUNCTION("""COMPUTED_VALUE"""),"10.1016/j.infsof.2011.06.010")</f>
        <v>10.1016/j.infsof.2011.06.010</v>
      </c>
      <c r="D662" s="7" t="str">
        <f>IFERROR(__xludf.DUMMYFUNCTION("""COMPUTED_VALUE"""),"Lin C.F.; Sheu R.-K.; Chang Y.-S.; Yuan S.-M.")</f>
        <v>Lin C.F.; Sheu R.-K.; Chang Y.-S.; Yuan S.-M.</v>
      </c>
      <c r="E662" s="7" t="str">
        <f>IFERROR(__xludf.DUMMYFUNCTION("""COMPUTED_VALUE"""),"A relaxable service selection algorithm for QoS-based web service composition")</f>
        <v>A relaxable service selection algorithm for QoS-based web service composition</v>
      </c>
      <c r="F662" s="7" t="str">
        <f>IFERROR(__xludf.DUMMYFUNCTION("""COMPUTED_VALUE"""),"IST")</f>
        <v>IST</v>
      </c>
      <c r="G662" s="7" t="str">
        <f>IFERROR(__xludf.DUMMYFUNCTION("""COMPUTED_VALUE"""),"Context: Web services are emerging technologies that enable application to application communication and reuse of autonomous services over Web. Composition of web services is a concept of integrating individual web services to conduct complex business tra"&amp;"nsactions based on functionality and performance constraints Objective: To satisfy user requirements, technologies of Quality of service (QoS)-based web service composition (QWSC) are widely used to build complex applications by discovering the best-fit w"&amp;"eb services in term of QoS. Method: In this paper, a QoS-based service selection (RQSS) algorithm is proposed to help composite web application development by discovering feasible web services based on functionalities and QoS criteria of user requirements"&amp;". The RQSS recommends prospective service candidates to users by relaxing QoS constraints if no suitable or available web service could exactly fulfill user requirements. Results: A generic framework is implemented to demonstrate the feasibility and perfo"&amp;"rmance of RQSS by adapting WS-BPEL standards, and can be reused for QoS-based web composition applications. Conclusion: The experimental results show that the RQSS algorithm indeed performs well and increases the system availability and reliability. © 201"&amp;"1 Elsevier B.V. All rights reserved.")</f>
        <v>Context: Web services are emerging technologies that enable application to application communication and reuse of autonomous services over Web. Composition of web services is a concept of integrating individual web services to conduct complex business transactions based on functionality and performance constraints Objective: To satisfy user requirements, technologies of Quality of service (QoS)-based web service composition (QWSC) are widely used to build complex applications by discovering the best-fit web services in term of QoS. Method: In this paper, a QoS-based service selection (RQSS) algorithm is proposed to help composite web application development by discovering feasible web services based on functionalities and QoS criteria of user requirements. The RQSS recommends prospective service candidates to users by relaxing QoS constraints if no suitable or available web service could exactly fulfill user requirements. Results: A generic framework is implemented to demonstrate the feasibility and performance of RQSS by adapting WS-BPEL standards, and can be reused for QoS-based web composition applications. Conclusion: The experimental results show that the RQSS algorithm indeed performs well and increases the system availability and reliability. © 2011 Elsevier B.V. All rights reserved.</v>
      </c>
      <c r="H662" s="8" t="str">
        <f>IFERROR(__xludf.DUMMYFUNCTION("""COMPUTED_VALUE"""),"Quality of service; Service composition; Service selection; Web service")</f>
        <v>Quality of service; Service composition; Service selection; Web service</v>
      </c>
      <c r="I662" s="10" t="b">
        <v>0</v>
      </c>
      <c r="J662" s="10" t="b">
        <v>0</v>
      </c>
      <c r="K662" s="10" t="b">
        <v>0</v>
      </c>
      <c r="L662" s="10" t="b">
        <v>0</v>
      </c>
      <c r="M662" s="10" t="b">
        <v>0</v>
      </c>
      <c r="N662" s="10" t="b">
        <v>0</v>
      </c>
      <c r="O662" s="11" t="b">
        <f t="shared" si="1"/>
        <v>0</v>
      </c>
      <c r="P662" s="16" t="b">
        <v>0</v>
      </c>
      <c r="Q662" s="7"/>
    </row>
    <row r="663">
      <c r="A663" s="5" t="b">
        <v>1</v>
      </c>
      <c r="B663" s="5" t="s">
        <v>706</v>
      </c>
      <c r="C663" s="6" t="str">
        <f>IFERROR(__xludf.DUMMYFUNCTION("""COMPUTED_VALUE"""),"10.1016/j.infsof.2006.11.007")</f>
        <v>10.1016/j.infsof.2006.11.007</v>
      </c>
      <c r="D663" s="7" t="str">
        <f>IFERROR(__xludf.DUMMYFUNCTION("""COMPUTED_VALUE"""),"Ko Y.; Park S.; Seo J.; Choi S.")</f>
        <v>Ko Y.; Park S.; Seo J.; Choi S.</v>
      </c>
      <c r="E663" s="7" t="str">
        <f>IFERROR(__xludf.DUMMYFUNCTION("""COMPUTED_VALUE"""),"Using classification techniques for informal requirements in the requirements analysis-supporting system")</f>
        <v>Using classification techniques for informal requirements in the requirements analysis-supporting system</v>
      </c>
      <c r="F663" s="7" t="str">
        <f>IFERROR(__xludf.DUMMYFUNCTION("""COMPUTED_VALUE"""),"IST")</f>
        <v>IST</v>
      </c>
      <c r="G663" s="7" t="str">
        <f>IFERROR(__xludf.DUMMYFUNCTION("""COMPUTED_VALUE"""),"In order to efficiently develop large-scale and complicated software, it is important for system engineers to correctly understand users' requirements. Most requirements in large-scale projects are collected from various stakeholders located in various re"&amp;"gions, and they are generally written in natural language. Therefore, the initial collected requirements must be classified into various topics prior to analysis phases in order to be usable as input in several requirements analysis methods. If this class"&amp;"ification process is manually done by analysts, it becomes a time-consuming task. To solve this problem, we propose a new bootstrapping method which can automatically classify requirements sentences into each topic category using only topic words as the r"&amp;"epresentative of the analysts' views. The proposed method is verified through experiments using two requirements data sets: one written in English and the other in Korean. The significant performances were achieved in the experiments: the 84.28 and 87.91 "&amp;"F1 scores for the English and Korean data sets, respectively. As a result, the proposed method can provide an effective function for an Internet-based requirements analysis-supporting system so as to efficiently gather and analyze requirements from variou"&amp;"s and distributed stakeholders by using the Internet. © 2006 Elsevier B.V. All rights reserved.")</f>
        <v>In order to efficiently develop large-scale and complicated software, it is important for system engineers to correctly understand users' requirements. Most requirements in large-scale projects are collected from various stakeholders located in various regions, and they are generally written in natural language. Therefore, the initial collected requirements must be classified into various topics prior to analysis phases in order to be usable as input in several requirements analysis methods. If this classification process is manually done by analysts, it becomes a time-consuming task. To solve this problem, we propose a new bootstrapping method which can automatically classify requirements sentences into each topic category using only topic words as the representative of the analysts' views. The proposed method is verified through experiments using two requirements data sets: one written in English and the other in Korean. The significant performances were achieved in the experiments: the 84.28 and 87.91 F1 scores for the English and Korean data sets, respectively. As a result, the proposed method can provide an effective function for an Internet-based requirements analysis-supporting system so as to efficiently gather and analyze requirements from various and distributed stakeholders by using the Internet. © 2006 Elsevier B.V. All rights reserved.</v>
      </c>
      <c r="H663" s="8" t="str">
        <f>IFERROR(__xludf.DUMMYFUNCTION("""COMPUTED_VALUE"""),"Internet-based application system; Requirements classification; Requirements engineering; Similarity measure")</f>
        <v>Internet-based application system; Requirements classification; Requirements engineering; Similarity measure</v>
      </c>
      <c r="I663" s="10" t="b">
        <v>0</v>
      </c>
      <c r="J663" s="10" t="b">
        <v>0</v>
      </c>
      <c r="K663" s="10" t="b">
        <v>0</v>
      </c>
      <c r="L663" s="10" t="b">
        <v>0</v>
      </c>
      <c r="M663" s="10" t="b">
        <v>0</v>
      </c>
      <c r="N663" s="10" t="b">
        <v>0</v>
      </c>
      <c r="O663" s="11" t="b">
        <f t="shared" si="1"/>
        <v>0</v>
      </c>
      <c r="P663" s="16" t="b">
        <v>0</v>
      </c>
      <c r="Q663" s="7"/>
    </row>
    <row r="664">
      <c r="A664" s="5" t="b">
        <v>1</v>
      </c>
      <c r="B664" s="5" t="s">
        <v>707</v>
      </c>
      <c r="C664" s="6" t="str">
        <f>IFERROR(__xludf.DUMMYFUNCTION("""COMPUTED_VALUE"""),"10.1016/j.infsof.2004.08.009")</f>
        <v>10.1016/j.infsof.2004.08.009</v>
      </c>
      <c r="D664" s="7" t="str">
        <f>IFERROR(__xludf.DUMMYFUNCTION("""COMPUTED_VALUE"""),"Kabeli J.; Shoval P.")</f>
        <v>Kabeli J.; Shoval P.</v>
      </c>
      <c r="E664" s="7" t="str">
        <f>IFERROR(__xludf.DUMMYFUNCTION("""COMPUTED_VALUE"""),"Comprehension and quality of analysis specifications - A comparison of FOOM and OPM methodologies")</f>
        <v>Comprehension and quality of analysis specifications - A comparison of FOOM and OPM methodologies</v>
      </c>
      <c r="F664" s="7" t="str">
        <f>IFERROR(__xludf.DUMMYFUNCTION("""COMPUTED_VALUE"""),"IST")</f>
        <v>IST</v>
      </c>
      <c r="G664" s="7" t="str">
        <f>IFERROR(__xludf.DUMMYFUNCTION("""COMPUTED_VALUE"""),"FOOM - Functional and Object Oriented Methodology - combines two essential software-engineering paradigms: the functional (or process-oriented) approach and the object-oriented (OO) approach. The two main products of the analysis phase of FOOM are an init"&amp;"ial class diagram and OO-DFDs (dataflow diagrams including data classes rather than traditional data-stores). We evaluated these analysis products by comparing them with the analysis products of OPM - Object-Process Methodology - which also combines the f"&amp;"unctional and object-oriented approaches, using a unified diagrammatic notation. FOOM and OPM were compared in two controlled experiments from two main points of view: users and analysts. From the point of view of users we compared mainly comprehension of"&amp;" analysis specifications in each methodology. From the point of view of analysts we compared mainly quality, namely correctness of specifications created by analysts who utilized the two methodologies. The main results of the experiments are that FOOM spe"&amp;"cifications are more comprehensible and preferred by users, and that analysts create more correct specifications when using FOOM methodology. © 2004 Elsevier B.V. All rights reserved.")</f>
        <v>FOOM - Functional and Object Oriented Methodology - combines two essential software-engineering paradigms: the functional (or process-oriented) approach and the object-oriented (OO) approach. The two main products of the analysis phase of FOOM are an initial class diagram and OO-DFDs (dataflow diagrams including data classes rather than traditional data-stores). We evaluated these analysis products by comparing them with the analysis products of OPM - Object-Process Methodology - 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 2004 Elsevier B.V. All rights reserved.</v>
      </c>
      <c r="H664" s="8" t="str">
        <f>IFERROR(__xludf.DUMMYFUNCTION("""COMPUTED_VALUE"""),"ADISSA; Conceptual modeling; Data modeling; Experimentation; FOOM; Functional analysis; Method engineering; Method evaluation and comparison; Object-oriented analysis and design; OPM; Requirements engineering; System development methodologies")</f>
        <v>ADISSA; Conceptual modeling; Data modeling; Experimentation; FOOM; Functional analysis; Method engineering; Method evaluation and comparison; Object-oriented analysis and design; OPM; Requirements engineering; System development methodologies</v>
      </c>
      <c r="I664" s="9" t="b">
        <v>1</v>
      </c>
      <c r="J664" s="10" t="b">
        <v>0</v>
      </c>
      <c r="K664" s="9" t="b">
        <v>1</v>
      </c>
      <c r="L664" s="10" t="b">
        <v>0</v>
      </c>
      <c r="M664" s="10" t="b">
        <v>0</v>
      </c>
      <c r="N664" s="10" t="b">
        <v>0</v>
      </c>
      <c r="O664" s="11" t="b">
        <f t="shared" si="1"/>
        <v>0</v>
      </c>
      <c r="P664" s="16" t="b">
        <v>0</v>
      </c>
      <c r="Q664" s="7"/>
    </row>
    <row r="665">
      <c r="A665" s="5" t="b">
        <v>1</v>
      </c>
      <c r="B665" s="5" t="s">
        <v>708</v>
      </c>
      <c r="C665" s="6" t="str">
        <f>IFERROR(__xludf.DUMMYFUNCTION("""COMPUTED_VALUE"""),"10.1016/j.infsof.2004.08.003")</f>
        <v>10.1016/j.infsof.2004.08.003</v>
      </c>
      <c r="D665" s="7" t="str">
        <f>IFERROR(__xludf.DUMMYFUNCTION("""COMPUTED_VALUE"""),"Thirunarayan K.; Berkovich A.; Sokol D.Z.")</f>
        <v>Thirunarayan K.; Berkovich A.; Sokol D.Z.</v>
      </c>
      <c r="E665" s="7" t="str">
        <f>IFERROR(__xludf.DUMMYFUNCTION("""COMPUTED_VALUE"""),"An information extraction approach to reorganizing and summarizing specifications")</f>
        <v>An information extraction approach to reorganizing and summarizing specifications</v>
      </c>
      <c r="F665" s="7" t="str">
        <f>IFERROR(__xludf.DUMMYFUNCTION("""COMPUTED_VALUE"""),"IST")</f>
        <v>IST</v>
      </c>
      <c r="G665" s="7" t="str">
        <f>IFERROR(__xludf.DUMMYFUNCTION("""COMPUTED_VALUE"""),"Materials and Process Specifications are complex semi-structured documents containing numeric data, text, and images. This article describes a coarse-grain extraction technique to automatically reorganize and summarize spec content. Specifically, a strate"&amp;"gy for semantic-markup, to capture content within a semantic ontology, relevant to semi-automatic extraction, has been developed and experimented with. The working prototypes were built in the context of Cohesia's existing software infrastructure, and use"&amp;" techniques from Information Extraction, XML technology, etc. © 2004 Elsevier B.V. All rights reserved.")</f>
        <v>Materials and Process Specifications are complex semi-structured documents containing numeric data, text, and images. This article describes a coarse-grain extraction technique to automatically reorganize and summarize spec content. Specifically, a strategy for semantic-markup, to capture content within a semantic ontology, relevant to semi-automatic extraction, has been developed and experimented with. The working prototypes were built in the context of Cohesia's existing software infrastructure, and use techniques from Information Extraction, XML technology, etc. © 2004 Elsevier B.V. All rights reserved.</v>
      </c>
      <c r="H665" s="8" t="str">
        <f>IFERROR(__xludf.DUMMYFUNCTION("""COMPUTED_VALUE"""),"Heterogeneous documents; Information extraction; Knowledge engineering; Knowledge management")</f>
        <v>Heterogeneous documents; Information extraction; Knowledge engineering; Knowledge management</v>
      </c>
      <c r="I665" s="10" t="b">
        <v>0</v>
      </c>
      <c r="J665" s="10" t="b">
        <v>0</v>
      </c>
      <c r="K665" s="10" t="b">
        <v>0</v>
      </c>
      <c r="L665" s="10" t="b">
        <v>0</v>
      </c>
      <c r="M665" s="10" t="b">
        <v>0</v>
      </c>
      <c r="N665" s="10" t="b">
        <v>0</v>
      </c>
      <c r="O665" s="11" t="b">
        <f t="shared" si="1"/>
        <v>0</v>
      </c>
      <c r="P665" s="16" t="b">
        <v>0</v>
      </c>
      <c r="Q665" s="7"/>
    </row>
    <row r="666">
      <c r="A666" s="5" t="b">
        <v>1</v>
      </c>
      <c r="B666" s="5" t="s">
        <v>709</v>
      </c>
      <c r="C666" s="6" t="str">
        <f>IFERROR(__xludf.DUMMYFUNCTION("""COMPUTED_VALUE"""),"10.1016/j.infsof.2011.01.005")</f>
        <v>10.1016/j.infsof.2011.01.005</v>
      </c>
      <c r="D666" s="7" t="str">
        <f>IFERROR(__xludf.DUMMYFUNCTION("""COMPUTED_VALUE"""),"Baharom S.; Shukur Z.")</f>
        <v>Baharom S.; Shukur Z.</v>
      </c>
      <c r="E666" s="7" t="str">
        <f>IFERROR(__xludf.DUMMYFUNCTION("""COMPUTED_VALUE"""),"An experimental assessment of module documentation-based testing")</f>
        <v>An experimental assessment of module documentation-based testing</v>
      </c>
      <c r="F666" s="7" t="str">
        <f>IFERROR(__xludf.DUMMYFUNCTION("""COMPUTED_VALUE"""),"IST")</f>
        <v>IST</v>
      </c>
      <c r="G666" s="7" t="str">
        <f>IFERROR(__xludf.DUMMYFUNCTION("""COMPUTED_VALUE"""),"Context: Testing a module that has memory using the black-box approach has been found to be expensive and relatively ineffective. Instead, testing without knowledge of the specifications (white-box approach) may not be effective in showing whether a progr"&amp;"am has been properly implemented as stated in its specifications. We propose instead a grey-box approach called Module Documentation-based Testing or MD-Test, the heart of which is an automatic generation of the test oracle from the external and internal "&amp;"views of the module. Objective: This paper presents an empirical analysis and comparison of MD-Test against three existing testing tools. Method: The experiment was conducted using a mutation-testing approach, in two phases that assess the capability of M"&amp;"D-Test in general and its capability of evaluating test results in particular. Results: The results of the general assessment indicate that MD-Test is more effective than the other three tools under comparison, where it is able to detect all faults. The s"&amp;"econd phase of the experiment, which is significant to this study, compares the capabilities of MD-Test and JUnit-black using the test evaluation results. Likewise, an analysis of the test evaluation results shows that MD-Test is more effective and effici"&amp;"ent, where MD-Test is able to detect at least the same number of faults as, or is at par with, the black-box approach. Conclusion: It is concluded that test evaluation using grey-box approach is more effective and efficient that the black-box approach whe"&amp;"n testing a module that has memory. © 2011 Elsevier B.V. All rights reserved.")</f>
        <v>Context: Testing a module that has memory using the black-box approach has been found to be expensive and relatively ineffective. Instead, testing without knowledge of the specifications (white-box approach) may not be effective in showing whether a program has been properly implemented as stated in its specifications. We propose instead a grey-box approach called Module Documentation-based Testing or MD-Test, the heart of which is an automatic generation of the test oracle from the external and internal views of the module. Objective: This paper presents an empirical analysis and comparison of MD-Test against three existing testing tools. Method: The experiment was conducted using a mutation-testing approach, in two phases that assess the capability of MD-Test in general and its capability of evaluating test results in particular. Results: The results of the general assessment indicate that MD-Test is more effective than the other three tools under comparison, where it is able to detect all faults. The second phase of the experiment, which is significant to this study, compares the capabilities of MD-Test and JUnit-black using the test evaluation results. Likewise, an analysis of the test evaluation results shows that MD-Test is more effective and efficient, where MD-Test is able to detect at least the same number of faults as, or is at par with, the black-box approach. Conclusion: It is concluded that test evaluation using grey-box approach is more effective and efficient that the black-box approach when testing a module that has memory. © 2011 Elsevier B.V. All rights reserved.</v>
      </c>
      <c r="H666" s="8" t="str">
        <f>IFERROR(__xludf.DUMMYFUNCTION("""COMPUTED_VALUE"""),"Automated module testing; Grey-box testing; Mutation-testing; Specification-based testing")</f>
        <v>Automated module testing; Grey-box testing; Mutation-testing; Specification-based testing</v>
      </c>
      <c r="I666" s="10" t="b">
        <v>0</v>
      </c>
      <c r="J666" s="10" t="b">
        <v>0</v>
      </c>
      <c r="K666" s="10" t="b">
        <v>0</v>
      </c>
      <c r="L666" s="10" t="b">
        <v>0</v>
      </c>
      <c r="M666" s="10" t="b">
        <v>0</v>
      </c>
      <c r="N666" s="10" t="b">
        <v>0</v>
      </c>
      <c r="O666" s="11" t="b">
        <f t="shared" si="1"/>
        <v>0</v>
      </c>
      <c r="P666" s="16" t="b">
        <v>0</v>
      </c>
      <c r="Q666" s="7"/>
    </row>
    <row r="667">
      <c r="A667" s="5" t="b">
        <v>1</v>
      </c>
      <c r="B667" s="5" t="s">
        <v>710</v>
      </c>
      <c r="C667" s="6" t="str">
        <f>IFERROR(__xludf.DUMMYFUNCTION("""COMPUTED_VALUE"""),"10.1016/j.infsof.2008.05.016")</f>
        <v>10.1016/j.infsof.2008.05.016</v>
      </c>
      <c r="D667" s="7" t="str">
        <f>IFERROR(__xludf.DUMMYFUNCTION("""COMPUTED_VALUE"""),"Ran L.; Dyreson C.; Andrews A.; Bryce R.; Mallery C.")</f>
        <v>Ran L.; Dyreson C.; Andrews A.; Bryce R.; Mallery C.</v>
      </c>
      <c r="E667" s="7" t="str">
        <f>IFERROR(__xludf.DUMMYFUNCTION("""COMPUTED_VALUE"""),"Building test cases and oracles to automate the testing of web database applications")</f>
        <v>Building test cases and oracles to automate the testing of web database applications</v>
      </c>
      <c r="F667" s="7" t="str">
        <f>IFERROR(__xludf.DUMMYFUNCTION("""COMPUTED_VALUE"""),"IST")</f>
        <v>IST</v>
      </c>
      <c r="G667" s="7" t="str">
        <f>IFERROR(__xludf.DUMMYFUNCTION("""COMPUTED_VALUE"""),"Many organizations rely on web applications that use back-end databases to store important data. Testing such applications requires significant effort. Manual testing alone is often impractical, so testers also rely on automated testing techniques. Howeve"&amp;"r, current automated testing techniques may produce false positives (or false negatives) even in a perfectly working system because the outcome of a test case depends on the state of the database which changes over time as data is inserted and deleted. Th"&amp;"e Automatic Database Tester (AutoDBT) generates functional test cases that account for database updates. AutoDBT takes as input a model of the application and a set of testing criteria. The model consists of a state transition diagram that shows how users"&amp;" navigate pages, a data specification that captures how data flows, and an update specification that shows how the database is updated. AutoDBT generates guard queries to determine whether the database is in a state conducive to performing and evaluating "&amp;"tests. AutoDBT also generates partial oracles to help validate whether a back-end database is updated correctly during testing. This paper describes the design of AutoDBT, a prototype implementation, several experiments with the prototype, and four case s"&amp;"tudies. © 2008 Elsevier B.V. All rights reserved.")</f>
        <v>Many organizations rely on web applications that use back-end databases to store important data. Testing such applications requires significant effort. Manual testing alone is often impractical, so testers also rely on automated testing techniques. However, current automated testing techniques may produce false positives (or false negatives) even in a perfectly working system because the outcome of a test case depends on the state of the database which changes over time as data is inserted and deleted. The Automatic Database Tester (AutoDBT) generates functional test cases that account for database updates. AutoDBT takes as input a model of the application and a set of testing criteria. The model consists of a state transition diagram that shows how users navigate pages, a data specification that captures how data flows, and an update specification that shows how the database is updated. AutoDBT generates guard queries to determine whether the database is in a state conducive to performing and evaluating tests. AutoDBT also generates partial oracles to help validate whether a back-end database is updated correctly during testing. This paper describes the design of AutoDBT, a prototype implementation, several experiments with the prototype, and four case studies. © 2008 Elsevier B.V. All rights reserved.</v>
      </c>
      <c r="H667" s="8" t="str">
        <f>IFERROR(__xludf.DUMMYFUNCTION("""COMPUTED_VALUE"""),"Database modification; Functional testing; Software testing; Web applications")</f>
        <v>Database modification; Functional testing; Software testing; Web applications</v>
      </c>
      <c r="I667" s="10" t="b">
        <v>0</v>
      </c>
      <c r="J667" s="10" t="b">
        <v>0</v>
      </c>
      <c r="K667" s="10" t="b">
        <v>0</v>
      </c>
      <c r="L667" s="10" t="b">
        <v>0</v>
      </c>
      <c r="M667" s="10" t="b">
        <v>0</v>
      </c>
      <c r="N667" s="10" t="b">
        <v>0</v>
      </c>
      <c r="O667" s="11" t="b">
        <f t="shared" si="1"/>
        <v>0</v>
      </c>
      <c r="P667" s="16" t="b">
        <v>0</v>
      </c>
      <c r="Q667" s="7"/>
    </row>
    <row r="668">
      <c r="A668" s="5" t="b">
        <v>1</v>
      </c>
      <c r="B668" s="5" t="s">
        <v>711</v>
      </c>
      <c r="C668" s="6" t="str">
        <f>IFERROR(__xludf.DUMMYFUNCTION("""COMPUTED_VALUE"""),"10.1016/0950-5849(87)90281-3")</f>
        <v>10.1016/0950-5849(87)90281-3</v>
      </c>
      <c r="D668" s="7" t="str">
        <f>IFERROR(__xludf.DUMMYFUNCTION("""COMPUTED_VALUE"""),"Redmond J.A.; Ryan K.T.")</f>
        <v>Redmond J.A.; Ryan K.T.</v>
      </c>
      <c r="E668" s="7" t="str">
        <f>IFERROR(__xludf.DUMMYFUNCTION("""COMPUTED_VALUE"""),"Prospects for a method - driven software development environment")</f>
        <v>Prospects for a method - driven software development environment</v>
      </c>
      <c r="F668" s="7" t="str">
        <f>IFERROR(__xludf.DUMMYFUNCTION("""COMPUTED_VALUE"""),"IST")</f>
        <v>IST</v>
      </c>
      <c r="G668" s="7" t="str">
        <f>IFERROR(__xludf.DUMMYFUNCTION("""COMPUTED_VALUE"""),"A promising approach to the automation of the software production process is the support of multiple methods. A project to produce a method-driven environment is described. The requirements to be met by the environment are outlined and a number of existin"&amp;"g environments are evaluated from this viewpoint. Some approaches to meeting their shortcomings are given. © 1987.")</f>
        <v>A promising approach to the automation of the software production process is the support of multiple methods. A project to produce a method-driven environment is described. The requirements to be met by the environment are outlined and a number of existing environments are evaluated from this viewpoint. Some approaches to meeting their shortcomings are given. © 1987.</v>
      </c>
      <c r="H668" s="8" t="str">
        <f>IFERROR(__xludf.DUMMYFUNCTION("""COMPUTED_VALUE"""),"design histories; experimentation; method driven; non-functional requirements; transformational approach")</f>
        <v>design histories; experimentation; method driven; non-functional requirements; transformational approach</v>
      </c>
      <c r="I668" s="10" t="b">
        <v>0</v>
      </c>
      <c r="J668" s="10" t="b">
        <v>0</v>
      </c>
      <c r="K668" s="10" t="b">
        <v>0</v>
      </c>
      <c r="L668" s="10" t="b">
        <v>0</v>
      </c>
      <c r="M668" s="10" t="b">
        <v>0</v>
      </c>
      <c r="N668" s="10" t="b">
        <v>0</v>
      </c>
      <c r="O668" s="11" t="b">
        <f t="shared" si="1"/>
        <v>0</v>
      </c>
      <c r="P668" s="16" t="b">
        <v>0</v>
      </c>
      <c r="Q668" s="7"/>
    </row>
    <row r="669">
      <c r="A669" s="5" t="b">
        <v>1</v>
      </c>
      <c r="B669" s="5" t="s">
        <v>712</v>
      </c>
      <c r="C669" s="6" t="str">
        <f>IFERROR(__xludf.DUMMYFUNCTION("""COMPUTED_VALUE"""),"10.1016/j.infsof.2005.06.004")</f>
        <v>10.1016/j.infsof.2005.06.004</v>
      </c>
      <c r="D669" s="7" t="str">
        <f>IFERROR(__xludf.DUMMYFUNCTION("""COMPUTED_VALUE"""),"Chang J.H.; Lee W.S.")</f>
        <v>Chang J.H.; Lee W.S.</v>
      </c>
      <c r="E669" s="7" t="str">
        <f>IFERROR(__xludf.DUMMYFUNCTION("""COMPUTED_VALUE"""),"Finding frequent itemsets over online data streams")</f>
        <v>Finding frequent itemsets over online data streams</v>
      </c>
      <c r="F669" s="7" t="str">
        <f>IFERROR(__xludf.DUMMYFUNCTION("""COMPUTED_VALUE"""),"IST")</f>
        <v>IST</v>
      </c>
      <c r="G669" s="7" t="str">
        <f>IFERROR(__xludf.DUMMYFUNCTION("""COMPUTED_VALUE"""),"Conventional data mining methods for finding frequent itemsets require considerable computing time to produce their results from a large data set. Due to this reason, it is almost impossible to apply them to an analysis task in an online data stream where"&amp;" a new transaction is continuously generated at a rapid rate. An algorithm for finding frequent itemsets over an online data stream should support flexible trade-off between processing time and mining accuracy. Furthermore, the most up-to-date resulting s"&amp;"et of frequent itemsets should be available quickly at any moment. To satisfy these requirements, this paper proposes a data mining method for finding frequent itemsets over an online data stream. The proposed method examines each transaction one-by-one w"&amp;"ithout any candidate generation process. The count of an itemset that appears in each transaction is monitored by a lexicographic tree resided in main memory. The current set of monitored itemsets in an online data stream is minimized by two major operati"&amp;"ons: delayed-insertion and pruning. The former is delaying the insertion of a new itemset in recent transactions until the itemset becomes significant enough to be monitored. The latter is pruning a monitored itemset when the itemset turns out to be insig"&amp;"nificant. The number of monitored itemsets can be flexibly controlled by the thresholds of these two operations. As the number of monitored itemsets is decreased, frequent itemsets in the online data stream are more rapidly traced while they are less accu"&amp;"rate. The performance of the proposed method is analyzed through a series of experiments in order to identify its various characteristics. © 2005 Elsevier B.V. All rights reserved.")</f>
        <v>Conventional data mining methods for finding frequent itemsets require considerable computing time to produce their results from a large data set. Due to this reason, it is almost impossible to apply them to an analysis task in an online data stream where a new transaction is continuously generated at a rapid rate. An algorithm for finding frequent itemsets over an online data stream should support flexible trade-off between processing time and mining accuracy. Furthermore, the most up-to-date resulting set of frequent itemsets should be available quickly at any moment. To satisfy these requirements, this paper proposes a data mining method for finding frequent itemsets over an online data stream. The proposed method examines each transaction one-by-one without any candidate generation process. The count of an itemset that appears in each transaction is monitored by a lexicographic tree resided in main memory. The current set of monitored itemsets in an online data stream is minimized by two major operations: delayed-insertion and pruning. The former is delaying the insertion of a new itemset in recent transactions until the itemset becomes significant enough to be monitored. The latter is pruning a monitored itemset when the itemset turns out to be insignificant. The number of monitored itemsets can be flexibly controlled by the thresholds of these two operations. As the number of monitored itemsets is decreased, frequent itemsets in the online data stream are more rapidly traced while they are less accurate. The performance of the proposed method is analyzed through a series of experiments in order to identify its various characteristics. © 2005 Elsevier B.V. All rights reserved.</v>
      </c>
      <c r="H669" s="8" t="str">
        <f>IFERROR(__xludf.DUMMYFUNCTION("""COMPUTED_VALUE"""),"Data mining; Data streams; Delayed-insertion; Frequent itemsets; Itemset pruning; Lexicographic tree")</f>
        <v>Data mining; Data streams; Delayed-insertion; Frequent itemsets; Itemset pruning; Lexicographic tree</v>
      </c>
      <c r="I669" s="10" t="b">
        <v>0</v>
      </c>
      <c r="J669" s="10" t="b">
        <v>0</v>
      </c>
      <c r="K669" s="10" t="b">
        <v>0</v>
      </c>
      <c r="L669" s="10" t="b">
        <v>0</v>
      </c>
      <c r="M669" s="10" t="b">
        <v>0</v>
      </c>
      <c r="N669" s="10" t="b">
        <v>0</v>
      </c>
      <c r="O669" s="11" t="b">
        <f t="shared" si="1"/>
        <v>0</v>
      </c>
      <c r="P669" s="16" t="b">
        <v>0</v>
      </c>
      <c r="Q669" s="7"/>
    </row>
    <row r="670">
      <c r="A670" s="5" t="b">
        <v>1</v>
      </c>
      <c r="B670" s="5" t="s">
        <v>713</v>
      </c>
      <c r="C670" s="6" t="str">
        <f>IFERROR(__xludf.DUMMYFUNCTION("""COMPUTED_VALUE"""),"10.1016/j.infsof.2012.08.008")</f>
        <v>10.1016/j.infsof.2012.08.008</v>
      </c>
      <c r="D670" s="7" t="str">
        <f>IFERROR(__xludf.DUMMYFUNCTION("""COMPUTED_VALUE"""),"Xie X.; Wong W.E.; Chen T.Y.; Xu B.")</f>
        <v>Xie X.; Wong W.E.; Chen T.Y.; Xu B.</v>
      </c>
      <c r="E670" s="7" t="str">
        <f>IFERROR(__xludf.DUMMYFUNCTION("""COMPUTED_VALUE"""),"Metamorphic slice: An application in spectrum-based fault localization")</f>
        <v>Metamorphic slice: An application in spectrum-based fault localization</v>
      </c>
      <c r="F670" s="7" t="str">
        <f>IFERROR(__xludf.DUMMYFUNCTION("""COMPUTED_VALUE"""),"IST")</f>
        <v>IST</v>
      </c>
      <c r="G670" s="7" t="str">
        <f>IFERROR(__xludf.DUMMYFUNCTION("""COMPUTED_VALUE"""),"Context: Because of its simplicity and effectiveness, Spectrum-Based Fault Localization (SBFL) has been one of the popular approaches towards fault localization. It utilizes the execution result of failure or pass, and the corresponding coverage informati"&amp;"on (such as program slice) to estimate the risk of being faulty for each program entity (such as statement). However, all existing SBFL techniques assume the existence of a test oracle to determine the execution result of a test case. But, it is common th"&amp;"at test oracles do not exist, and hence the applicability of SBFL has been severely restricted. Objective: We aim at developing a framework that can extend the application of SBFL to the common situations where test oracles do not exist. Method: Our appro"&amp;"ach uses a new concept of metamorphic slice resulting from the integration of metamorphic testing and program slicing. In SBFL, instead of using the program slice and the result of failure or pass for an individual test case, a metamorphic slice and the r"&amp;"esult of violation or non-violation of a metamorphic relation are used. Since we need not know the execution result for an individual test case, the existence of a test oracle is no longer a requirement to apply SBFL. Results: An experimental study involv"&amp;"ing nine programs and three risk evaluation formulas was conducted. The results show that our proposed solution delivers a performance comparable to the performance observed by existing SBFL techniques for the situations where test oracles exist. Conclusi"&amp;"on: With respect to the problem that SBFL is only applicable to programs with test oracles, we propose an innovative solution. Our solution is not only intuitively appealing and conceptually feasible, but also practically effective. Consequently, test ora"&amp;"cles are no longer mandatory for SBFL, and hence the applicability of SBFL is significantly extended. © 2012 Elsevier B.V. All rights reserved.")</f>
        <v>Context: Because of its simplicity and effectiveness, Spectrum-Based Fault Localization (SBFL) has been one of the popular approaches towards fault localization. It utilizes the execution result of failure or pass, and the corresponding coverage information (such as program slice) to estimate the risk of being faulty for each program entity (such as statement). However, all existing SBFL techniques assume the existence of a test oracle to determine the execution result of a test case. But, it is common that test oracles do not exist, and hence the applicability of SBFL has been severely restricted. Objective: We aim at developing a framework that can extend the application of SBFL to the common situations where test oracles do not exist. Method: Our approach uses a new concept of metamorphic slice resulting from the integration of metamorphic testing and program slicing. In SBFL, instead of using the program slice and the result of failure or pass for an individual test case, a metamorphic slice and the result of violation or non-violation of a metamorphic relation are used. Since we need not know the execution result for an individual test case, the existence of a test oracle is no longer a requirement to apply SBFL. Results: An experimental study involving nine programs and three risk evaluation formulas was conducted. The results show that our proposed solution delivers a performance comparable to the performance observed by existing SBFL techniques for the situations where test oracles exist. Conclusion: With respect to the problem that SBFL is only applicable to programs with test oracles, we propose an innovative solution. Our solution is not only intuitively appealing and conceptually feasible, but also practically effective. Consequently, test oracles are no longer mandatory for SBFL, and hence the applicability of SBFL is significantly extended. © 2012 Elsevier B.V. All rights reserved.</v>
      </c>
      <c r="H670" s="8" t="str">
        <f>IFERROR(__xludf.DUMMYFUNCTION("""COMPUTED_VALUE"""),"Metamorphic slice; Metamorphic testing; Slice; Spectrum-based fault localization; Test oracle")</f>
        <v>Metamorphic slice; Metamorphic testing; Slice; Spectrum-based fault localization; Test oracle</v>
      </c>
      <c r="I670" s="10" t="b">
        <v>0</v>
      </c>
      <c r="J670" s="10" t="b">
        <v>0</v>
      </c>
      <c r="K670" s="10" t="b">
        <v>0</v>
      </c>
      <c r="L670" s="10" t="b">
        <v>0</v>
      </c>
      <c r="M670" s="10" t="b">
        <v>0</v>
      </c>
      <c r="N670" s="10" t="b">
        <v>0</v>
      </c>
      <c r="O670" s="11" t="b">
        <f t="shared" si="1"/>
        <v>0</v>
      </c>
      <c r="P670" s="16" t="b">
        <v>0</v>
      </c>
      <c r="Q670" s="7"/>
    </row>
    <row r="671">
      <c r="A671" s="5" t="b">
        <v>1</v>
      </c>
      <c r="B671" s="5" t="s">
        <v>714</v>
      </c>
      <c r="C671" s="6" t="str">
        <f>IFERROR(__xludf.DUMMYFUNCTION("""COMPUTED_VALUE"""),"10.1016/j.infsof.2012.04.001")</f>
        <v>10.1016/j.infsof.2012.04.001</v>
      </c>
      <c r="D671" s="7" t="str">
        <f>IFERROR(__xludf.DUMMYFUNCTION("""COMPUTED_VALUE"""),"Abramov J.; Sturm A.; Shoval P.")</f>
        <v>Abramov J.; Sturm A.; Shoval P.</v>
      </c>
      <c r="E671" s="7" t="str">
        <f>IFERROR(__xludf.DUMMYFUNCTION("""COMPUTED_VALUE"""),"Evaluation of the Pattern-based method for Secure Development (PbSD): A controlled experiment")</f>
        <v>Evaluation of the Pattern-based method for Secure Development (PbSD): A controlled experiment</v>
      </c>
      <c r="F671" s="7" t="str">
        <f>IFERROR(__xludf.DUMMYFUNCTION("""COMPUTED_VALUE"""),"IST")</f>
        <v>IST</v>
      </c>
      <c r="G671" s="7" t="str">
        <f>IFERROR(__xludf.DUMMYFUNCTION("""COMPUTED_VALUE"""),"Context: Security in general, and database protection from unauthorized access in particular, are crucial for organizations. Although it has been long accepted that the important system requirements should be considered from the early stages of the develo"&amp;"pment process, non-functional requirements such as security tend to get neglected or dealt with only at later stages of the development process. Objective: We present an empirical study conducted to evaluate a Pattern-based method for Secure Development -"&amp;" PbSD - that aims to help developers, in particular database designers, to design database schemata that comply with the organizational security policies regarding authorization, from the early stages of development. The method provides a complete framewo"&amp;"rk to guide, enforce and verify the correct implementation of security policies within a system design, and eventually generate a database schema from that design. Method: The PbSD method was evaluated in comparison with a popular existing method that dir"&amp;"ectly specifies the security requirements in SQL and Oracle's VPD. The two methods were compared with respect to the quality of the created access control specifications, the time it takes to complete the specification, and the perceived quality of the me"&amp;"thods. Results: We found that the quality of the access control specifications using the PbSD method for secure development were better with respect to privileges granted in the table, column and row granularity levels. Moreover, subjects who used the PbS"&amp;"D method completed the specification task in less time compared to subjects who used SQL. Finally, the subjects perceived the PbSD method clearer and more easy to use. Conclusion: The pattern-based method for secure development can enhance the quality of "&amp;"security specification of databases, and decrease the software development time and cost. The results of the experiment may also indicate that the use of patterns in general has similar benefits; yet this requires further examinations. © 2012 Elsevier B.V"&amp;". All rights reserved.")</f>
        <v>Context: Security in general, and database protection from unauthorized access in particular, are crucial for organizations. Although it has been long accepted that the important system requirements should be considered from the early stages of the development process, non-functional requirements such as security tend to get neglected or dealt with only at later stages of the development process. Objective: We present an empirical study conducted to evaluate a Pattern-based method for Secure Development - PbSD - that aims to help developers, in particular database designers, to design database schemata that comply with the organizational security policies regarding authorization, from the early stages of development. The method provides a complete framework to guide, enforce and verify the correct implementation of security policies within a system design, and eventually generate a database schema from that design. Method: The PbSD method was evaluated in comparison with a popular existing method that directly specifies the security requirements in SQL and Oracle's VPD. The two methods were compared with respect to the quality of the created access control specifications, the time it takes to complete the specification, and the perceived quality of the methods. Results: We found that the quality of the access control specifications using the PbSD method for secure development were better with respect to privileges granted in the table, column and row granularity levels. Moreover, subjects who used the PbSD method completed the specification task in less time compared to subjects who used SQL. Finally, the subjects perceived the PbSD method clearer and more easy to use. Conclusion: The pattern-based method for secure development can enhance the quality of security specification of databases, and decrease the software development time and cost. The results of the experiment may also indicate that the use of patterns in general has similar benefits; yet this requires further examinations. © 2012 Elsevier B.V. All rights reserved.</v>
      </c>
      <c r="H671" s="8" t="str">
        <f>IFERROR(__xludf.DUMMYFUNCTION("""COMPUTED_VALUE"""),"Authorization; Controlled experiment; Database design; Model driven development; Secure software development; Security patterns")</f>
        <v>Authorization; Controlled experiment; Database design; Model driven development; Secure software development; Security patterns</v>
      </c>
      <c r="I671" s="9" t="b">
        <v>1</v>
      </c>
      <c r="J671" s="9" t="b">
        <v>1</v>
      </c>
      <c r="K671" s="9" t="b">
        <v>1</v>
      </c>
      <c r="L671" s="10" t="b">
        <v>0</v>
      </c>
      <c r="M671" s="10" t="b">
        <v>0</v>
      </c>
      <c r="N671" s="10" t="b">
        <v>0</v>
      </c>
      <c r="O671" s="11" t="b">
        <f t="shared" si="1"/>
        <v>1</v>
      </c>
      <c r="P671" s="12" t="b">
        <v>0</v>
      </c>
      <c r="Q671" s="13"/>
    </row>
    <row r="672">
      <c r="A672" s="5" t="b">
        <v>1</v>
      </c>
      <c r="B672" s="5" t="s">
        <v>715</v>
      </c>
      <c r="C672" s="6" t="str">
        <f>IFERROR(__xludf.DUMMYFUNCTION("""COMPUTED_VALUE"""),"10.1016/0950-5849(87)90067-X")</f>
        <v>10.1016/0950-5849(87)90067-X</v>
      </c>
      <c r="D672" s="7" t="str">
        <f>IFERROR(__xludf.DUMMYFUNCTION("""COMPUTED_VALUE"""),"MacLean A.")</f>
        <v>MacLean A.</v>
      </c>
      <c r="E672" s="7" t="str">
        <f>IFERROR(__xludf.DUMMYFUNCTION("""COMPUTED_VALUE"""),"Human factors and the design of user interface management systems: EASIE as a case study")</f>
        <v>Human factors and the design of user interface management systems: EASIE as a case study</v>
      </c>
      <c r="F672" s="7" t="str">
        <f>IFERROR(__xludf.DUMMYFUNCTION("""COMPUTED_VALUE"""),"IST")</f>
        <v>IST</v>
      </c>
      <c r="G672" s="7" t="str">
        <f>IFERROR(__xludf.DUMMYFUNCTION("""COMPUTED_VALUE"""),"The design and role of User Interface Management Systems (UIMS) is discussed from a human factors perspective. In particular, attributes which are typically considered to be important for UIMS design are discussed in relation to different types of task wh"&amp;"ich a UIMS might be expected to facilitate. This helps us to understand why current systems are not necessarily as successful as one might hope. The design of the Experimental Applications System for Integrated Environments (EASIE) is outlined. This syste"&amp;"m, specifically designed to ease the implementation of user interfaces for carrying out human factors research, has two distinct layers of dialogue specification to maximize both simplicity and flexibility in producing dialogues. The MUltiple Structured L"&amp;"evels of Interface (MUSLI) is introduced to show how the design principles behind EASIE may be used more generally in designing UIMS for other families of applications. © 1987.")</f>
        <v>The design and role of User Interface Management Systems (UIMS) is discussed from a human factors perspective. In particular, attributes which are typically considered to be important for UIMS design are discussed in relation to different types of task which a UIMS might be expected to facilitate. This helps us to understand why current systems are not necessarily as successful as one might hope. The design of the Experimental Applications System for Integrated Environments (EASIE) is outlined. This system, specifically designed to ease the implementation of user interfaces for carrying out human factors research, has two distinct layers of dialogue specification to maximize both simplicity and flexibility in producing dialogues. The MUltiple Structured Levels of Interface (MUSLI) is introduced to show how the design principles behind EASIE may be used more generally in designing UIMS for other families of applications. © 1987.</v>
      </c>
      <c r="H672" s="8" t="str">
        <f>IFERROR(__xludf.DUMMYFUNCTION("""COMPUTED_VALUE"""),"computer interfaces; interface design; man-machine limits")</f>
        <v>computer interfaces; interface design; man-machine limits</v>
      </c>
      <c r="I672" s="10" t="b">
        <v>0</v>
      </c>
      <c r="J672" s="10" t="b">
        <v>0</v>
      </c>
      <c r="K672" s="10" t="b">
        <v>0</v>
      </c>
      <c r="L672" s="10" t="b">
        <v>0</v>
      </c>
      <c r="M672" s="10" t="b">
        <v>0</v>
      </c>
      <c r="N672" s="10" t="b">
        <v>0</v>
      </c>
      <c r="O672" s="11" t="b">
        <f t="shared" si="1"/>
        <v>0</v>
      </c>
      <c r="P672" s="16" t="b">
        <v>0</v>
      </c>
      <c r="Q672" s="7"/>
    </row>
    <row r="673">
      <c r="A673" s="5" t="b">
        <v>1</v>
      </c>
      <c r="B673" s="5" t="s">
        <v>716</v>
      </c>
      <c r="C673" s="6" t="str">
        <f>IFERROR(__xludf.DUMMYFUNCTION("""COMPUTED_VALUE"""),"10.1016/j.infsof.2006.11.003")</f>
        <v>10.1016/j.infsof.2006.11.003</v>
      </c>
      <c r="D673" s="7" t="str">
        <f>IFERROR(__xludf.DUMMYFUNCTION("""COMPUTED_VALUE"""),"Niemelä E.; Immonen A.")</f>
        <v>Niemelä E.; Immonen A.</v>
      </c>
      <c r="E673" s="7" t="str">
        <f>IFERROR(__xludf.DUMMYFUNCTION("""COMPUTED_VALUE"""),"Capturing quality requirements of product family architecture")</f>
        <v>Capturing quality requirements of product family architecture</v>
      </c>
      <c r="F673" s="7" t="str">
        <f>IFERROR(__xludf.DUMMYFUNCTION("""COMPUTED_VALUE"""),"IST")</f>
        <v>IST</v>
      </c>
      <c r="G673" s="7" t="str">
        <f>IFERROR(__xludf.DUMMYFUNCTION("""COMPUTED_VALUE"""),"Software quality is one of the major issues with software intensive systems. Moreover, quality is a critical success factor in software product families exploiting shared architecture and common components in a set of products. Our contribution is the QRF"&amp;" (Quality Requirements of a software Family) method, which explicitly focuses on how quality requirements have to be defined, represented and transformed to architectural models. The method has been applied to two experiments; one in a laboratory environm"&amp;"ent and the other in industry. The use of the QRF method is exemplified by the Distribution Service Platform (DiSeP), the laboratory experiment. The lessons learned are also based on our experiences of applying the method in industrial settings. © 2006 El"&amp;"sevier B.V. All rights reserved.")</f>
        <v>Software quality is one of the major issues with software intensive systems. Moreover, quality is a critical success factor in software product families exploiting shared architecture and common components in a set of products. Our contribution is the QRF (Quality Requirements of a software Family) method, which explicitly focuses on how quality requirements have to be defined, represented and transformed to architectural models. The method has been applied to two experiments; one in a laboratory environment and the other in industry. The use of the QRF method is exemplified by the Distribution Service Platform (DiSeP), the laboratory experiment. The lessons learned are also based on our experiences of applying the method in industrial settings. © 2006 Elsevier B.V. All rights reserved.</v>
      </c>
      <c r="H673" s="8" t="str">
        <f>IFERROR(__xludf.DUMMYFUNCTION("""COMPUTED_VALUE"""),"Quality requirement; Software architecture; Software product family; Traceability")</f>
        <v>Quality requirement; Software architecture; Software product family; Traceability</v>
      </c>
      <c r="I673" s="9" t="b">
        <v>1</v>
      </c>
      <c r="J673" s="9" t="b">
        <v>1</v>
      </c>
      <c r="K673" s="10" t="b">
        <v>0</v>
      </c>
      <c r="L673" s="10" t="b">
        <v>0</v>
      </c>
      <c r="M673" s="10" t="b">
        <v>0</v>
      </c>
      <c r="N673" s="10" t="b">
        <v>0</v>
      </c>
      <c r="O673" s="11" t="b">
        <f t="shared" si="1"/>
        <v>0</v>
      </c>
      <c r="P673" s="16" t="b">
        <v>0</v>
      </c>
      <c r="Q673" s="7"/>
    </row>
    <row r="674">
      <c r="A674" s="5" t="b">
        <v>1</v>
      </c>
      <c r="B674" s="5" t="s">
        <v>717</v>
      </c>
      <c r="C674" s="6" t="str">
        <f>IFERROR(__xludf.DUMMYFUNCTION("""COMPUTED_VALUE"""),"10.1016/j.infsof.2008.04.001")</f>
        <v>10.1016/j.infsof.2008.04.001</v>
      </c>
      <c r="D674" s="7" t="str">
        <f>IFERROR(__xludf.DUMMYFUNCTION("""COMPUTED_VALUE"""),"Collins R.W.; Hevner A.R.; Walton G.H.; Linger R.C.")</f>
        <v>Collins R.W.; Hevner A.R.; Walton G.H.; Linger R.C.</v>
      </c>
      <c r="E674" s="7" t="str">
        <f>IFERROR(__xludf.DUMMYFUNCTION("""COMPUTED_VALUE"""),"The impacts of function extraction technology on program comprehension: A controlled experiment")</f>
        <v>The impacts of function extraction technology on program comprehension: A controlled experiment</v>
      </c>
      <c r="F674" s="7" t="str">
        <f>IFERROR(__xludf.DUMMYFUNCTION("""COMPUTED_VALUE"""),"IST")</f>
        <v>IST</v>
      </c>
      <c r="G674" s="7" t="str">
        <f>IFERROR(__xludf.DUMMYFUNCTION("""COMPUTED_VALUE"""),"Program comprehension is a critical, time-consuming, and highly error-prone task for software developers. Function extraction (FX) is a theory and technology that automates and supports program comprehension by calculating the semantic behaviors of progra"&amp;"ms at many levels of abstraction and displaying those behaviors in a standard, readable format in terms of the ""as-built"" specification of the program. In this experimental study, developers using an FX prototype tool to assist them in determining the b"&amp;"ehavior of software modules have significantly more effective program comprehension, in both increased accuracy of understanding and reduced time on task. Moreover, developers have a positive reaction toward the use of the FX technology, and use of FX doe"&amp;"s not reduce their overall comprehension of the program. © 2008 Elsevier B.V. All rights reserved.")</f>
        <v>Program comprehension is a critical, time-consuming, and highly error-prone task for software developers. Function extraction (FX) is a theory and technology that automates and supports program comprehension by calculating the semantic behaviors of programs at many levels of abstraction and displaying those behaviors in a standard, readable format in terms of the "as-built" specification of the program. In this experimental study, developers using an FX prototype tool to assist them in determining the behavior of software modules have significantly more effective program comprehension, in both increased accuracy of understanding and reduced time on task. Moreover, developers have a positive reaction toward the use of the FX technology, and use of FX does not reduce their overall comprehension of the program. © 2008 Elsevier B.V. All rights reserved.</v>
      </c>
      <c r="H674" s="8" t="str">
        <f>IFERROR(__xludf.DUMMYFUNCTION("""COMPUTED_VALUE"""),"Behavior understanding; Function extraction; Knowledge workers; Program comprehension; Software development")</f>
        <v>Behavior understanding; Function extraction; Knowledge workers; Program comprehension; Software development</v>
      </c>
      <c r="I674" s="10" t="b">
        <v>0</v>
      </c>
      <c r="J674" s="10" t="b">
        <v>0</v>
      </c>
      <c r="K674" s="10" t="b">
        <v>0</v>
      </c>
      <c r="L674" s="10" t="b">
        <v>0</v>
      </c>
      <c r="M674" s="10" t="b">
        <v>0</v>
      </c>
      <c r="N674" s="10" t="b">
        <v>0</v>
      </c>
      <c r="O674" s="11" t="b">
        <f t="shared" si="1"/>
        <v>0</v>
      </c>
      <c r="P674" s="16" t="b">
        <v>0</v>
      </c>
      <c r="Q674" s="7"/>
    </row>
    <row r="675">
      <c r="A675" s="5" t="b">
        <v>1</v>
      </c>
      <c r="B675" s="5" t="s">
        <v>718</v>
      </c>
      <c r="C675" s="6" t="str">
        <f>IFERROR(__xludf.DUMMYFUNCTION("""COMPUTED_VALUE"""),"10.1016/S0950-5849(01)00203-8")</f>
        <v>10.1016/S0950-5849(01)00203-8</v>
      </c>
      <c r="D675" s="7" t="str">
        <f>IFERROR(__xludf.DUMMYFUNCTION("""COMPUTED_VALUE"""),"Jorgensen M.; Sjoberg D.I.K")</f>
        <v>Jorgensen M.; Sjoberg D.I.K</v>
      </c>
      <c r="E675" s="7" t="str">
        <f>IFERROR(__xludf.DUMMYFUNCTION("""COMPUTED_VALUE"""),"Impact of effort estimates on software project work")</f>
        <v>Impact of effort estimates on software project work</v>
      </c>
      <c r="F675" s="7" t="str">
        <f>IFERROR(__xludf.DUMMYFUNCTION("""COMPUTED_VALUE"""),"IST")</f>
        <v>IST</v>
      </c>
      <c r="G675" s="7" t="str">
        <f>IFERROR(__xludf.DUMMYFUNCTION("""COMPUTED_VALUE"""),"This paper presents results from two case studies and two experiments on how effort estimates impact software project work. The studies indicate that a meaningful interpretation of effort estimation accuracy requires knowledge about the size and nature of"&amp;" the impact of the effort estimates on the software work. For example, we found that projects with high priority on costs and incomplete requirements specifications were prone to adjust the work to fit the estimate when the estimates were too optimistic, "&amp;"while too optimistic estimates led to effort overruns for projects with high priority on quality and well specified requirements. Two hypotheses were derived from the case studies and tested experimentally. The experiments indicate that: (1) effort estima"&amp;"tes can be strongly impacted by anchor values, e.g. early indications on the required effort. This impact is present even when the estimators are told that the anchor values are irrelevant as estimation information; (2) too optimistic effort estimates lea"&amp;"d to less use of effort and more errors compared with more realistic effort estimates on programming tasks. © 2001 Elsevier Science B.V. All rights reserved.")</f>
        <v>This paper presents results from two case studies and two experiments on how effort estimates impact software project work. The studies indicate that a meaningful interpretation of effort estimation accuracy requires knowledge about the size and nature of the impact of the effort estimates on the software work. For example, we found that projects with high priority on costs and incomplete requirements specifications were prone to adjust the work to fit the estimate when the estimates were too optimistic, while too optimistic estimates led to effort overruns for projects with high priority on quality and well specified requirements. Two hypotheses were derived from the case studies and tested experimentally. The experiments indicate that: (1) effort estimates can be strongly impacted by anchor values, e.g. early indications on the required effort. This impact is present even when the estimators are told that the anchor values are irrelevant as estimation information; (2) too optimistic effort estimates lead to less use of effort and more errors compared with more realistic effort estimates on programming tasks. © 2001 Elsevier Science B.V. All rights reserved.</v>
      </c>
      <c r="H675" s="8" t="str">
        <f>IFERROR(__xludf.DUMMYFUNCTION("""COMPUTED_VALUE"""),"Effort estimation; Estimation accuracy; Project management")</f>
        <v>Effort estimation; Estimation accuracy; Project management</v>
      </c>
      <c r="I675" s="9" t="b">
        <v>1</v>
      </c>
      <c r="J675" s="10" t="b">
        <v>0</v>
      </c>
      <c r="K675" s="9" t="b">
        <v>1</v>
      </c>
      <c r="L675" s="10" t="b">
        <v>0</v>
      </c>
      <c r="M675" s="10" t="b">
        <v>0</v>
      </c>
      <c r="N675" s="10" t="b">
        <v>0</v>
      </c>
      <c r="O675" s="11" t="b">
        <f t="shared" si="1"/>
        <v>0</v>
      </c>
      <c r="P675" s="16" t="b">
        <v>0</v>
      </c>
      <c r="Q675" s="7"/>
    </row>
    <row r="676">
      <c r="A676" s="5" t="b">
        <v>1</v>
      </c>
      <c r="B676" s="5" t="s">
        <v>719</v>
      </c>
      <c r="C676" s="6" t="str">
        <f>IFERROR(__xludf.DUMMYFUNCTION("""COMPUTED_VALUE"""),"10.1016/j.infsof.2008.03.001")</f>
        <v>10.1016/j.infsof.2008.03.001</v>
      </c>
      <c r="D676" s="7" t="str">
        <f>IFERROR(__xludf.DUMMYFUNCTION("""COMPUTED_VALUE"""),"Choi K.; Bae D.-H.")</f>
        <v>Choi K.; Bae D.-H.</v>
      </c>
      <c r="E676" s="7" t="str">
        <f>IFERROR(__xludf.DUMMYFUNCTION("""COMPUTED_VALUE"""),"Dynamic project performance estimation by combining static estimation models with system dynamics")</f>
        <v>Dynamic project performance estimation by combining static estimation models with system dynamics</v>
      </c>
      <c r="F676" s="7" t="str">
        <f>IFERROR(__xludf.DUMMYFUNCTION("""COMPUTED_VALUE"""),"IST")</f>
        <v>IST</v>
      </c>
      <c r="G676" s="7" t="str">
        <f>IFERROR(__xludf.DUMMYFUNCTION("""COMPUTED_VALUE"""),"Changes in user requirements or project personnel occur frequently during project execution particularly in long-term and large-size projects. We need a tool which can estimate the effects of changing conditions to effectively manage the project. This pap"&amp;"er proposes a simulation method for dynamic project performance in terms of effort, schedule, and defect density changes in a dynamic project environment by combining COCOMO II with system dynamics. We apply expert judgment technique to overcome the lack "&amp;"of empirical data on the effects of dynamic project environment. We develop a simulation tool (available on the authors' website) which has model adjustment parameters to reflect experts' estimation on project characteristics. The simulation experiment on"&amp;" a military application development project demonstrates that the developed model can show the behavioral characteristics of a project suffering unanticipated and uncontrolled requirements creep. This helps project managers understand interactions between"&amp;" project factors and proactively evaluate and control the effects of dynamic project environment. © 2008 Elsevier B.V. All rights reserved.")</f>
        <v>Changes in user requirements or project personnel occur frequently during project execution particularly in long-term and large-size projects. We need a tool which can estimate the effects of changing conditions to effectively manage the project. This paper proposes a simulation method for dynamic project performance in terms of effort, schedule, and defect density changes in a dynamic project environment by combining COCOMO II with system dynamics. We apply expert judgment technique to overcome the lack of empirical data on the effects of dynamic project environment. We develop a simulation tool (available on the authors' website) which has model adjustment parameters to reflect experts' estimation on project characteristics. The simulation experiment on a military application development project demonstrates that the developed model can show the behavioral characteristics of a project suffering unanticipated and uncontrolled requirements creep. This helps project managers understand interactions between project factors and proactively evaluate and control the effects of dynamic project environment. © 2008 Elsevier B.V. All rights reserved.</v>
      </c>
      <c r="H676" s="8" t="str">
        <f>IFERROR(__xludf.DUMMYFUNCTION("""COMPUTED_VALUE"""),"Dynamic project performance estimation; Dynamic software process simulation; Estimation model integration; Expert judgment technique; System dynamics")</f>
        <v>Dynamic project performance estimation; Dynamic software process simulation; Estimation model integration; Expert judgment technique; System dynamics</v>
      </c>
      <c r="I676" s="10" t="b">
        <v>0</v>
      </c>
      <c r="J676" s="10" t="b">
        <v>0</v>
      </c>
      <c r="K676" s="10" t="b">
        <v>0</v>
      </c>
      <c r="L676" s="10" t="b">
        <v>0</v>
      </c>
      <c r="M676" s="10" t="b">
        <v>0</v>
      </c>
      <c r="N676" s="10" t="b">
        <v>0</v>
      </c>
      <c r="O676" s="11" t="b">
        <f t="shared" si="1"/>
        <v>0</v>
      </c>
      <c r="P676" s="16" t="b">
        <v>0</v>
      </c>
      <c r="Q676" s="7"/>
    </row>
    <row r="677">
      <c r="A677" s="5" t="b">
        <v>1</v>
      </c>
      <c r="B677" s="5" t="s">
        <v>720</v>
      </c>
      <c r="C677" s="6" t="str">
        <f>IFERROR(__xludf.DUMMYFUNCTION("""COMPUTED_VALUE"""),"10.1016/S0950-5849(01)00164-1")</f>
        <v>10.1016/S0950-5849(01)00164-1</v>
      </c>
      <c r="D677" s="7" t="str">
        <f>IFERROR(__xludf.DUMMYFUNCTION("""COMPUTED_VALUE"""),"El-Sayed A.A.; Hassanein H.S.; El-Sharkawi M.E.")</f>
        <v>El-Sayed A.A.; Hassanein H.S.; El-Sharkawi M.E.</v>
      </c>
      <c r="E677" s="7" t="str">
        <f>IFERROR(__xludf.DUMMYFUNCTION("""COMPUTED_VALUE"""),"Effects of shaping characteristics on the performance of nested transactions")</f>
        <v>Effects of shaping characteristics on the performance of nested transactions</v>
      </c>
      <c r="F677" s="7" t="str">
        <f>IFERROR(__xludf.DUMMYFUNCTION("""COMPUTED_VALUE"""),"IST")</f>
        <v>IST</v>
      </c>
      <c r="G677" s="7" t="str">
        <f>IFERROR(__xludf.DUMMYFUNCTION("""COMPUTED_VALUE"""),"The nested transaction model was introduced to satisfy the requirements of advanced database applications. Moreover, it is currently the basic transaction model for new database applications like workflow systems and new database systems like mobile datab"&amp;"ases and object-relational databases. Though there are several performance evaluation studies of different concurrency control mechanisms in nested transactions, the effects of transaction parameters on the overall system performance have not received any"&amp;" attention. In this paper, we study the effects of transactions characteristics on system performance. We developed a detailed simulation model and conducted several experiments to measure the impact of transactions characteristics on the performance. Fir"&amp;"st, the effect of the number of leaves on the performance of nested transactions is investigated under different shaping parameters. Also, effects of the depth of the transaction tree on the system performance are investigated. © 2001 Elsevier Science B.V"&amp;".")</f>
        <v>The nested transaction model was introduced to satisfy the requirements of advanced database applications. Moreover, it is currently the basic transaction model for new database applications like workflow systems and new database systems like mobile databases and object-relational databases. Though there are several performance evaluation studies of different concurrency control mechanisms in nested transactions, the effects of transaction parameters on the overall system performance have not received any attention. In this paper, we study the effects of transactions characteristics on system performance. We developed a detailed simulation model and conducted several experiments to measure the impact of transactions characteristics on the performance. First, the effect of the number of leaves on the performance of nested transactions is investigated under different shaping parameters. Also, effects of the depth of the transaction tree on the system performance are investigated. © 2001 Elsevier Science B.V.</v>
      </c>
      <c r="H677" s="8" t="str">
        <f>IFERROR(__xludf.DUMMYFUNCTION("""COMPUTED_VALUE"""),"Nested transactions; Performance evaluation; Simulation; Two-phase locking")</f>
        <v>Nested transactions; Performance evaluation; Simulation; Two-phase locking</v>
      </c>
      <c r="I677" s="10" t="b">
        <v>0</v>
      </c>
      <c r="J677" s="10" t="b">
        <v>0</v>
      </c>
      <c r="K677" s="10" t="b">
        <v>0</v>
      </c>
      <c r="L677" s="10" t="b">
        <v>0</v>
      </c>
      <c r="M677" s="10" t="b">
        <v>0</v>
      </c>
      <c r="N677" s="10" t="b">
        <v>0</v>
      </c>
      <c r="O677" s="11" t="b">
        <f t="shared" si="1"/>
        <v>0</v>
      </c>
      <c r="P677" s="16" t="b">
        <v>0</v>
      </c>
      <c r="Q677" s="7"/>
    </row>
    <row r="678">
      <c r="A678" s="5" t="b">
        <v>1</v>
      </c>
      <c r="B678" s="5" t="s">
        <v>721</v>
      </c>
      <c r="C678" s="6" t="str">
        <f>IFERROR(__xludf.DUMMYFUNCTION("""COMPUTED_VALUE"""),"10.1016/j.infsof.2008.12.001")</f>
        <v>10.1016/j.infsof.2008.12.001</v>
      </c>
      <c r="D678" s="7" t="str">
        <f>IFERROR(__xludf.DUMMYFUNCTION("""COMPUTED_VALUE"""),"Perini A.; Ricca F.; Susi A.")</f>
        <v>Perini A.; Ricca F.; Susi A.</v>
      </c>
      <c r="E678" s="7" t="str">
        <f>IFERROR(__xludf.DUMMYFUNCTION("""COMPUTED_VALUE"""),"Tool-supported requirements prioritization: Comparing the AHP and CBRank methods")</f>
        <v>Tool-supported requirements prioritization: Comparing the AHP and CBRank methods</v>
      </c>
      <c r="F678" s="7" t="str">
        <f>IFERROR(__xludf.DUMMYFUNCTION("""COMPUTED_VALUE"""),"IST")</f>
        <v>IST</v>
      </c>
      <c r="G678" s="7" t="str">
        <f>IFERROR(__xludf.DUMMYFUNCTION("""COMPUTED_VALUE"""),"Requirements prioritization aims at identifying the most important requirements for a software system, a crucial step when planning for system releases and deciding which requirements to implement in each release. Several prioritization methods and suppor"&amp;"ting tools have been proposed so far. How to evaluate their properties, with the aim of supporting the selection of the most appropriate method for a specific project, is considered a relevant question. In this paper, we present an empirical study aiming "&amp;"at evaluating two state-of-the art tool-supported requirements prioritization methods, AHP and CBRank. We focus on three measures: the ease of use, the time-consumption and the accuracy. The experiment has been conducted with 23 experienced subjects on a "&amp;"set of 20 requirements from a real project. Results indicate that for the first two characteristics CBRank overcomes AHP, while for the accuracy AHP performs better than CBRank, even if the resulting ranks from the two methods are very similar. The majori"&amp;"ty of the users found CBRank the ""overall best"" method. © 2008 Elsevier B.V. All rights reserved.")</f>
        <v>Requirements prioritization aims at identifying the most important requirements for a software system, a crucial step when planning for system releases and deciding which requirements to implement in each release. Several prioritization methods and supporting tools have been proposed so far. How to evaluate their properties, with the aim of supporting the selection of the most appropriate method for a specific project, is considered a relevant question. In this paper, we present an empirical study aiming at evaluating two state-of-the art tool-supported requirements prioritization methods, AHP and CBRank. We focus on three measures: the ease of use, the time-consumption and the accuracy. The experiment has been conducted with 23 experienced subjects on a set of 20 requirements from a real project. Results indicate that for the first two characteristics CBRank overcomes AHP, while for the accuracy AHP performs better than CBRank, even if the resulting ranks from the two methods are very similar. The majority of the users found CBRank the "overall best" method. © 2008 Elsevier B.V. All rights reserved.</v>
      </c>
      <c r="H678" s="8" t="str">
        <f>IFERROR(__xludf.DUMMYFUNCTION("""COMPUTED_VALUE"""),"AHP; Case-based ranking; Controlled experiment; Requirements prioritization")</f>
        <v>AHP; Case-based ranking; Controlled experiment; Requirements prioritization</v>
      </c>
      <c r="I678" s="9" t="b">
        <v>1</v>
      </c>
      <c r="J678" s="9" t="b">
        <v>1</v>
      </c>
      <c r="K678" s="9" t="b">
        <v>1</v>
      </c>
      <c r="L678" s="10" t="b">
        <v>0</v>
      </c>
      <c r="M678" s="10" t="b">
        <v>0</v>
      </c>
      <c r="N678" s="10" t="b">
        <v>0</v>
      </c>
      <c r="O678" s="11" t="b">
        <f t="shared" si="1"/>
        <v>1</v>
      </c>
      <c r="P678" s="16" t="b">
        <v>0</v>
      </c>
      <c r="Q678" s="7"/>
    </row>
    <row r="679">
      <c r="A679" s="5" t="b">
        <v>1</v>
      </c>
      <c r="B679" s="5" t="s">
        <v>722</v>
      </c>
      <c r="C679" s="6" t="str">
        <f>IFERROR(__xludf.DUMMYFUNCTION("""COMPUTED_VALUE"""),"10.1016/0950-5849(92)90040-V")</f>
        <v>10.1016/0950-5849(92)90040-V</v>
      </c>
      <c r="D679" s="7" t="str">
        <f>IFERROR(__xludf.DUMMYFUNCTION("""COMPUTED_VALUE"""),"Chen D.; Lee P.; Huang S.")</f>
        <v>Chen D.; Lee P.; Huang S.</v>
      </c>
      <c r="E679" s="7" t="str">
        <f>IFERROR(__xludf.DUMMYFUNCTION("""COMPUTED_VALUE"""),"Requirements organization approach for object-based construction of software systems")</f>
        <v>Requirements organization approach for object-based construction of software systems</v>
      </c>
      <c r="F679" s="7" t="str">
        <f>IFERROR(__xludf.DUMMYFUNCTION("""COMPUTED_VALUE"""),"IST")</f>
        <v>IST</v>
      </c>
      <c r="G679" s="7" t="str">
        <f>IFERROR(__xludf.DUMMYFUNCTION("""COMPUTED_VALUE"""),"The paper discusses a requirements organization approach for the object-oriented design of software systems. Specifically, the requirements organization approach is developed based on a requirements clustering approach. The requirements organization appro"&amp;"ach can outline the constructed software system in the object-oriented paradigm, provide guidelines for system construction, receive early feedback from the different parties involved, allow the modification of inconsistent requirements, and design inexpe"&amp;"nsively the software system using an object-based programming language. An example is provided to illustrate the object-oriented design of software systems using the proposed requirements organization approach. Assessment and experiments are conducted to "&amp;"substantiate the benefits of the requirements organization approach. © 1992.")</f>
        <v>The paper discusses a requirements organization approach for the object-oriented design of software systems. Specifically, the requirements organization approach is developed based on a requirements clustering approach. The requirements organization approach can outline the constructed software system in the object-oriented paradigm, provide guidelines for system construction, receive early feedback from the different parties involved, allow the modification of inconsistent requirements, and design inexpensively the software system using an object-based programming language. An example is provided to illustrate the object-oriented design of software systems using the proposed requirements organization approach. Assessment and experiments are conducted to substantiate the benefits of the requirements organization approach. © 1992.</v>
      </c>
      <c r="H679" s="8" t="str">
        <f>IFERROR(__xludf.DUMMYFUNCTION("""COMPUTED_VALUE"""),"abstract data types; granular requirement; object domain; object-oriented design; objects; requirement statements; software design")</f>
        <v>abstract data types; granular requirement; object domain; object-oriented design; objects; requirement statements; software design</v>
      </c>
      <c r="I679" s="10" t="b">
        <v>0</v>
      </c>
      <c r="J679" s="10" t="b">
        <v>0</v>
      </c>
      <c r="K679" s="10" t="b">
        <v>0</v>
      </c>
      <c r="L679" s="10" t="b">
        <v>0</v>
      </c>
      <c r="M679" s="10" t="b">
        <v>0</v>
      </c>
      <c r="N679" s="10" t="b">
        <v>0</v>
      </c>
      <c r="O679" s="11" t="b">
        <f t="shared" si="1"/>
        <v>0</v>
      </c>
      <c r="P679" s="16" t="b">
        <v>0</v>
      </c>
      <c r="Q679" s="7"/>
    </row>
    <row r="680">
      <c r="A680" s="5" t="b">
        <v>1</v>
      </c>
      <c r="B680" s="5" t="s">
        <v>723</v>
      </c>
      <c r="C680" s="6" t="str">
        <f>IFERROR(__xludf.DUMMYFUNCTION("""COMPUTED_VALUE"""),"10.1016/j.infsof.2010.03.010")</f>
        <v>10.1016/j.infsof.2010.03.010</v>
      </c>
      <c r="D680" s="7" t="str">
        <f>IFERROR(__xludf.DUMMYFUNCTION("""COMPUTED_VALUE"""),"Sun L.; Mushi C.J.")</f>
        <v>Sun L.; Mushi C.J.</v>
      </c>
      <c r="E680" s="7" t="str">
        <f>IFERROR(__xludf.DUMMYFUNCTION("""COMPUTED_VALUE"""),"Case-based analysis in user requirements modelling for knowledge construction")</f>
        <v>Case-based analysis in user requirements modelling for knowledge construction</v>
      </c>
      <c r="F680" s="7" t="str">
        <f>IFERROR(__xludf.DUMMYFUNCTION("""COMPUTED_VALUE"""),"IST")</f>
        <v>IST</v>
      </c>
      <c r="G680" s="7" t="str">
        <f>IFERROR(__xludf.DUMMYFUNCTION("""COMPUTED_VALUE"""),"Context: Learning can be regarded as knowledge construction in which prior knowledge and experience serve as basis for the learners to expand their knowledge base. Such a process of knowledge construction has to take place continuously in order to enhance"&amp;" the learners' competence in a competitive working environment. As the information consumers, the individual users demand personalised information provision which meets their own specific purposes, goals, and expectations. Objectives: The current methods "&amp;"in requirements engineering are capable of modelling the common user's behaviour in the domain of knowledge construction. The users' requirements can be represented as a case in the defined structure which can be reasoned to enable the requirements analys"&amp;"is. Such analysis needs to be enhanced so that personalised information provision can be tackled and modelled. However, there is a lack of suitable modelling methods to achieve this end. This paper presents a new ontological method for capturing individua"&amp;"l user's requirements and transforming the requirements onto personalised information provision specifications. Hence the right information can be provided to the right user for the right purpose. Method: An experiment was conducted based on the qualitati"&amp;"ve method. A medium size of group of users participated to validate the method and its techniques, i.e. articulates, maps, configures, and learning content. The results were used as the feedback for the improvement. Result: The research work has produced "&amp;"an ontology model with a set of techniques which support the functions for profiling user's requirements, reasoning requirements patterns, generating workflow from norms, and formulating information provision specifications. Conclusion: The current requir"&amp;"ements engineering approaches provide the methodical capability for developing solutions. Our research outcome, i.e. the ontology model with the techniques, can further enhance the RE approaches for modelling the individual user's needs and discovering th"&amp;"e user's requirements. © 2010 Elsevier B.V. All rights reserved.")</f>
        <v>Context: Learning can be regarded as knowledge construction in which prior knowledge and experience serve as basis for the learners to expand their knowledge base. Such a process of knowledge construction has to take place continuously in order to enhance the learners' competence in a competitive working environment. As the information consumers, the individual users demand personalised information provision which meets their own specific purposes, goals, and expectations. Objectives: The current methods in requirements engineering are capable of modelling the common user's behaviour in the domain of knowledge construction. The users' requirements can be represented as a case in the defined structure which can be reasoned to enable the requirements analysis. Such analysis needs to be enhanced so that personalised information provision can be tackled and modelled. However, there is a lack of suitable modelling methods to achieve this end. This paper presents a new ontological method for capturing individual user's requirements and transforming the requirements onto personalised information provision specifications. Hence the right information can be provided to the right user for the right purpose. Method: An experiment was conducted based on the qualitative method. A medium size of group of users participated to validate the method and its techniques, i.e. articulates, maps, configures, and learning content. The results were used as the feedback for the improvement. Result: The research work has produced an ontology model with a set of techniques which support the functions for profiling user's requirements, reasoning requirements patterns, generating workflow from norms, and formulating information provision specifications. Conclusion: The current requirements engineering approaches provide the methodical capability for developing solutions. Our research outcome, i.e. the ontology model with the techniques, can further enhance the RE approaches for modelling the individual user's needs and discovering the user's requirements. © 2010 Elsevier B.V. All rights reserved.</v>
      </c>
      <c r="H680" s="8" t="str">
        <f>IFERROR(__xludf.DUMMYFUNCTION("""COMPUTED_VALUE"""),"Case-based requirements reasoning; Norms; Personalised information provision; Requirements pattern matching; User requirements profiling")</f>
        <v>Case-based requirements reasoning; Norms; Personalised information provision; Requirements pattern matching; User requirements profiling</v>
      </c>
      <c r="I680" s="9" t="b">
        <v>1</v>
      </c>
      <c r="J680" s="10" t="b">
        <v>0</v>
      </c>
      <c r="K680" s="10" t="b">
        <v>0</v>
      </c>
      <c r="L680" s="10" t="b">
        <v>0</v>
      </c>
      <c r="M680" s="10" t="b">
        <v>0</v>
      </c>
      <c r="N680" s="10" t="b">
        <v>0</v>
      </c>
      <c r="O680" s="11" t="b">
        <f t="shared" si="1"/>
        <v>0</v>
      </c>
      <c r="P680" s="16" t="b">
        <v>0</v>
      </c>
      <c r="Q680" s="7"/>
    </row>
    <row r="681">
      <c r="A681" s="5" t="b">
        <v>1</v>
      </c>
      <c r="B681" s="5" t="s">
        <v>724</v>
      </c>
      <c r="C681" s="6"/>
      <c r="D681" s="7"/>
      <c r="E681" s="7" t="str">
        <f>IFERROR(__xludf.DUMMYFUNCTION("""COMPUTED_VALUE"""),"Information and Software Technology")</f>
        <v>Information and Software Technology</v>
      </c>
      <c r="F681" s="7" t="str">
        <f>IFERROR(__xludf.DUMMYFUNCTION("""COMPUTED_VALUE"""),"IST")</f>
        <v>IST</v>
      </c>
      <c r="G681" s="7" t="str">
        <f>IFERROR(__xludf.DUMMYFUNCTION("""COMPUTED_VALUE"""),"The proceedings contains 5 papers from the conference on Information and software technology. The topics discussed include: the fundamental nature of requirements engineering activities as a decision-making process; a controlled experiment to evaluate how"&amp;" styles affect the understandability of requirements specifications; precluding incongruous behavior by aligning software requirements with security and privacy policies; modelling access policies using role in requirements engineering; and on the interpl"&amp;"ay between consistency completeness, and correctness in requirements evolution.")</f>
        <v>The proceedings contains 5 papers from the conference on Information and software technology. The topics discussed include: the fundamental nature of requirements engineering activities as a decision-making process; a controlled experiment to evaluate how styles affect the understandability of requirements specifications; precluding incongruous behavior by aligning software requirements with security and privacy policies; modelling access policies using role in requirements engineering; and on the interplay between consistency completeness, and correctness in requirements evolution.</v>
      </c>
      <c r="H681" s="8"/>
      <c r="I681" s="10" t="b">
        <v>0</v>
      </c>
      <c r="J681" s="10" t="b">
        <v>0</v>
      </c>
      <c r="K681" s="10" t="b">
        <v>0</v>
      </c>
      <c r="L681" s="10" t="b">
        <v>0</v>
      </c>
      <c r="M681" s="10" t="b">
        <v>0</v>
      </c>
      <c r="N681" s="10" t="b">
        <v>0</v>
      </c>
      <c r="O681" s="11" t="b">
        <f t="shared" si="1"/>
        <v>0</v>
      </c>
      <c r="P681" s="16" t="b">
        <v>0</v>
      </c>
      <c r="Q681" s="7"/>
    </row>
    <row r="682">
      <c r="A682" s="5" t="b">
        <v>1</v>
      </c>
      <c r="B682" s="5" t="s">
        <v>725</v>
      </c>
      <c r="C682" s="6" t="str">
        <f>IFERROR(__xludf.DUMMYFUNCTION("""COMPUTED_VALUE"""),"10.1016/j.infsof.2012.07.020")</f>
        <v>10.1016/j.infsof.2012.07.020</v>
      </c>
      <c r="D682" s="7" t="str">
        <f>IFERROR(__xludf.DUMMYFUNCTION("""COMPUTED_VALUE"""),"Siegmund N.; Rosenmüller M.; Kästner C.; Giarrusso P.G.; Apel S.; Kolesnikov S.S.")</f>
        <v>Siegmund N.; Rosenmüller M.; Kästner C.; Giarrusso P.G.; Apel S.; Kolesnikov S.S.</v>
      </c>
      <c r="E682" s="7" t="str">
        <f>IFERROR(__xludf.DUMMYFUNCTION("""COMPUTED_VALUE"""),"Scalable prediction of non-functional properties in software product lines: Footprint and memory consumption")</f>
        <v>Scalable prediction of non-functional properties in software product lines: Footprint and memory consumption</v>
      </c>
      <c r="F682" s="7" t="str">
        <f>IFERROR(__xludf.DUMMYFUNCTION("""COMPUTED_VALUE"""),"IST")</f>
        <v>IST</v>
      </c>
      <c r="G682" s="7" t="str">
        <f>IFERROR(__xludf.DUMMYFUNCTION("""COMPUTED_VALUE"""),"Context: A software product line is a family of related software products, typically created from a set of common assets. Users select features to derive a product that fulfills their needs. Users often expect a product to have specific non-functional pro"&amp;"perties, such as a small footprint or a bounded response time. Because a product line may have an exponential number of products with respect to its features, it is usually not feasible to generate and measure non-functional properties for each possible p"&amp;"roduct. Objective: Our overall goal is to derive optimal products with respect to non-functional requirements by showing customers which features must be selected. Method: We propose an approach to predict a product's non-functional properties based on th"&amp;"e product's feature selection. We aggregate the influence of each selected feature on a non-functional property to predict a product's properties. We generate and measure a small set of products and, by comparing measurements, we approximate each feature'"&amp;"s influence on the non-functional property in question. As a research method, we conducted controlled experiments and evaluated prediction accuracy for the non-functional properties footprint and main-memory consumption. But, in principle, our approach is"&amp;" applicable for all quantifiable non-functional properties. Results: With nine software product lines, we demonstrate that our approach predicts the footprint with an average accuracy of 94%, and an accuracy of over 99% on average if feature interactions "&amp;"are known. In a further series of experiments, we predicted main memory consumption of six customizable programs and achieved an accuracy of 89% on average. Conclusion: Our experiments suggest that, with only few measurements, it is possible to accurately"&amp;" predict non-functional properties of products of a product line. Furthermore, we show how already little domain knowledge can improve predictions and discuss trade-offs between accuracy and required number of measurements. With this technique, we provide"&amp;" a basis for many reasoning and product-derivation approaches. © 2012 Elsevier B.V. All rights reserved.")</f>
        <v>Context: A software product line is a family of related software products, typically created from a set of common assets. Users select features to derive a product that fulfills their needs. Users often expect a product to have specific non-functional properties, such as a small footprint or a bounded response time. Because a product line may have an exponential number of products with respect to its features, it is usually not feasible to generate and measure non-functional properties for each possible product. Objective: Our overall goal is to derive optimal products with respect to non-functional requirements by showing customers which features must be selected. Method: We propose an approach to predict a product's non-functional properties based on the product's feature selection. We aggregate the influence of each selected feature on a non-functional property to predict a product's properties. We generate and measure a small set of products and, by comparing measurements, we approximate each feature's influence on the non-functional property in question. As a research method, we conducted controlled experiments and evaluated prediction accuracy for the non-functional properties footprint and main-memory consumption. But, in principle, our approach is applicable for all quantifiable non-functional properties. Results: With nine software product lines, we demonstrate that our approach predicts the footprint with an average accuracy of 94%, and an accuracy of over 99% on average if feature interactions are known. In a further series of experiments, we predicted main memory consumption of six customizable programs and achieved an accuracy of 89% on average. Conclusion: Our experiments suggest that, with only few measurements, it is possible to accurately predict non-functional properties of products of a product line. Furthermore, we show how already little domain knowledge can improve predictions and discuss trade-offs between accuracy and required number of measurements. With this technique, we provide a basis for many reasoning and product-derivation approaches. © 2012 Elsevier B.V. All rights reserved.</v>
      </c>
      <c r="H682" s="8" t="str">
        <f>IFERROR(__xludf.DUMMYFUNCTION("""COMPUTED_VALUE"""),"Measurement; Non-functional properties; Prediction; Software product lines; SPL Conqueror")</f>
        <v>Measurement; Non-functional properties; Prediction; Software product lines; SPL Conqueror</v>
      </c>
      <c r="I682" s="10" t="b">
        <v>0</v>
      </c>
      <c r="J682" s="10" t="b">
        <v>0</v>
      </c>
      <c r="K682" s="10" t="b">
        <v>0</v>
      </c>
      <c r="L682" s="10" t="b">
        <v>0</v>
      </c>
      <c r="M682" s="10" t="b">
        <v>0</v>
      </c>
      <c r="N682" s="10" t="b">
        <v>0</v>
      </c>
      <c r="O682" s="11" t="b">
        <f t="shared" si="1"/>
        <v>0</v>
      </c>
      <c r="P682" s="16" t="b">
        <v>0</v>
      </c>
      <c r="Q682" s="7"/>
    </row>
    <row r="683">
      <c r="A683" s="5" t="b">
        <v>1</v>
      </c>
      <c r="B683" s="5" t="s">
        <v>726</v>
      </c>
      <c r="C683" s="6" t="str">
        <f>IFERROR(__xludf.DUMMYFUNCTION("""COMPUTED_VALUE"""),"10.1016/j.infsof.2008.05.013")</f>
        <v>10.1016/j.infsof.2008.05.013</v>
      </c>
      <c r="D683" s="7" t="str">
        <f>IFERROR(__xludf.DUMMYFUNCTION("""COMPUTED_VALUE"""),"Opdahl A.L.; Sindre G.")</f>
        <v>Opdahl A.L.; Sindre G.</v>
      </c>
      <c r="E683" s="7" t="str">
        <f>IFERROR(__xludf.DUMMYFUNCTION("""COMPUTED_VALUE"""),"Experimental comparison of attack trees and misuse cases for security threat identification")</f>
        <v>Experimental comparison of attack trees and misuse cases for security threat identification</v>
      </c>
      <c r="F683" s="7" t="str">
        <f>IFERROR(__xludf.DUMMYFUNCTION("""COMPUTED_VALUE"""),"IST")</f>
        <v>IST</v>
      </c>
      <c r="G683" s="7" t="str">
        <f>IFERROR(__xludf.DUMMYFUNCTION("""COMPUTED_VALUE"""),"A number of methods have been proposed or adapted to include security in the requirements analysis stage, but the industrial take-up has been limited and there are few empirical and comparative evaluations. This paper reports on a pair of controlled exper"&amp;"iments that compared two methods for early elicitation of security threats, namely attack trees and misuse cases. The 28 and 35 participants in the two experiments solved two threat identification tasks individually by means of the two techniques, using a"&amp;" Latin-Squares design to control for technique and task order. The dependent variables were effectiveness of the techniques measured as the number of threats found, coverage of the techniques measured in terms of the types of threats found and perceptions"&amp;" of the techniques measured through a post-task questionnaire based on the Technology Acceptance Model. The only difference was that, in the second experiment, the participants were given a pre-drawn use-case diagram to use as a starting point for solving"&amp;" the tasks. In the first experiment, no pre-drawn use-case diagram was provided. The main finding was that attack trees were more effective for finding threats, in particular when there was no pre-drawn use-case diagram. However, the participants had simi"&amp;"lar opinions of the two techniques, and perception of a technique was not correlated with performance with that technique. The study underlines the need for further comparisons in a broader range of settings involving additional techniques, and it suggest"&amp;"s several concrete experiments and other paths for further work. © 2008 Elsevier B.V. All rights reserved.")</f>
        <v>A number of methods have been proposed or adapted to include security in the requirements analysis stage, but the industrial take-up has been limited and there are few empirical and comparative evaluations. This paper reports on a pair of controlled experiments that compared two methods for early elicitation of security threats, namely attack trees and misuse cases. The 28 and 35 participants in the two experiments solved two threat identification tasks individually by means of the two techniques, using a Latin-Squares design to control for technique and task order. The dependent variables were effectiveness of the techniques measured as the number of threats found, coverage of the techniques measured in terms of the types of threats found and perceptions of the techniques measured through a post-task questionnaire based on the Technology Acceptance Model. The only difference was that, in the second experiment, the participants were given a pre-drawn use-case diagram to use as a starting point for solving the tasks. In the first experiment, no pre-drawn use-case diagram was provided. The main finding was that attack trees were more effective for finding threats, in particular when there was no pre-drawn use-case diagram. However, the participants had similar opinions of the two techniques, and perception of a technique was not correlated with performance with that technique. The study underlines the need for further comparisons in a broader range of settings involving additional techniques, and it suggests several concrete experiments and other paths for further work. © 2008 Elsevier B.V. All rights reserved.</v>
      </c>
      <c r="H683" s="8" t="str">
        <f>IFERROR(__xludf.DUMMYFUNCTION("""COMPUTED_VALUE"""),"Attack trees; Experiments; Misuse cases; Security modelling; Security requirements; Security threat identification")</f>
        <v>Attack trees; Experiments; Misuse cases; Security modelling; Security requirements; Security threat identification</v>
      </c>
      <c r="I683" s="9" t="b">
        <v>1</v>
      </c>
      <c r="J683" s="9" t="b">
        <v>1</v>
      </c>
      <c r="K683" s="9" t="b">
        <v>1</v>
      </c>
      <c r="L683" s="10" t="b">
        <v>0</v>
      </c>
      <c r="M683" s="10" t="b">
        <v>0</v>
      </c>
      <c r="N683" s="10" t="b">
        <v>0</v>
      </c>
      <c r="O683" s="11" t="b">
        <f t="shared" si="1"/>
        <v>1</v>
      </c>
      <c r="P683" s="16" t="b">
        <v>0</v>
      </c>
      <c r="Q683" s="7"/>
    </row>
    <row r="684">
      <c r="A684" s="5" t="b">
        <v>1</v>
      </c>
      <c r="B684" s="5" t="s">
        <v>727</v>
      </c>
      <c r="C684" s="6" t="str">
        <f>IFERROR(__xludf.DUMMYFUNCTION("""COMPUTED_VALUE"""),"10.1016/S0950-5849(03)00044-2")</f>
        <v>10.1016/S0950-5849(03)00044-2</v>
      </c>
      <c r="D684" s="7" t="str">
        <f>IFERROR(__xludf.DUMMYFUNCTION("""COMPUTED_VALUE"""),"Sabaliauskaite G.; Matsukawa F.; Kusumoto S.; Inoue K.")</f>
        <v>Sabaliauskaite G.; Matsukawa F.; Kusumoto S.; Inoue K.</v>
      </c>
      <c r="E684" s="7" t="str">
        <f>IFERROR(__xludf.DUMMYFUNCTION("""COMPUTED_VALUE"""),"Further investigations of reading techniques for object-oriented design inspection")</f>
        <v>Further investigations of reading techniques for object-oriented design inspection</v>
      </c>
      <c r="F684" s="7" t="str">
        <f>IFERROR(__xludf.DUMMYFUNCTION("""COMPUTED_VALUE"""),"IST")</f>
        <v>IST</v>
      </c>
      <c r="G684" s="7" t="str">
        <f>IFERROR(__xludf.DUMMYFUNCTION("""COMPUTED_VALUE"""),"This paper describes an experimental evaluation of two reading techniques, namely Checklist-based reading (CBR) and Perspective-based reading (PBR) for Object-Oriented (OO) design document, written using the notation of Unified Modelling Language, inspect"&amp;"ion. Inspections are usually applied for defect detection in requirement documents or code modules, and there is a significant lack of information how inspections should be applied to OO design documents. The paper reports on a controlled experiment with "&amp;"59 subject students to compare CBR and PBR techniques with respect to individual time spent on inspection, cost per defect, effectiveness, and 3-person simulated team effectiveness. © 2003 Elsevier Science B.V. All rights reserved.")</f>
        <v>This paper describes an experimental evaluation of two reading techniques, namely Checklist-based reading (CBR) and Perspective-based reading (PBR) for Object-Oriented (OO) design document, written using the notation of Unified Modelling Language, inspection. Inspections are usually applied for defect detection in requirement documents or code modules, and there is a significant lack of information how inspections should be applied to OO design documents. The paper reports on a controlled experiment with 59 subject students to compare CBR and PBR techniques with respect to individual time spent on inspection, cost per defect, effectiveness, and 3-person simulated team effectiveness. © 2003 Elsevier Science B.V. All rights reserved.</v>
      </c>
      <c r="H684" s="8" t="str">
        <f>IFERROR(__xludf.DUMMYFUNCTION("""COMPUTED_VALUE"""),"Checklist-based reading; Controlled experiment; Perspective-based reading; Software inspection; Unified modelling language")</f>
        <v>Checklist-based reading; Controlled experiment; Perspective-based reading; Software inspection; Unified modelling language</v>
      </c>
      <c r="I684" s="9" t="b">
        <v>1</v>
      </c>
      <c r="J684" s="9" t="b">
        <v>1</v>
      </c>
      <c r="K684" s="10" t="b">
        <v>0</v>
      </c>
      <c r="L684" s="10" t="b">
        <v>0</v>
      </c>
      <c r="M684" s="10" t="b">
        <v>0</v>
      </c>
      <c r="N684" s="10" t="b">
        <v>0</v>
      </c>
      <c r="O684" s="11" t="b">
        <f t="shared" si="1"/>
        <v>0</v>
      </c>
      <c r="P684" s="16" t="b">
        <v>0</v>
      </c>
      <c r="Q684" s="7"/>
    </row>
    <row r="685">
      <c r="A685" s="5" t="b">
        <v>1</v>
      </c>
      <c r="B685" s="5" t="s">
        <v>728</v>
      </c>
      <c r="C685" s="6" t="str">
        <f>IFERROR(__xludf.DUMMYFUNCTION("""COMPUTED_VALUE"""),"10.1016/j.infsof.2011.10.004")</f>
        <v>10.1016/j.infsof.2011.10.004</v>
      </c>
      <c r="D685" s="7" t="str">
        <f>IFERROR(__xludf.DUMMYFUNCTION("""COMPUTED_VALUE"""),"Mondéjar R.; García-López P.; Pairot C.; Pamies-Juarez L.")</f>
        <v>Mondéjar R.; García-López P.; Pairot C.; Pamies-Juarez L.</v>
      </c>
      <c r="E685" s="7" t="str">
        <f>IFERROR(__xludf.DUMMYFUNCTION("""COMPUTED_VALUE"""),"Damon: A distributed AOP middleware for large-scale scenarios")</f>
        <v>Damon: A distributed AOP middleware for large-scale scenarios</v>
      </c>
      <c r="F685" s="7" t="str">
        <f>IFERROR(__xludf.DUMMYFUNCTION("""COMPUTED_VALUE"""),"IST")</f>
        <v>IST</v>
      </c>
      <c r="G685" s="7" t="str">
        <f>IFERROR(__xludf.DUMMYFUNCTION("""COMPUTED_VALUE"""),"Context: The development of distributed applications in large-scale environments has always been a complex task. In order to guarantee non-functional properties like scalability or availability, developers are usually faced with the same problems over and"&amp;" over again. These problems can be separated in distributed concerns, as for example, distribution, load-balancing or replication, just to name a few. Nevertheless, none of the current solutions in adaptive middleware area, like Aspect-Oriented Programmin"&amp;"g (AOP), is capable of implementing these distributed concerns transparently. Objective: In this article, we present a distributed AOP middleware for large-scale development, called Damon. Its main goal is to implement true distributed aspects, which enab"&amp;"les the use of distributed concerns in applications that were not specifically designed for distributed or large-scale scenarios. Method: Our middleware comprises two main layers: a distributed composition model and a scalable deployment platform. The dis"&amp;"tributed composition model envisages separation of distributed aspects, taking the necessary features from component models, like distribution facilities and connectors, and from computational reflection, like introspection and meta-levels. This recursive"&amp;" and fully distributed model provides its own Architecture Description Language (ADL), and thus allows low dependency and high cohesion among distributed aspects. Additionally, our model is built on top of a deployment platform where distributed aspects a"&amp;"re disseminated and activated in individual or grouped hosts. This platform benefits from peer-to-peer and dynamic AOP substrates to implement its services in a decentralized, decoupled, and efficient way. Results: Therefore, our middleware solution reduc"&amp;"es the complexity of distributed application development, managing separated functionalities, and enabling necessary services like transparent reconfiguration and deployment at runtime. Finally, we have implemented a functional prototype and we conducted "&amp;"several experiments using the PlanetLab testbed. Conclusion: Our distributed AOP approach fulfills the large-scale scenarios requirements, and represents a solid building block for future distributed transparent infrastructures. © 2011 Elsevier B.V. All r"&amp;"ights reserved.")</f>
        <v>Context: The development of distributed applications in large-scale environments has always been a complex task. In order to guarantee non-functional properties like scalability or availability, developers are usually faced with the same problems over and over again. These problems can be separated in distributed concerns, as for example, distribution, load-balancing or replication, just to name a few. Nevertheless, none of the current solutions in adaptive middleware area, like Aspect-Oriented Programming (AOP), is capable of implementing these distributed concerns transparently. Objective: In this article, we present a distributed AOP middleware for large-scale development, called Damon. Its main goal is to implement true distributed aspects, which enables the use of distributed concerns in applications that were not specifically designed for distributed or large-scale scenarios. Method: Our middleware comprises two main layers: a distributed composition model and a scalable deployment platform. The distributed composition model envisages separation of distributed aspects, taking the necessary features from component models, like distribution facilities and connectors, and from computational reflection, like introspection and meta-levels. This recursive and fully distributed model provides its own Architecture Description Language (ADL), and thus allows low dependency and high cohesion among distributed aspects. Additionally, our model is built on top of a deployment platform where distributed aspects are disseminated and activated in individual or grouped hosts. This platform benefits from peer-to-peer and dynamic AOP substrates to implement its services in a decentralized, decoupled, and efficient way. Results: Therefore, our middleware solution reduces the complexity of distributed application development, managing separated functionalities, and enabling necessary services like transparent reconfiguration and deployment at runtime. Finally, we have implemented a functional prototype and we conducted several experiments using the PlanetLab testbed. Conclusion: Our distributed AOP approach fulfills the large-scale scenarios requirements, and represents a solid building block for future distributed transparent infrastructures. © 2011 Elsevier B.V. All rights reserved.</v>
      </c>
      <c r="H685" s="8" t="str">
        <f>IFERROR(__xludf.DUMMYFUNCTION("""COMPUTED_VALUE"""),"ADL; Composition; Distributed AOP; Middleware; Peer-to-peer")</f>
        <v>ADL; Composition; Distributed AOP; Middleware; Peer-to-peer</v>
      </c>
      <c r="I685" s="10" t="b">
        <v>0</v>
      </c>
      <c r="J685" s="10" t="b">
        <v>0</v>
      </c>
      <c r="K685" s="10" t="b">
        <v>0</v>
      </c>
      <c r="L685" s="10" t="b">
        <v>0</v>
      </c>
      <c r="M685" s="10" t="b">
        <v>0</v>
      </c>
      <c r="N685" s="10" t="b">
        <v>0</v>
      </c>
      <c r="O685" s="11" t="b">
        <f t="shared" si="1"/>
        <v>0</v>
      </c>
      <c r="P685" s="16" t="b">
        <v>0</v>
      </c>
      <c r="Q685" s="7"/>
    </row>
    <row r="686">
      <c r="A686" s="5" t="b">
        <v>1</v>
      </c>
      <c r="B686" s="5" t="s">
        <v>729</v>
      </c>
      <c r="C686" s="6" t="str">
        <f>IFERROR(__xludf.DUMMYFUNCTION("""COMPUTED_VALUE"""),"10.1016/j.infsof.2010.02.001")</f>
        <v>10.1016/j.infsof.2010.02.001</v>
      </c>
      <c r="D686" s="7" t="str">
        <f>IFERROR(__xludf.DUMMYFUNCTION("""COMPUTED_VALUE"""),"Becker C.; Rauber A.")</f>
        <v>Becker C.; Rauber A.</v>
      </c>
      <c r="E686" s="7" t="str">
        <f>IFERROR(__xludf.DUMMYFUNCTION("""COMPUTED_VALUE"""),"Improving component selection and monitoring with controlled experimentation and automated measurements")</f>
        <v>Improving component selection and monitoring with controlled experimentation and automated measurements</v>
      </c>
      <c r="F686" s="7" t="str">
        <f>IFERROR(__xludf.DUMMYFUNCTION("""COMPUTED_VALUE"""),"IST")</f>
        <v>IST</v>
      </c>
      <c r="G686" s="7" t="str">
        <f>IFERROR(__xludf.DUMMYFUNCTION("""COMPUTED_VALUE"""),"Context: A number of approaches have been proposed for the general problem of software component evaluation and selection. Most approaches come from the field of Component-Based Software Development (CBSD), tackle the problem of Commercial-off-the-shelf c"&amp;"omponent selection and use goal-oriented requirements modelling and multi-criteria decision making techniques. Evaluation of the suitability of components is carried out largely manually and partly relies on subjective judgement. However, in dynamic, dist"&amp;"ributed environments with high demands for transparent selection processes leading to trustworthy, auditable decisions, subjective judgements and vendor claims are not considered sufficient. Furthermore, continuous monitoring and re-evaluation of componen"&amp;"ts after integration is sometimes needed. Objective: This paper describes how an evidence-based approach to component evaluation can improve repeatability and reproducibility of component selection under the following conditions: (1) Functional homogeneit"&amp;"y of candidate components and (2) High number of components and selection problem instances. Method: Our evaluation and selection method and tool empirically evaluate candidate components in controlled experiments by applying automated measurements. By an"&amp;"alysing the differences to system-development-oriented scenarios, the paper shows how the process of utility analysis can be tailored to fit the problem space, and describes a method geared towards automated evaluation in an empirical setting. We describe"&amp;" tool support and a framework for automated measurements. We further present a taxonomy of decision criteria for the described scenario and discuss the data collection means needed for each category of criteria. Results: To evaluate our approach, we discu"&amp;"ss a series of case studies in the area of digital preservation. We analyse the criteria defined in these case studies, classify them according to the taxonomy, and discuss the quantitative coverage of automated measurements. Conclusion: The results of th"&amp;"e analysis show that an automated measurement, evaluation and selection framework is necessary and feasible to ensure trusted and repeatable decisions. © 2010 Elsevier B.V. All rights reserved.")</f>
        <v>Context: A number of approaches have been proposed for the general problem of software component evaluation and selection. Most approaches come from the field of Component-Based Software Development (CBSD), tackle the problem of Commercial-off-the-shelf component selection and use goal-oriented requirements modelling and multi-criteria decision making techniques. Evaluation of the suitability of components is carried out largely manually and partly relies on subjective judgement. However, in dynamic, distributed environments with high demands for transparent selection processes leading to trustworthy, auditable decisions, subjective judgements and vendor claims are not considered sufficient. Furthermore, continuous monitoring and re-evaluation of components after integration is sometimes needed. Objective: This paper describes how an evidence-based approach to component evaluation can improve repeatability and reproducibility of component selection under the following conditions: (1) Functional homogeneity of candidate components and (2) High number of components and selection problem instances. Method: Our evaluation and selection method and tool empirically evaluate candidate components in controlled experiments by applying automated measurements. By analysing the differences to system-development-oriented scenarios, the paper shows how the process of utility analysis can be tailored to fit the problem space, and describes a method geared towards automated evaluation in an empirical setting. We describe tool support and a framework for automated measurements. We further present a taxonomy of decision criteria for the described scenario and discuss the data collection means needed for each category of criteria. Results: To evaluate our approach, we discuss a series of case studies in the area of digital preservation. We analyse the criteria defined in these case studies, classify them according to the taxonomy, and discuss the quantitative coverage of automated measurements. Conclusion: The results of the analysis show that an automated measurement, evaluation and selection framework is necessary and feasible to ensure trusted and repeatable decisions. © 2010 Elsevier B.V. All rights reserved.</v>
      </c>
      <c r="H686" s="8" t="str">
        <f>IFERROR(__xludf.DUMMYFUNCTION("""COMPUTED_VALUE"""),"Component selection; COTS; Multi-criteria decision making; Software evaluation; Software measurement; Trust management")</f>
        <v>Component selection; COTS; Multi-criteria decision making; Software evaluation; Software measurement; Trust management</v>
      </c>
      <c r="I686" s="10" t="b">
        <v>0</v>
      </c>
      <c r="J686" s="10" t="b">
        <v>0</v>
      </c>
      <c r="K686" s="10" t="b">
        <v>0</v>
      </c>
      <c r="L686" s="10" t="b">
        <v>0</v>
      </c>
      <c r="M686" s="10" t="b">
        <v>0</v>
      </c>
      <c r="N686" s="10" t="b">
        <v>0</v>
      </c>
      <c r="O686" s="11" t="b">
        <f t="shared" si="1"/>
        <v>0</v>
      </c>
      <c r="P686" s="16" t="b">
        <v>0</v>
      </c>
      <c r="Q686" s="7"/>
    </row>
    <row r="687">
      <c r="A687" s="5" t="b">
        <v>1</v>
      </c>
      <c r="B687" s="5" t="s">
        <v>730</v>
      </c>
      <c r="C687" s="6" t="str">
        <f>IFERROR(__xludf.DUMMYFUNCTION("""COMPUTED_VALUE"""),"10.1016/j.infsof.2010.10.003")</f>
        <v>10.1016/j.infsof.2010.10.003</v>
      </c>
      <c r="D687" s="7" t="str">
        <f>IFERROR(__xludf.DUMMYFUNCTION("""COMPUTED_VALUE"""),"Grunske L.")</f>
        <v>Grunske L.</v>
      </c>
      <c r="E687" s="7" t="str">
        <f>IFERROR(__xludf.DUMMYFUNCTION("""COMPUTED_VALUE"""),"An effective sequential statistical test for probabilistic monitoring")</f>
        <v>An effective sequential statistical test for probabilistic monitoring</v>
      </c>
      <c r="F687" s="7" t="str">
        <f>IFERROR(__xludf.DUMMYFUNCTION("""COMPUTED_VALUE"""),"IST")</f>
        <v>IST</v>
      </c>
      <c r="G687" s="7" t="str">
        <f>IFERROR(__xludf.DUMMYFUNCTION("""COMPUTED_VALUE"""),"Context: A monitor checks if a system behaves according to a specified property at runtime. This is required for quality assurance purposes. Currently several approaches exist to monitor standard and real-time properties. However, a current challenge is t"&amp;"o provide a comprehensive approach for monitoring probabilistic properties, as they are used to formulate quality of service requirements like performance, reliability, safety, and availability. The main problem of these probabilistic properties is that t"&amp;"here is no binary acceptance condition. Objective: To overcome this problem, this article presents an improved and generic statistical decision procedure based on acceptance sampling and sequential hypothesis testing. Method: The developed decision proced"&amp;"ure is validated using several experiments that determine the operating characteristic, runtime overhead as well as the expected sample sizes. Results and conclusion: The experimental validation provides evidence that the developed testing procedure reduc"&amp;"es the runtime overhead and improves the accuracy of classification. Thus, the statistical decision procedure is superior to the existing statistical tests currently used in probabilistic monitoring. © 2010 Elsevier B.V. All rights reserved.")</f>
        <v>Context: A monitor checks if a system behaves according to a specified property at runtime. This is required for quality assurance purposes. Currently several approaches exist to monitor standard and real-time properties. However, a current challenge is to provide a comprehensive approach for monitoring probabilistic properties, as they are used to formulate quality of service requirements like performance, reliability, safety, and availability. The main problem of these probabilistic properties is that there is no binary acceptance condition. Objective: To overcome this problem, this article presents an improved and generic statistical decision procedure based on acceptance sampling and sequential hypothesis testing. Method: The developed decision procedure is validated using several experiments that determine the operating characteristic, runtime overhead as well as the expected sample sizes. Results and conclusion: The experimental validation provides evidence that the developed testing procedure reduces the runtime overhead and improves the accuracy of classification. Thus, the statistical decision procedure is superior to the existing statistical tests currently used in probabilistic monitoring. © 2010 Elsevier B.V. All rights reserved.</v>
      </c>
      <c r="H687" s="8" t="str">
        <f>IFERROR(__xludf.DUMMYFUNCTION("""COMPUTED_VALUE"""),"MaC approach; Probabilistic monitoring; Probabilistic runtime verification; ProMo approach; Sequential probability ration test")</f>
        <v>MaC approach; Probabilistic monitoring; Probabilistic runtime verification; ProMo approach; Sequential probability ration test</v>
      </c>
      <c r="I687" s="10" t="b">
        <v>0</v>
      </c>
      <c r="J687" s="10" t="b">
        <v>0</v>
      </c>
      <c r="K687" s="10" t="b">
        <v>0</v>
      </c>
      <c r="L687" s="10" t="b">
        <v>0</v>
      </c>
      <c r="M687" s="10" t="b">
        <v>0</v>
      </c>
      <c r="N687" s="10" t="b">
        <v>0</v>
      </c>
      <c r="O687" s="11" t="b">
        <f t="shared" si="1"/>
        <v>0</v>
      </c>
      <c r="P687" s="16" t="b">
        <v>0</v>
      </c>
      <c r="Q687" s="7"/>
    </row>
    <row r="688">
      <c r="A688" s="5" t="b">
        <v>1</v>
      </c>
      <c r="B688" s="5" t="s">
        <v>731</v>
      </c>
      <c r="C688" s="6" t="str">
        <f>IFERROR(__xludf.DUMMYFUNCTION("""COMPUTED_VALUE"""),"10.1016/S0950-5849(03)00063-6")</f>
        <v>10.1016/S0950-5849(03)00063-6</v>
      </c>
      <c r="D688" s="7" t="str">
        <f>IFERROR(__xludf.DUMMYFUNCTION("""COMPUTED_VALUE"""),"Cavalli A.; Gervy C.; Prokopenko S.")</f>
        <v>Cavalli A.; Gervy C.; Prokopenko S.</v>
      </c>
      <c r="E688" s="7" t="str">
        <f>IFERROR(__xludf.DUMMYFUNCTION("""COMPUTED_VALUE"""),"New approaches for passive testing using an Extended Finite State Machine specification")</f>
        <v>New approaches for passive testing using an Extended Finite State Machine specification</v>
      </c>
      <c r="F688" s="7" t="str">
        <f>IFERROR(__xludf.DUMMYFUNCTION("""COMPUTED_VALUE"""),"IST")</f>
        <v>IST</v>
      </c>
      <c r="G688" s="7" t="str">
        <f>IFERROR(__xludf.DUMMYFUNCTION("""COMPUTED_VALUE"""),"This paper presents two new approaches for passive testing using an Extended Finite State Machine (EFSM) specification. The state of the art of passive testing shows us that all the methods for detection of errors based on EFSMs try to match the trace to "&amp;"the specification. Indeed, one searches a state succession in the specification machine that is able to generate the trace observed on the implementation. Using this approach, processing is performed on the specification and the trace remains in the backg"&amp;"round since no operation is applied to it. This made us realise that focusing our efforts on the trace could be beneficial and has given as result two approaches presented in this paper that extract information from the specification and then work on the "&amp;"trace. Thus, they take a different direction than the previous methods. We first present an approach to test traces by using invariants resulting from the specification. We formally define these invariants and we see how to extract them. We also discuss t"&amp;"heir ability to detect errors appearing in the implementation. This approach is able to test the data flow, but not in a very satisfactory way. This is the reason for a second approach seeking to apply a set of constraints to the trace. We develop in deta"&amp;"il its principles. Both approaches are applied to a Simple Connection Protocol (SCP) and the results of preliminary experiments are presented. © 2003 Elsevier B.V. All rights reserved.")</f>
        <v>This paper presents two new approaches for passive testing using an Extended Finite State Machine (EFSM) specification. The state of the art of passive testing shows us that all the methods for detection of errors based on EFSMs try to match the trace to the specification. Indeed, one searches a state succession in the specification machine that is able to generate the trace observed on the implementation. Using this approach, processing is performed on the specification and the trace remains in the background since no operation is applied to it. This made us realise that focusing our efforts on the trace could be beneficial and has given as result two approaches presented in this paper that extract information from the specification and then work on the trace. Thus, they take a different direction than the previous methods. We first present an approach to test traces by using invariants resulting from the specification. We formally define these invariants and we see how to extract them. We also discuss their ability to detect errors appearing in the implementation. This approach is able to test the data flow, but not in a very satisfactory way. This is the reason for a second approach seeking to apply a set of constraints to the trace. We develop in detail its principles. Both approaches are applied to a Simple Connection Protocol (SCP) and the results of preliminary experiments are presented. © 2003 Elsevier B.V. All rights reserved.</v>
      </c>
      <c r="H688" s="8" t="str">
        <f>IFERROR(__xludf.DUMMYFUNCTION("""COMPUTED_VALUE"""),"Extended Finite State Machine; Passive testing; Simple connection protocol")</f>
        <v>Extended Finite State Machine; Passive testing; Simple connection protocol</v>
      </c>
      <c r="I688" s="10" t="b">
        <v>0</v>
      </c>
      <c r="J688" s="10" t="b">
        <v>0</v>
      </c>
      <c r="K688" s="10" t="b">
        <v>0</v>
      </c>
      <c r="L688" s="10" t="b">
        <v>0</v>
      </c>
      <c r="M688" s="10" t="b">
        <v>0</v>
      </c>
      <c r="N688" s="10" t="b">
        <v>0</v>
      </c>
      <c r="O688" s="11" t="b">
        <f t="shared" si="1"/>
        <v>0</v>
      </c>
      <c r="P688" s="16" t="b">
        <v>0</v>
      </c>
      <c r="Q688" s="7"/>
    </row>
    <row r="689">
      <c r="A689" s="5" t="b">
        <v>1</v>
      </c>
      <c r="B689" s="5" t="s">
        <v>732</v>
      </c>
      <c r="C689" s="6" t="str">
        <f>IFERROR(__xludf.DUMMYFUNCTION("""COMPUTED_VALUE"""),"10.1007/s00766-016-0251-9")</f>
        <v>10.1007/s00766-016-0251-9</v>
      </c>
      <c r="D689" s="7" t="str">
        <f>IFERROR(__xludf.DUMMYFUNCTION("""COMPUTED_VALUE"""),"Maalej W.; Kurtanović Z.; Nabil H.; Stanik C.")</f>
        <v>Maalej W.; Kurtanović Z.; Nabil H.; Stanik C.</v>
      </c>
      <c r="E689" s="7" t="str">
        <f>IFERROR(__xludf.DUMMYFUNCTION("""COMPUTED_VALUE"""),"On the automatic classification of app reviews")</f>
        <v>On the automatic classification of app reviews</v>
      </c>
      <c r="F689" s="7" t="str">
        <f>IFERROR(__xludf.DUMMYFUNCTION("""COMPUTED_VALUE"""),"REJ")</f>
        <v>REJ</v>
      </c>
      <c r="G689" s="7" t="str">
        <f>IFERROR(__xludf.DUMMYFUNCTION("""COMPUTED_VALUE"""),"App stores like Google Play and Apple AppStore have over 3 million apps covering nearly every kind of software and service. Billions of users regularly download, use, and review these apps. Recent studies have shown that reviews written by the users repre"&amp;"sent a rich source of information for the app vendors and the developers, as they include information about bugs, ideas for new features, or documentation of released features. The majority of the reviews, however, is rather non-informative just praising "&amp;"the app and repeating to the star ratings in words. This paper introduces several probabilistic techniques to classify app reviews into four types: bug reports, feature requests, user experiences, and text ratings. For this, we use review metadata such as"&amp;" the star rating and the tense, as well as, text classification, natural language processing, and sentiment analysis techniques. We conducted a series of experiments to compare the accuracy of the techniques and compared them with simple string matching. "&amp;"We found that metadata alone results in a poor classification accuracy. When combined with simple text classification and natural language preprocessing of the text—particularly with bigrams and lemmatization—the classification precision for all review ty"&amp;"pes got up to 88–92 % and the recall up to 90–99 %. Multiple binary classifiers outperformed single multiclass classifiers. Our results inspired the design of a review analytics tool, which should help app vendors and developers deal with the large amount"&amp;" of reviews, filter critical reviews, and assign them to the appropriate stakeholders. We describe the tool main features and summarize nine interviews with practitioners on how review analytics tools including ours could be used in practice. © 2016, Spri"&amp;"nger-Verlag London.")</f>
        <v>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The majority of the reviews, however, is rather non-informative just praising the app and repeating to the star ratings in words. This paper introduces several probabilistic techniques to classify app reviews into four types: bug reports, feature requests, user experiences, and text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simple text classification and natural language preprocessing of the text—particularly with bigrams and lemmatization—the classification precision for all review types got up to 88–92 % and the recall up to 90–99 %. Multiple binary classifiers outperformed single multiclass classifiers. Our results inspired the design of a review analytics tool, which should help app vendors and developers deal with the large amount of reviews, filter critical reviews, and assign them to the appropriate stakeholders. We describe the tool main features and summarize nine interviews with practitioners on how review analytics tools including ours could be used in practice. © 2016, Springer-Verlag London.</v>
      </c>
      <c r="H689" s="8" t="str">
        <f>IFERROR(__xludf.DUMMYFUNCTION("""COMPUTED_VALUE"""),"Data-driven requirements engineering; Machine learning; Natural language processing; Review analytics; Software analytics; User feedback")</f>
        <v>Data-driven requirements engineering; Machine learning; Natural language processing; Review analytics; Software analytics; User feedback</v>
      </c>
      <c r="I689" s="10" t="b">
        <v>0</v>
      </c>
      <c r="J689" s="10" t="b">
        <v>0</v>
      </c>
      <c r="K689" s="10" t="b">
        <v>0</v>
      </c>
      <c r="L689" s="10" t="b">
        <v>0</v>
      </c>
      <c r="M689" s="10" t="b">
        <v>0</v>
      </c>
      <c r="N689" s="10" t="b">
        <v>0</v>
      </c>
      <c r="O689" s="11" t="b">
        <f t="shared" si="1"/>
        <v>0</v>
      </c>
      <c r="P689" s="16" t="b">
        <v>0</v>
      </c>
      <c r="Q689" s="7"/>
    </row>
    <row r="690">
      <c r="A690" s="5" t="b">
        <v>1</v>
      </c>
      <c r="B690" s="5" t="s">
        <v>733</v>
      </c>
      <c r="C690" s="6" t="str">
        <f>IFERROR(__xludf.DUMMYFUNCTION("""COMPUTED_VALUE"""),"10.1007/s00766-015-0227-1")</f>
        <v>10.1007/s00766-015-0227-1</v>
      </c>
      <c r="D690" s="7" t="str">
        <f>IFERROR(__xludf.DUMMYFUNCTION("""COMPUTED_VALUE"""),"Qian W.; Peng X.; Chen B.; Mylopoulos J.; Wang H.; Zhao W.")</f>
        <v>Qian W.; Peng X.; Chen B.; Mylopoulos J.; Wang H.; Zhao W.</v>
      </c>
      <c r="E690" s="7" t="str">
        <f>IFERROR(__xludf.DUMMYFUNCTION("""COMPUTED_VALUE"""),"Rationalism with a dose of empiricism: Combining goal reasoning and case-based reasoning for self-adaptive software systems")</f>
        <v>Rationalism with a dose of empiricism: Combining goal reasoning and case-based reasoning for self-adaptive software systems</v>
      </c>
      <c r="F690" s="7" t="str">
        <f>IFERROR(__xludf.DUMMYFUNCTION("""COMPUTED_VALUE"""),"REJ")</f>
        <v>REJ</v>
      </c>
      <c r="G690" s="7" t="str">
        <f>IFERROR(__xludf.DUMMYFUNCTION("""COMPUTED_VALUE"""),"Requirements-driven approaches provide an effective mechanism for self-adaptive systems by reasoning over their runtime requirements models to make adaptation decisions. However, such approaches usually assume that the relations among alternative system c"&amp;"onfigurations, environmental parameters and requirements are clearly understood, which is often not true. Moreover, they do not consider the influence of the current configuration of an executing system on adaptation decisions. In this paper, we propose a"&amp;"n improved requirements-driven self-adaptation approach that combines goal reasoning and case-based reasoning. In the approach, past experiences of successful adaptations are retained as adaptation cases, which are described by not only requirements viola"&amp;"tions and contexts, but also currently deployed system configurations. The approach does not depend on a set of original adaptation cases, but employs goal reasoning to provide adaptation solutions when no similar cases are available. Case-based reasoning"&amp;" is used to provide more precise adaptation decisions that better reflect the complex relations among requirements violations, contexts, and current system configurations by utilizing past experiences. To prevent case-based reasoning from getting trapped "&amp;"in suboptimal adaptation solutions, an additional case mutation mechanism is introduced to mutate existing adaptation solutions when necessary. We conduct an experimental study with an online shopping benchmark to evaluate the effectiveness of our approac"&amp;"h. The results show that our approach outperforms both a requirements-driven approach and a case-based approach in terms of satisfaction level of quality constraints. The results also confirm the effectiveness of case mutation for producing better adaptat"&amp;"ion solutions. In addition, we empirically investigate the evolution process of adaptation solutions. The evolution analysis reveals some general evolution trends of adaptation solutions such as different evolution phases. © Springer-Verlag London 2015.")</f>
        <v>Requirements-driven approaches provide an effective mechanism for self-adaptive systems by reasoning over their runtime requirements models to make adaptation decisions. However, such approaches usually assume that the relations among alternative system configurations, environmental parameters and requirements are clearly understood, which is often not true. Moreover, they do not consider the influence of the current configuration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system configurations. The approach does not depend on a set of original adaptation cases, but employs goal reasoning to provide adaptation solutions when no similar cases are available. Case-based reasoning is used to provide more precise adaptation decisions that better reflect the complex relations among requirements violations, contexts, and current system configurations by utilizing past experiences. To prevent case-based reasoning from getting trapped in suboptimal adaptation solutions, an additional case mutation mechanism is introduced to mutate existing adaptation solutions when necessary. We conduct an experimental study with an online shopping benchmark to evaluate the effectiveness of our approach. The results show that our approach outperforms both a requirements-driven approach and a case-based approach in terms of satisfaction level of quality constraints. The results also confirm the effectiveness of case mutation for producing better adaptation solutions. In addition, we empirically investigate the evolution process of adaptation solutions. The evolution analysis reveals some general evolution trends of adaptation solutions such as different evolution phases. © Springer-Verlag London 2015.</v>
      </c>
      <c r="H690" s="8" t="str">
        <f>IFERROR(__xludf.DUMMYFUNCTION("""COMPUTED_VALUE"""),"Case-based reasoning; Goal reasoning; Requirements goal models; Self-adaptive systems")</f>
        <v>Case-based reasoning; Goal reasoning; Requirements goal models; Self-adaptive systems</v>
      </c>
      <c r="I690" s="10" t="b">
        <v>0</v>
      </c>
      <c r="J690" s="10" t="b">
        <v>0</v>
      </c>
      <c r="K690" s="10" t="b">
        <v>0</v>
      </c>
      <c r="L690" s="10" t="b">
        <v>0</v>
      </c>
      <c r="M690" s="10" t="b">
        <v>0</v>
      </c>
      <c r="N690" s="10" t="b">
        <v>0</v>
      </c>
      <c r="O690" s="11" t="b">
        <f t="shared" si="1"/>
        <v>0</v>
      </c>
      <c r="P690" s="16" t="b">
        <v>0</v>
      </c>
      <c r="Q690" s="7"/>
    </row>
    <row r="691">
      <c r="A691" s="5" t="b">
        <v>1</v>
      </c>
      <c r="B691" s="5" t="s">
        <v>734</v>
      </c>
      <c r="C691" s="6" t="str">
        <f>IFERROR(__xludf.DUMMYFUNCTION("""COMPUTED_VALUE"""),"10.1007/s00766-005-0008-3")</f>
        <v>10.1007/s00766-005-0008-3</v>
      </c>
      <c r="D691" s="7" t="str">
        <f>IFERROR(__xludf.DUMMYFUNCTION("""COMPUTED_VALUE"""),"Mich L.; Anesi C.; Berry D.M.")</f>
        <v>Mich L.; Anesi C.; Berry D.M.</v>
      </c>
      <c r="E691" s="7" t="str">
        <f>IFERROR(__xludf.DUMMYFUNCTION("""COMPUTED_VALUE"""),"Applying a pragmatics-based creativity-fostering technique to requirements elicitation")</f>
        <v>Applying a pragmatics-based creativity-fostering technique to requirements elicitation</v>
      </c>
      <c r="F691" s="7" t="str">
        <f>IFERROR(__xludf.DUMMYFUNCTION("""COMPUTED_VALUE"""),"REJ")</f>
        <v>REJ</v>
      </c>
      <c r="G691" s="7" t="str">
        <f>IFERROR(__xludf.DUMMYFUNCTION("""COMPUTED_VALUE"""),"This paper proposes the application to requirements elicitation of an innovative creativity fostering technique based on a model of the pragmatics of communication, the Elementary Pragmatic Model (EPM). The EPM has been used to define a creative process, "&amp;"called EPMcreate (EPM Creative Requirements Engineering TEchnique) that consists of sixteen steps. In each step, the problem is analyzed according to one elementary behavior identified by the EPM. Each behavior suggests that the analyst look at the proble"&amp;"m from a different combination of users' viewpoints. The feasibility and effectiveness of the technique in requirements elicitation was demonstrated by experiments on two projects with very different characteristics. Each experiment compared the performan"&amp;"ces of two analysis teams, one of which used EPMcreate and the other of which used brainstorming. The results of both experiments highlights the higher effectiveness of EPMcreate. Additional data from the experiments are examined for other insights into h"&amp;"ow and why EPMcreate is effective. © Springer-Verlag London Limited 2005.")</f>
        <v>This paper proposes the application to requirements elicitation of an innovative creativity fostering technique based on a model of the pragmatics of communication, the Elementary Pragmatic Model (EPM). The EPM has been used to define a creative process, called EPMcreate (EPM Creative Requirements Engineering TEchnique) that consists of sixteen steps. In each step, the problem is analyzed according to one elementary behavior identified by the EPM. Each behavior suggests that the analyst look at the problem from a different combination of users' viewpoints. The feasibility and effectiveness of the technique in requirements elicitation was demonstrated by experiments on two projects with very different characteristics. Each experiment compared the performances of two analysis teams, one of which used EPMcreate and the other of which used brainstorming. The results of both experiments highlights the higher effectiveness of EPMcreate. Additional data from the experiments are examined for other insights into how and why EPMcreate is effective. © Springer-Verlag London Limited 2005.</v>
      </c>
      <c r="H691" s="8" t="str">
        <f>IFERROR(__xludf.DUMMYFUNCTION("""COMPUTED_VALUE"""),"Exploratory experiment; Pragmatics of communication; Problem solving; Viewpoint")</f>
        <v>Exploratory experiment; Pragmatics of communication; Problem solving; Viewpoint</v>
      </c>
      <c r="I691" s="9" t="b">
        <v>1</v>
      </c>
      <c r="J691" s="9" t="b">
        <v>1</v>
      </c>
      <c r="K691" s="10" t="b">
        <v>0</v>
      </c>
      <c r="L691" s="10" t="b">
        <v>0</v>
      </c>
      <c r="M691" s="10" t="b">
        <v>0</v>
      </c>
      <c r="N691" s="10" t="b">
        <v>0</v>
      </c>
      <c r="O691" s="11" t="b">
        <f t="shared" si="1"/>
        <v>0</v>
      </c>
      <c r="P691" s="12" t="b">
        <v>0</v>
      </c>
      <c r="Q691" s="13"/>
    </row>
    <row r="692">
      <c r="A692" s="5" t="b">
        <v>1</v>
      </c>
      <c r="B692" s="5" t="s">
        <v>735</v>
      </c>
      <c r="C692" s="6" t="str">
        <f>IFERROR(__xludf.DUMMYFUNCTION("""COMPUTED_VALUE"""),"10.1007/s00766-005-0017-2")</f>
        <v>10.1007/s00766-005-0017-2</v>
      </c>
      <c r="D692" s="7" t="str">
        <f>IFERROR(__xludf.DUMMYFUNCTION("""COMPUTED_VALUE"""),"Kaiya H.; Shinbara D.; Kawano J.; Saeki M.")</f>
        <v>Kaiya H.; Shinbara D.; Kawano J.; Saeki M.</v>
      </c>
      <c r="E692" s="7" t="str">
        <f>IFERROR(__xludf.DUMMYFUNCTION("""COMPUTED_VALUE"""),"Improving the detection of requirements discordances among stakeholders")</f>
        <v>Improving the detection of requirements discordances among stakeholders</v>
      </c>
      <c r="F692" s="7" t="str">
        <f>IFERROR(__xludf.DUMMYFUNCTION("""COMPUTED_VALUE"""),"REJ")</f>
        <v>REJ</v>
      </c>
      <c r="G692" s="7" t="str">
        <f>IFERROR(__xludf.DUMMYFUNCTION("""COMPUTED_VALUE"""),"This paper introduces a technique to identify requirements discordances among stakeholders. This technique is validated in experiments. An extended version of the goal-oriented requirements elicitation method, named attributed goal-oriented analysis (AGOR"&amp;"A), and its supporting tool are used. Two types of requirements discordances among stakeholders are defined: the first arises from the different interpretations by the stakeholders and the second is the result of different evaluations of preferences. Disc"&amp;"ordances are detected by the preference matrices in AGORA. Each preference matrix represents both preferences of each stakeholder and the estimated preferences of other stakeholders. A supporting tool for the AGORA method was developed. This tool is a gro"&amp;"upware that seamlessly combines face-to-face meetings for goal elicitation and distributed individual sessions for scoring preference values. The experimental results showed that the proposed classification of discordances was sound and that the occurrenc"&amp;"es of the requirements discordances could be detected by preference matrices. © Springer-Verlag London Limited 2005.")</f>
        <v>This paper introduces a technique to identify requirements discordances among stakeholders. This technique is validated in experiments. An extended version of the goal-oriented requirements elicitation method, named attributed goal-oriented analysis (AGORA), and its supporting tool are used. Two types of requirements discordances among stakeholders are defined: the first arises from the different interpretations by the stakeholders and the second is the result of different evaluations of preferences. Discordances are detected by the preference matrices in AGORA. Each preference matrix represents both preferences of each stakeholder and the estimated preferences of other stakeholders. A supporting tool for the AGORA method was developed. This tool is a groupware that seamlessly combines face-to-face meetings for goal elicitation and distributed individual sessions for scoring preference values. The experimental results showed that the proposed classification of discordances was sound and that the occurrences of the requirements discordances could be detected by preference matrices. © Springer-Verlag London Limited 2005.</v>
      </c>
      <c r="H692" s="8" t="str">
        <f>IFERROR(__xludf.DUMMYFUNCTION("""COMPUTED_VALUE"""),"Goal-oriented analysis; Requirements discordances; Requirements elicitation")</f>
        <v>Goal-oriented analysis; Requirements discordances; Requirements elicitation</v>
      </c>
      <c r="I692" s="9" t="b">
        <v>0</v>
      </c>
      <c r="J692" s="9" t="b">
        <v>1</v>
      </c>
      <c r="K692" s="9" t="b">
        <v>1</v>
      </c>
      <c r="L692" s="10" t="b">
        <v>0</v>
      </c>
      <c r="M692" s="10" t="b">
        <v>0</v>
      </c>
      <c r="N692" s="10" t="b">
        <v>0</v>
      </c>
      <c r="O692" s="11" t="b">
        <f t="shared" si="1"/>
        <v>0</v>
      </c>
      <c r="P692" s="12" t="b">
        <v>0</v>
      </c>
      <c r="Q692" s="13" t="s">
        <v>736</v>
      </c>
    </row>
    <row r="693">
      <c r="A693" s="5" t="b">
        <v>1</v>
      </c>
      <c r="B693" s="5" t="s">
        <v>737</v>
      </c>
      <c r="C693" s="6" t="str">
        <f>IFERROR(__xludf.DUMMYFUNCTION("""COMPUTED_VALUE"""),"10.1007/s007660050008")</f>
        <v>10.1007/s007660050008</v>
      </c>
      <c r="D693" s="7" t="str">
        <f>IFERROR(__xludf.DUMMYFUNCTION("""COMPUTED_VALUE"""),"Overmyer S.P.")</f>
        <v>Overmyer S.P.</v>
      </c>
      <c r="E693" s="7" t="str">
        <f>IFERROR(__xludf.DUMMYFUNCTION("""COMPUTED_VALUE"""),"A methodology for constructing user-oriented requirements specifications for large-scale systems using electronic hypermedia")</f>
        <v>A methodology for constructing user-oriented requirements specifications for large-scale systems using electronic hypermedia</v>
      </c>
      <c r="F693" s="7" t="str">
        <f>IFERROR(__xludf.DUMMYFUNCTION("""COMPUTED_VALUE"""),"REJ")</f>
        <v>REJ</v>
      </c>
      <c r="G693" s="7" t="str">
        <f>IFERROR(__xludf.DUMMYFUNCTION("""COMPUTED_VALUE"""),"When requirements specifications are developed for large-scale systems, the final specification is usually an abstraction of the original requirements data into a text-based form that is often foreign to end-users. A method was developed for representing "&amp;"requirements through use of electronic multimedia. The resulting specification is capable of representing requirements and requirements data in a manner that is more representative of the real-world problem space than traditional specifications. This pape"&amp;"r presents a method for incorporating multimedia exhibits, notably the results of rapid prototyping activities and animated simulation, into a requirements specification for large-scale C2I systems. To examine the effectiveness of the method, a multimedia"&amp;" requirements specification was developed based on an existing text specification for a real-world system. An experiment was also performed that showed the product of the methodology to be effective in increasing the understandability of the specification"&amp;" over that obtained from the text specification alone. © 1999 Springer-Verlag London Limited.")</f>
        <v>When requirements specifications are developed for large-scale systems, the final specification is usually an abstraction of the original requirements data into a text-based form that is often foreign to end-users. A method was developed for representing requirements through use of electronic multimedia. The resulting specification is capable of representing requirements and requirements data in a manner that is more representative of the real-world problem space than traditional specifications. This paper presents a method for incorporating multimedia exhibits, notably the results of rapid prototyping activities and animated simulation, into a requirements specification for large-scale C2I systems. To examine the effectiveness of the method, a multimedia requirements specification was developed based on an existing text specification for a real-world system. An experiment was also performed that showed the product of the methodology to be effective in increasing the understandability of the specification over that obtained from the text specification alone. © 1999 Springer-Verlag London Limited.</v>
      </c>
      <c r="H693" s="8" t="str">
        <f>IFERROR(__xludf.DUMMYFUNCTION("""COMPUTED_VALUE"""),"Multimedia; Rapid prototyping; Requirements specification")</f>
        <v>Multimedia; Rapid prototyping; Requirements specification</v>
      </c>
      <c r="I693" s="9" t="b">
        <v>1</v>
      </c>
      <c r="J693" s="9" t="b">
        <v>1</v>
      </c>
      <c r="K693" s="9" t="b">
        <v>1</v>
      </c>
      <c r="L693" s="10" t="b">
        <v>0</v>
      </c>
      <c r="M693" s="10" t="b">
        <v>0</v>
      </c>
      <c r="N693" s="10" t="b">
        <v>0</v>
      </c>
      <c r="O693" s="11" t="b">
        <f t="shared" si="1"/>
        <v>1</v>
      </c>
      <c r="P693" s="16" t="b">
        <v>0</v>
      </c>
      <c r="Q693" s="7"/>
    </row>
    <row r="694">
      <c r="A694" s="5" t="b">
        <v>1</v>
      </c>
      <c r="B694" s="5" t="s">
        <v>738</v>
      </c>
      <c r="C694" s="6" t="str">
        <f>IFERROR(__xludf.DUMMYFUNCTION("""COMPUTED_VALUE"""),"10.1007/s00766-010-0105-9")</f>
        <v>10.1007/s00766-010-0105-9</v>
      </c>
      <c r="D694" s="7" t="str">
        <f>IFERROR(__xludf.DUMMYFUNCTION("""COMPUTED_VALUE"""),"Aranda G.N.; Vizcaíno A.; Piattini M.")</f>
        <v>Aranda G.N.; Vizcaíno A.; Piattini M.</v>
      </c>
      <c r="E694" s="7" t="str">
        <f>IFERROR(__xludf.DUMMYFUNCTION("""COMPUTED_VALUE"""),"A framework to improve communication during the requirements elicitation process in GSD projects")</f>
        <v>A framework to improve communication during the requirements elicitation process in GSD projects</v>
      </c>
      <c r="F694" s="7" t="str">
        <f>IFERROR(__xludf.DUMMYFUNCTION("""COMPUTED_VALUE"""),"REJ")</f>
        <v>REJ</v>
      </c>
      <c r="G694" s="7" t="str">
        <f>IFERROR(__xludf.DUMMYFUNCTION("""COMPUTED_VALUE"""),"Achieving a shared understanding of requirements is difficult in any situation, even more so in global software development projects. In such environments, people must deal not only with the lack of face to face communication, but also with other issues s"&amp;"uch as time difference, cultural diversity and a large amount of information originating from different sources throughout the world. Obtaining the right requirements therefore implies extra effort. In order to minimize such problems, we propose a framewo"&amp;"rk that focuses on analyzing the factors that may be problematic in global software development and which suggests a set of strategies to improve the requirements elicitation process in such environments. In this paper, we describe the different phases of"&amp;" our framework and present the results of an experiment that test part of this framework. The results indicate that applying some of the strategies proposed in the framework seems to positively affect the stakeholders' satisfaction with regard to communic"&amp;"ation. Moreover, the quality of the written software requirements specifications seems to be better as well when using those strategies. © 2010 Springer-Verlag London Limited.")</f>
        <v>Achieving a shared understanding of requirements is difficult in any situation, even more so in global software development projects. In such environments, people must deal not only with the lack of face to face communication, but also with other issues such as time difference, cultural diversity and a large amount of information originating from different sources throughout the world. Obtaining the right requirements therefore implies extra effort. In order to minimize such problems, we propose a framework that focuses on analyzing the factors that may be problematic in global software development and which suggests a set of strategies to improve the requirements elicitation process in such environments. In this paper, we describe the different phases of our framework and present the results of an experiment that test part of this framework. The results indicate that applying some of the strategies proposed in the framework seems to positively affect the stakeholders' satisfaction with regard to communication. Moreover, the quality of the written software requirements specifications seems to be better as well when using those strategies. © 2010 Springer-Verlag London Limited.</v>
      </c>
      <c r="H694" s="8" t="str">
        <f>IFERROR(__xludf.DUMMYFUNCTION("""COMPUTED_VALUE"""),"Cognitive informatics; Global software development; Requirements elicitation")</f>
        <v>Cognitive informatics; Global software development; Requirements elicitation</v>
      </c>
      <c r="I694" s="9" t="b">
        <v>1</v>
      </c>
      <c r="J694" s="9" t="b">
        <v>1</v>
      </c>
      <c r="K694" s="9" t="b">
        <v>0</v>
      </c>
      <c r="L694" s="10" t="b">
        <v>0</v>
      </c>
      <c r="M694" s="10" t="b">
        <v>0</v>
      </c>
      <c r="N694" s="10" t="b">
        <v>0</v>
      </c>
      <c r="O694" s="11" t="b">
        <f t="shared" si="1"/>
        <v>0</v>
      </c>
      <c r="P694" s="12" t="b">
        <v>0</v>
      </c>
      <c r="Q694" s="13"/>
    </row>
    <row r="695">
      <c r="A695" s="5" t="b">
        <v>1</v>
      </c>
      <c r="B695" s="5" t="s">
        <v>739</v>
      </c>
      <c r="C695" s="6" t="str">
        <f>IFERROR(__xludf.DUMMYFUNCTION("""COMPUTED_VALUE"""),"10.1007/s00766-018-0288-z")</f>
        <v>10.1007/s00766-018-0288-z</v>
      </c>
      <c r="D695" s="7" t="str">
        <f>IFERROR(__xludf.DUMMYFUNCTION("""COMPUTED_VALUE"""),"Ko D.; Kim S.; Park S.")</f>
        <v>Ko D.; Kim S.; Park S.</v>
      </c>
      <c r="E695" s="7" t="str">
        <f>IFERROR(__xludf.DUMMYFUNCTION("""COMPUTED_VALUE"""),"Automatic recommendation to omitted steps in use case specification")</f>
        <v>Automatic recommendation to omitted steps in use case specification</v>
      </c>
      <c r="F695" s="7" t="str">
        <f>IFERROR(__xludf.DUMMYFUNCTION("""COMPUTED_VALUE"""),"REJ")</f>
        <v>REJ</v>
      </c>
      <c r="G695" s="7" t="str">
        <f>IFERROR(__xludf.DUMMYFUNCTION("""COMPUTED_VALUE"""),"Completeness is one of the key attributes for a high-quality software requirements specification. Although incomplete requirements frequently occur in the requirements specification, it is rarely discovered. This turns out to be one of the major causes of"&amp;" software project failure. In order to handle this issue, this paper proposes an automatic approach to recommending omitted steps in a use case-based requirements specification. First, we automatically extract diverse scenario patterns by using the verb c"&amp;"lustering algorithm and scenario flow graphs. Based on the scenario patterns, our approach detects omitted steps of user’s scenarios by the pattern matching algorithm and automatically recommends appropriate steps for the omitted parts. For validation of "&amp;"our approach, we have developed tool support, named ScenarioAmigo, and collected 231 use case specifications composing of 1874 scenario steps from 12 academic or proprietary projects. We first carried out the preliminary study to decide appropriate thresh"&amp;"olds and weights. Then, we conducted three experiments as a quantitative performance evaluation. First, the cross-validation for the collected scenarios shows the 76% precision and 80% recall. Second, the comparison of recall of ScenarioAmigo to that of h"&amp;"uman experts obtained the 20% higher score. As the last experiment, we compared the result of ScenarioAmigo and human experts in terms of severity of each scenario and found that our approach could recommend normal as well as important scenarios, compared"&amp;" to the human experts. © 2018, Springer-Verlag London Ltd., part of Springer Nature.")</f>
        <v>Completeness is one of the key attributes for a high-quality software requirements specification. Although incomplete requirements frequently occur in the requirements specification, it is rarely discovered. This turns out to be one of the major causes of software project failure. In order to handle this issue, this paper proposes an automatic approach to recommending omitted steps in a use case-based requirements specification. First, we automatically extract diverse scenario patterns by using the verb clustering algorithm and scenario flow graphs. Based on the scenario patterns, our approach detects omitted steps of user’s scenarios by the pattern matching algorithm and automatically recommends appropriate steps for the omitted parts. For validation of our approach, we have developed tool support, named ScenarioAmigo, and collected 231 use case specifications composing of 1874 scenario steps from 12 academic or proprietary projects. We first carried out the preliminary study to decide appropriate thresholds and weights. Then, we conducted three experiments as a quantitative performance evaluation. First, the cross-validation for the collected scenarios shows the 76% precision and 80% recall. Second, the comparison of recall of ScenarioAmigo to that of human experts obtained the 20% higher score. As the last experiment, we compared the result of ScenarioAmigo and human experts in terms of severity of each scenario and found that our approach could recommend normal as well as important scenarios, compared to the human experts. © 2018, Springer-Verlag London Ltd., part of Springer Nature.</v>
      </c>
      <c r="H695" s="8" t="str">
        <f>IFERROR(__xludf.DUMMYFUNCTION("""COMPUTED_VALUE"""),"Recommendation to omitted steps; Scenario patterns; Software requirements completeness; Use case specification")</f>
        <v>Recommendation to omitted steps; Scenario patterns; Software requirements completeness; Use case specification</v>
      </c>
      <c r="I695" s="10" t="b">
        <v>0</v>
      </c>
      <c r="J695" s="10" t="b">
        <v>0</v>
      </c>
      <c r="K695" s="10" t="b">
        <v>0</v>
      </c>
      <c r="L695" s="10" t="b">
        <v>0</v>
      </c>
      <c r="M695" s="10" t="b">
        <v>0</v>
      </c>
      <c r="N695" s="10" t="b">
        <v>0</v>
      </c>
      <c r="O695" s="11" t="b">
        <f t="shared" si="1"/>
        <v>0</v>
      </c>
      <c r="P695" s="16" t="b">
        <v>0</v>
      </c>
      <c r="Q695" s="7"/>
    </row>
    <row r="696">
      <c r="A696" s="5" t="b">
        <v>1</v>
      </c>
      <c r="B696" s="5" t="s">
        <v>740</v>
      </c>
      <c r="C696" s="6" t="str">
        <f>IFERROR(__xludf.DUMMYFUNCTION("""COMPUTED_VALUE"""),"10.1007/s007660070001")</f>
        <v>10.1007/s007660070001</v>
      </c>
      <c r="D696" s="7" t="str">
        <f>IFERROR(__xludf.DUMMYFUNCTION("""COMPUTED_VALUE"""),"Sim E.R.; Forgionne G.; Nag B.")</f>
        <v>Sim E.R.; Forgionne G.; Nag B.</v>
      </c>
      <c r="E696" s="7" t="str">
        <f>IFERROR(__xludf.DUMMYFUNCTION("""COMPUTED_VALUE"""),"An experimental investigation into the effectiveness of OOA for specifying requirements")</f>
        <v>An experimental investigation into the effectiveness of OOA for specifying requirements</v>
      </c>
      <c r="F696" s="7" t="str">
        <f>IFERROR(__xludf.DUMMYFUNCTION("""COMPUTED_VALUE"""),"REJ")</f>
        <v>REJ</v>
      </c>
      <c r="G696" s="7" t="str">
        <f>IFERROR(__xludf.DUMMYFUNCTION("""COMPUTED_VALUE"""),"The application of object oriented concepts (OO) to the requirements phase of information systems (IS) and software development has been adopted by many proponents of IS and software development methodologies. Although many claims have been made about the"&amp;" effectiveness of OO techniques for improving requirements analysis, very few experimental studies have been done to substantiate these claims. This paper addresses this gap in the literature by conducting an experimental study that attempts to validate t"&amp;"he effectiveness of object-oriented analysis (OOA) by comparing it to structured analysis (SA) for producing requirements. We argue that the quality of the requirements specification can be measured and that measurement can be used to compare the effectiv"&amp;"eness of OOA and SA. We present an overview of the basic models and principles associated with OOA and SA, a discussion of quality in requirements definition, and a detailed discussion of the research methodology used. A review of relevant research is als"&amp;"o presented and directions for further research are suggested. Our findings suggest that the OOA methodology does not necessarily produce better requirements statements. © 2000 Springer-Verlag London Limited.")</f>
        <v>The application of object oriented concepts (OO) to the requirements phase of information systems (IS) and software development has been adopted by many proponents of IS and software development methodologies. Although many claims have been made about the effectiveness of OO techniques for improving requirements analysis, very few experimental studies have been done to substantiate these claims. This paper addresses this gap in the literature by conducting an experimental study that attempts to validate the effectiveness of object-oriented analysis (OOA) by comparing it to structured analysis (SA) for producing requirements. We argue that the quality of the requirements specification can be measured and that measurement can be used to compare the effectiveness of OOA and SA. We present an overview of the basic models and principles associated with OOA and SA, a discussion of quality in requirements definition, and a detailed discussion of the research methodology used. A review of relevant research is also presented and directions for further research are suggested. Our findings suggest that the OOA methodology does not necessarily produce better requirements statements. © 2000 Springer-Verlag London Limited.</v>
      </c>
      <c r="H696" s="8" t="str">
        <f>IFERROR(__xludf.DUMMYFUNCTION("""COMPUTED_VALUE"""),"Is analysis methodologies; Object oriented; Requirements")</f>
        <v>Is analysis methodologies; Object oriented; Requirements</v>
      </c>
      <c r="I696" s="9" t="b">
        <v>1</v>
      </c>
      <c r="J696" s="9" t="b">
        <v>1</v>
      </c>
      <c r="K696" s="10" t="b">
        <v>0</v>
      </c>
      <c r="L696" s="10" t="b">
        <v>0</v>
      </c>
      <c r="M696" s="10" t="b">
        <v>0</v>
      </c>
      <c r="N696" s="10" t="b">
        <v>0</v>
      </c>
      <c r="O696" s="11" t="b">
        <f t="shared" si="1"/>
        <v>0</v>
      </c>
      <c r="P696" s="16" t="b">
        <v>0</v>
      </c>
      <c r="Q696" s="7"/>
    </row>
    <row r="697">
      <c r="A697" s="5" t="b">
        <v>1</v>
      </c>
      <c r="B697" s="5" t="s">
        <v>741</v>
      </c>
      <c r="C697" s="6" t="str">
        <f>IFERROR(__xludf.DUMMYFUNCTION("""COMPUTED_VALUE"""),"10.1007/s00766-017-0278-6")</f>
        <v>10.1007/s00766-017-0278-6</v>
      </c>
      <c r="D697" s="7" t="str">
        <f>IFERROR(__xludf.DUMMYFUNCTION("""COMPUTED_VALUE"""),"Neace K.; Roncace R.; Fomin P.")</f>
        <v>Neace K.; Roncace R.; Fomin P.</v>
      </c>
      <c r="E697" s="7" t="str">
        <f>IFERROR(__xludf.DUMMYFUNCTION("""COMPUTED_VALUE"""),"Goal model analysis of autonomy requirements for Unmanned Aircraft Systems")</f>
        <v>Goal model analysis of autonomy requirements for Unmanned Aircraft Systems</v>
      </c>
      <c r="F697" s="7" t="str">
        <f>IFERROR(__xludf.DUMMYFUNCTION("""COMPUTED_VALUE"""),"REJ")</f>
        <v>REJ</v>
      </c>
      <c r="G697" s="7" t="str">
        <f>IFERROR(__xludf.DUMMYFUNCTION("""COMPUTED_VALUE"""),"Designing Unmanned Aircraft Systems (UASs) for optimal autonomy while meeting user requirements is quite challenging. Researchers have focused on improving autonomy algorithms and verification methods to ensure safe and reliable autonomous behavior in UAS"&amp;"s, but little research has been conducted on requirements engineering for UASs to answer design questions and explore the trade space for using autonomy to satisfy user requirements. This paper introduces a method to determine an optimal set of autonomous"&amp;" capabilities that satisfies UAS user requirements in the early stages of conceptual design. The method uses a modified Autonomy Requirements Engineering (ARE) process that applies quantitative measures and statistical analysis to Goal-Oriented Requiremen"&amp;"ts Engineering (GORE). We demonstrate this method in a case study of a “disaster robot,” i.e., a hazard response UAS for which the autonomy requirements were optimized using a goal model developed in the Goal-oriented Requirement Language (GRL), as implem"&amp;"ented in the modeling tool jUCMNav. The high-level goals of the hazard response UAS—system performance, cost, and safety—were evaluated using the formula-based GRL strategy evaluation algorithm resident in jUCMNav version 6.0. An autonomy trade space stud"&amp;"y was conducted through a Design and Analysis of Simulation Experiments (DASE). Our designed simulation experiment inserted the number of trials (evaluation strategies) and inputs into the goal model, and evaluation data were analyzed to optimize design f"&amp;"actors based on user weightings of the response variables. This paper presents a structured method of ARE for UASs, which could be adopted more broadly across other domains, demonstrating how to optimize autonomous capabilities for different design condit"&amp;"ions. © 2017, Springer-Verlag London Ltd.")</f>
        <v>Designing Unmanned Aircraft Systems (UASs) for optimal autonomy while meeting user requirements is quite challenging. Researchers have focused on improving autonomy algorithms and verification methods to ensure safe and reliable autonomous behavior in UASs, but little research has been conducted on requirements engineering for UASs to answer design questions and explore the trade space for using autonomy to satisfy user requirements. This paper introduces a method to determine an optimal set of autonomous capabilities that satisfies UAS user requirements in the early stages of conceptual design. The method uses a modified Autonomy Requirements Engineering (ARE) process that applies quantitative measures and statistical analysis to Goal-Oriented Requirements Engineering (GORE). We demonstrate this method in a case study of a “disaster robot,” i.e., a hazard response UAS for which the autonomy requirements were optimized using a goal model developed in the Goal-oriented Requirement Language (GRL), as implemented in the modeling tool jUCMNav. The high-level goals of the hazard response UAS—system performance, cost, and safety—were evaluated using the formula-based GRL strategy evaluation algorithm resident in jUCMNav version 6.0. An autonomy trade space study was conducted through a Design and Analysis of Simulation Experiments (DASE). Our designed simulation experiment inserted the number of trials (evaluation strategies) and inputs into the goal model, and evaluation data were analyzed to optimize design factors based on user weightings of the response variables. This paper presents a structured method of ARE for UASs, which could be adopted more broadly across other domains, demonstrating how to optimize autonomous capabilities for different design conditions. © 2017, Springer-Verlag London Ltd.</v>
      </c>
      <c r="H697" s="8" t="str">
        <f>IFERROR(__xludf.DUMMYFUNCTION("""COMPUTED_VALUE"""),"Autonomy; Autonomy Requirements Engineering (ARE); Design and Analysis of Simulation Experiments (DASE); Goal modeling; Goal-oriented Requirement Language (GRL); Unmanned Aircraft Systems (UASs)")</f>
        <v>Autonomy; Autonomy Requirements Engineering (ARE); Design and Analysis of Simulation Experiments (DASE); Goal modeling; Goal-oriented Requirement Language (GRL); Unmanned Aircraft Systems (UASs)</v>
      </c>
      <c r="I697" s="10" t="b">
        <v>0</v>
      </c>
      <c r="J697" s="10" t="b">
        <v>0</v>
      </c>
      <c r="K697" s="10" t="b">
        <v>0</v>
      </c>
      <c r="L697" s="10" t="b">
        <v>0</v>
      </c>
      <c r="M697" s="10" t="b">
        <v>0</v>
      </c>
      <c r="N697" s="10" t="b">
        <v>0</v>
      </c>
      <c r="O697" s="11" t="b">
        <f t="shared" si="1"/>
        <v>0</v>
      </c>
      <c r="P697" s="16" t="b">
        <v>0</v>
      </c>
      <c r="Q697" s="7"/>
    </row>
    <row r="698">
      <c r="A698" s="5" t="b">
        <v>1</v>
      </c>
      <c r="B698" s="5" t="s">
        <v>742</v>
      </c>
      <c r="C698" s="6" t="str">
        <f>IFERROR(__xludf.DUMMYFUNCTION("""COMPUTED_VALUE"""),"10.1007/s00766-023-00400-3")</f>
        <v>10.1007/s00766-023-00400-3</v>
      </c>
      <c r="D698" s="7" t="str">
        <f>IFERROR(__xludf.DUMMYFUNCTION("""COMPUTED_VALUE"""),"Noel R.; Panach J.I.; Pastor O.")</f>
        <v>Noel R.; Panach J.I.; Pastor O.</v>
      </c>
      <c r="E698" s="7" t="str">
        <f>IFERROR(__xludf.DUMMYFUNCTION("""COMPUTED_VALUE"""),"Including business strategy in model-driven methods: an experiment")</f>
        <v>Including business strategy in model-driven methods: an experiment</v>
      </c>
      <c r="F698" s="7" t="str">
        <f>IFERROR(__xludf.DUMMYFUNCTION("""COMPUTED_VALUE"""),"REJ")</f>
        <v>REJ</v>
      </c>
      <c r="G698" s="7" t="str">
        <f>IFERROR(__xludf.DUMMYFUNCTION("""COMPUTED_VALUE"""),"Software-centric organisations design a loosely coupled organisation structure around strategic objectives, replicating this design to their business processes and information systems. Nowadays, dealing with business strategy in a model-driven development"&amp;" context is a challenge since key concepts such as the organisation’s structure and strategic ends and means have been mostly addressed at the enterprise architecture level for the strategic alignment of the whole organisation, and have not been included "&amp;"into MDD methods as a requirements source. To overcome this issue, researchers have designed the LiteStrat, a business strategy modelling method compliant with MDD for developing information systems. This article presents an empirical comparison of LiteSt"&amp;"rat and with i*, one of the most used models for strategic alignment in an MDD context. The article contributes with a literature review on the experimental comparison of modelling languages, the design of a study for measuring and comparing the semantic "&amp;"quality of modelling languages, and empirical evidence of the LiteStrat and i* differences. The evaluation consists of a 2 × 2 factorial experiment recruiting 28 undergraduate subjects. Significant differences favouring LiteStrat were found for models’ ac"&amp;"curacy and completeness, while no differences in modeller’s efficiency and satisfaction were detected. These results yield evidence of the suitability of LiteStrat for business strategy modelling in a model-driven context. © 2023, The Author(s).")</f>
        <v>Software-centric organisations design a loosely coupled organisation structure around strategic objectives, replicating this design to their business processes and information systems. Nowadays, dealing with business strategy in a model-driven development context is a challenge since key concepts such as the organisation’s structure and strategic ends and means have been mostly addressed at the enterprise architecture level for the strategic alignment of the whole organisation, and have not been included into MDD methods as a requirements source. To overcome this issue, researchers have designed the LiteStrat, a business strategy modelling method compliant with MDD for developing information systems. This article presents an empirical comparison of LiteStrat and with i*, one of the most used models for strategic alignment in an MDD context. The article contributes with a literature review on the experimental comparison of modelling languages, the design of a study for measuring and comparing the semantic quality of modelling languages, and empirical evidence of the LiteStrat and i* differences. The evaluation consists of a 2 × 2 factorial experiment recruiting 28 undergraduate subjects. Significant differences favouring LiteStrat were found for models’ accuracy and completeness, while no differences in modeller’s efficiency and satisfaction were detected. These results yield evidence of the suitability of LiteStrat for business strategy modelling in a model-driven context. © 2023, The Author(s).</v>
      </c>
      <c r="H698" s="8" t="str">
        <f>IFERROR(__xludf.DUMMYFUNCTION("""COMPUTED_VALUE"""),"Business strategy modelling; Goal modelling; Model-driven architecture; Organisational modelling; Organisational structure modelling")</f>
        <v>Business strategy modelling; Goal modelling; Model-driven architecture; Organisational modelling; Organisational structure modelling</v>
      </c>
      <c r="I698" s="9" t="b">
        <v>1</v>
      </c>
      <c r="J698" s="9" t="b">
        <v>1</v>
      </c>
      <c r="K698" s="9" t="b">
        <v>1</v>
      </c>
      <c r="L698" s="10" t="b">
        <v>0</v>
      </c>
      <c r="M698" s="10" t="b">
        <v>0</v>
      </c>
      <c r="N698" s="10" t="b">
        <v>0</v>
      </c>
      <c r="O698" s="11" t="b">
        <f t="shared" si="1"/>
        <v>1</v>
      </c>
      <c r="P698" s="16" t="b">
        <v>0</v>
      </c>
      <c r="Q698" s="7"/>
    </row>
    <row r="699">
      <c r="A699" s="5" t="b">
        <v>1</v>
      </c>
      <c r="B699" s="5" t="s">
        <v>743</v>
      </c>
      <c r="C699" s="6" t="str">
        <f>IFERROR(__xludf.DUMMYFUNCTION("""COMPUTED_VALUE"""),"10.1007/s00766-020-00328-y")</f>
        <v>10.1007/s00766-020-00328-y</v>
      </c>
      <c r="D699" s="7" t="str">
        <f>IFERROR(__xludf.DUMMYFUNCTION("""COMPUTED_VALUE"""),"Alrezaamiri H.; Ebrahimnejad A.; Motameni H.")</f>
        <v>Alrezaamiri H.; Ebrahimnejad A.; Motameni H.</v>
      </c>
      <c r="E699" s="7" t="str">
        <f>IFERROR(__xludf.DUMMYFUNCTION("""COMPUTED_VALUE"""),"Parallel multi-objective artificial bee colony algorithm for software requirement optimization")</f>
        <v>Parallel multi-objective artificial bee colony algorithm for software requirement optimization</v>
      </c>
      <c r="F699" s="7" t="str">
        <f>IFERROR(__xludf.DUMMYFUNCTION("""COMPUTED_VALUE"""),"REJ")</f>
        <v>REJ</v>
      </c>
      <c r="G699" s="7" t="str">
        <f>IFERROR(__xludf.DUMMYFUNCTION("""COMPUTED_VALUE"""),"In incremental software development approaches, the product is developed in various releases. In each release, a set of requirements is proposed for the development. Usually, due to lack of funds, lack of time and dependency between requirements, there is"&amp;" no possibility to develop all the required requirements. There are two conflicting objectives for choosing an optimal subset of the requirements: increasing customer satisfaction and reducing development costs. This problem is known as the next release p"&amp;"roblem (NRP) and is categorized as an NP-hard problem. Unlike the standard version of the NRP, we formulate this problem as a restricted multi-objective optimization problem. There exist metaheuristic algorithms for solving this problem performed as seria"&amp;"ls. In this paper, we introduce a parallel algorithm based on the master–slave model in order to improve the quality of the solutions. Based on the criteria of multi-objective problems, the quality of the obtained solution is compared with several metaheu"&amp;"ristic algorithms. Two scenarios and two different datasets are used for experiments. Results indicate that the proposed method in the first scenario would highly improve the quality of solutions. Moreover, the method reduces execution time significantly "&amp;"through improvement in the quality of the solution in the second scenario. © 2020, Springer-Verlag London Ltd., part of Springer Nature.")</f>
        <v>In incremental software development approaches, the product is developed in various releases. In each release, a set of requirements is proposed for the development. Usually, due to lack of funds, lack of time and dependency between requirements, there is no possibility to develop all the required requirements. There are two conflicting objectives for choosing an optimal subset of the requirements: increasing customer satisfaction and reducing development costs. This problem is known as the next release problem (NRP) and is categorized as an NP-hard problem. Unlike the standard version of the NRP, we formulate this problem as a restricted multi-objective optimization problem. There exist metaheuristic algorithms for solving this problem performed as serials. In this paper, we introduce a parallel algorithm based on the master–slave model in order to improve the quality of the solutions. Based on the criteria of multi-objective problems, the quality of the obtained solution is compared with several metaheuristic algorithms. Two scenarios and two different datasets are used for experiments. Results indicate that the proposed method in the first scenario would highly improve the quality of solutions. Moreover, the method reduces execution time significantly through improvement in the quality of the solution in the second scenario. © 2020, Springer-Verlag London Ltd., part of Springer Nature.</v>
      </c>
      <c r="H699" s="8" t="str">
        <f>IFERROR(__xludf.DUMMYFUNCTION("""COMPUTED_VALUE"""),"Master–slave model; Multi-objective algorithm; Next release problem; Software requirements")</f>
        <v>Master–slave model; Multi-objective algorithm; Next release problem; Software requirements</v>
      </c>
      <c r="I699" s="10" t="b">
        <v>0</v>
      </c>
      <c r="J699" s="10" t="b">
        <v>0</v>
      </c>
      <c r="K699" s="10" t="b">
        <v>0</v>
      </c>
      <c r="L699" s="10" t="b">
        <v>0</v>
      </c>
      <c r="M699" s="10" t="b">
        <v>0</v>
      </c>
      <c r="N699" s="10" t="b">
        <v>0</v>
      </c>
      <c r="O699" s="11" t="b">
        <f t="shared" si="1"/>
        <v>0</v>
      </c>
      <c r="P699" s="16" t="b">
        <v>0</v>
      </c>
      <c r="Q699" s="7"/>
    </row>
    <row r="700">
      <c r="A700" s="5" t="b">
        <v>1</v>
      </c>
      <c r="B700" s="5" t="s">
        <v>744</v>
      </c>
      <c r="C700" s="6" t="str">
        <f>IFERROR(__xludf.DUMMYFUNCTION("""COMPUTED_VALUE"""),"10.1007/s00766-018-0307-0")</f>
        <v>10.1007/s00766-018-0307-0</v>
      </c>
      <c r="D700" s="7" t="str">
        <f>IFERROR(__xludf.DUMMYFUNCTION("""COMPUTED_VALUE"""),"Reinhartz-Berger I.; Kemelman M.")</f>
        <v>Reinhartz-Berger I.; Kemelman M.</v>
      </c>
      <c r="E700" s="7" t="str">
        <f>IFERROR(__xludf.DUMMYFUNCTION("""COMPUTED_VALUE"""),"Extracting core requirements for software product lines")</f>
        <v>Extracting core requirements for software product lines</v>
      </c>
      <c r="F700" s="7" t="str">
        <f>IFERROR(__xludf.DUMMYFUNCTION("""COMPUTED_VALUE"""),"REJ")</f>
        <v>REJ</v>
      </c>
      <c r="G700" s="7" t="str">
        <f>IFERROR(__xludf.DUMMYFUNCTION("""COMPUTED_VALUE"""),"Software Product Line Engineering (SPLE) is a promising paradigm for reusing knowledge and artifacts among similar software products. However, SPLE methods and techniques require a high up-front investment and hence are profitable if several similar softw"&amp;"are products are developed. Thus in practice adoption of SPLE commonly takes a bottom-up approach, in which analyzing the commonality and variability of existing products and transforming them into reusable ones (termed core assets) are needed. These time"&amp;"-consuming and error-prone tasks call for automation. The literature partially deals with solutions for early software development stages, mainly in the form of variability analysis. We aim for further creation of core requirements—reusable requirements t"&amp;"hat can be adapted for different software products. To this end, we introduce an automated extractive method, named CoreReq, to generate core requirements from product requirements written in a natural language. The approach clusters similar requirements,"&amp;" captures variable parts utilizing natural language processing techniques, and generates core requirements following an ontological variability framework. Focusing on cloning scenarios, we evaluated CoreReq through examples and a controlled experiment. Ba"&amp;"sed on the results, we claim that core requirements generation with CoreReq is feasible and usable for specifying requirements of new similar products in cloning scenarios. © 2019, Springer-Verlag London Ltd., part of Springer Nature.")</f>
        <v>Software Product Line Engineering (SPLE) is a promising paradigm for reusing knowledge and artifacts among similar software products. However, SPLE methods and techniques require a high up-front investment and hence are profitable if several similar software products are developed. Thus in practice adoption of SPLE commonly takes a bottom-up approach, in which analyzing the commonality and variability of existing products and transforming them into reusable ones (termed core assets) are needed. These time-consuming and error-prone tasks call for automation. The literature partially deals with solutions for early software development stages, mainly in the form of variability analysis. We aim for further creation of core requirements—reusable requirements that can be adapted for different software products. To this end, we introduce an automated extractive method, named CoreReq, to generate core requirements from product requirements written in a natural language. The approach clusters similar requirements, captures variable parts utilizing natural language processing techniques, and generates core requirements following an ontological variability framework. Focusing on cloning scenarios, we evaluated CoreReq through examples and a controlled experiment. Based on the results, we claim that core requirements generation with CoreReq is feasible and usable for specifying requirements of new similar products in cloning scenarios. © 2019, Springer-Verlag London Ltd., part of Springer Nature.</v>
      </c>
      <c r="H700" s="8" t="str">
        <f>IFERROR(__xludf.DUMMYFUNCTION("""COMPUTED_VALUE"""),"Requirements specification; Software Product Line Engineering; Systematic reuse; Variability analysis")</f>
        <v>Requirements specification; Software Product Line Engineering; Systematic reuse; Variability analysis</v>
      </c>
      <c r="I700" s="9" t="b">
        <v>1</v>
      </c>
      <c r="J700" s="9" t="b">
        <v>1</v>
      </c>
      <c r="K700" s="10" t="b">
        <v>0</v>
      </c>
      <c r="L700" s="10" t="b">
        <v>0</v>
      </c>
      <c r="M700" s="10" t="b">
        <v>0</v>
      </c>
      <c r="N700" s="10" t="b">
        <v>0</v>
      </c>
      <c r="O700" s="11" t="b">
        <f t="shared" si="1"/>
        <v>0</v>
      </c>
      <c r="P700" s="16" t="b">
        <v>0</v>
      </c>
      <c r="Q700" s="7"/>
    </row>
    <row r="701">
      <c r="A701" s="5" t="b">
        <v>1</v>
      </c>
      <c r="B701" s="5" t="s">
        <v>745</v>
      </c>
      <c r="C701" s="6" t="str">
        <f>IFERROR(__xludf.DUMMYFUNCTION("""COMPUTED_VALUE"""),"10.1007/s00766-012-0155-2")</f>
        <v>10.1007/s00766-012-0155-2</v>
      </c>
      <c r="D701" s="7" t="str">
        <f>IFERROR(__xludf.DUMMYFUNCTION("""COMPUTED_VALUE"""),"Dahan M.; Shoval P.; Sturm A.")</f>
        <v>Dahan M.; Shoval P.; Sturm A.</v>
      </c>
      <c r="E701" s="7" t="str">
        <f>IFERROR(__xludf.DUMMYFUNCTION("""COMPUTED_VALUE"""),"Comparing the impact of the OO-DFD and the Use Case methods for modeling functional requirements on comprehension and quality of models: A controlled experiment")</f>
        <v>Comparing the impact of the OO-DFD and the Use Case methods for modeling functional requirements on comprehension and quality of models: A controlled experiment</v>
      </c>
      <c r="F701" s="7" t="str">
        <f>IFERROR(__xludf.DUMMYFUNCTION("""COMPUTED_VALUE"""),"REJ")</f>
        <v>REJ</v>
      </c>
      <c r="G701" s="7" t="str">
        <f>IFERROR(__xludf.DUMMYFUNCTION("""COMPUTED_VALUE"""),"Users' requirements of an information system are modeled in the analysis phase of the development process. The requirements can be modeled with various modeling methods. In this study, we compare two alternative methods for modeling the functional require"&amp;"ments: one is the UML Use Case (UC) model; the other is OO-DFD transaction (Object-Oriented DFD is a variant of DFD that includes data classes rather than ""traditional"" data stores). Each of these modeling methods consists of diagrams accompanied with n"&amp;"arrative, semi-structured descriptions explaining their details. We conducted a controlled experiment that compared the comprehension of the two models (i.e., the diagrams and their descriptions) of a certain system and the quality of models created for a"&amp;" certain system with each of the two modeling methods. The main results of the experiment are that models created with the UC method are of better quality than models created with the OO-DFD transaction method because the former are simpler and less detai"&amp;"led; creating highly detailed models are error prone. Interestingly, in spite of the difference in the level of detail and structure, the experiment reveals no significant difference in comprehension of models of the two methods. The results call for impr"&amp;"ovement of the modeling methods in a way that considers the advantages of each of them, and thus we propose an improved method sketch that we call Enhanced Use Case, which will be evaluated in future work. © 2012 Springer-Verlag London Limited.")</f>
        <v>Users' requirements of an information system are modeled in the analysis phase of the development process. The requirements can be modeled with various modeling methods. In this study, we compare two alternative methods for modeling the functional requirements: one is the UML Use Case (UC) model; the other is OO-DFD transaction (Object-Oriented DFD is a variant of DFD that includes data classes rather than "traditional" data stores). Each of these modeling methods consists of diagrams accompanied with narrative, semi-structured descriptions explaining their details. We conducted a controlled experiment that compared the comprehension of the two models (i.e., the diagrams and their descriptions) of a certain system and the quality of models created for a certain system with each of the two modeling methods. The main results of the experiment are that models created with the UC method are of better quality than models created with the OO-DFD transaction method because the former are simpler and less detailed; creating highly detailed models are error prone. Interestingly, in spite of the difference in the level of detail and structure, the experiment reveals no significant difference in comprehension of models of the two methods. The results call for improvement of the modeling methods in a way that considers the advantages of each of them, and thus we propose an improved method sketch that we call Enhanced Use Case, which will be evaluated in future work. © 2012 Springer-Verlag London Limited.</v>
      </c>
      <c r="H701" s="8" t="str">
        <f>IFERROR(__xludf.DUMMYFUNCTION("""COMPUTED_VALUE"""),"FOOM; Functional analysis; IS development; Modeling methods; OO-DFD; UML; Use Case; User requirements")</f>
        <v>FOOM; Functional analysis; IS development; Modeling methods; OO-DFD; UML; Use Case; User requirements</v>
      </c>
      <c r="I701" s="9" t="b">
        <v>1</v>
      </c>
      <c r="J701" s="9" t="b">
        <v>1</v>
      </c>
      <c r="K701" s="9" t="b">
        <v>1</v>
      </c>
      <c r="L701" s="10" t="b">
        <v>0</v>
      </c>
      <c r="M701" s="10" t="b">
        <v>0</v>
      </c>
      <c r="N701" s="10" t="b">
        <v>0</v>
      </c>
      <c r="O701" s="11" t="b">
        <f t="shared" si="1"/>
        <v>1</v>
      </c>
      <c r="P701" s="16" t="b">
        <v>0</v>
      </c>
      <c r="Q701" s="7"/>
    </row>
    <row r="702">
      <c r="A702" s="5" t="b">
        <v>1</v>
      </c>
      <c r="B702" s="5" t="s">
        <v>746</v>
      </c>
      <c r="C702" s="6" t="str">
        <f>IFERROR(__xludf.DUMMYFUNCTION("""COMPUTED_VALUE"""),"10.1007/s00766-015-0236-0")</f>
        <v>10.1007/s00766-015-0236-0</v>
      </c>
      <c r="D702" s="7" t="str">
        <f>IFERROR(__xludf.DUMMYFUNCTION("""COMPUTED_VALUE"""),"Morandini M.; Penserini L.; Perini A.; Marchetto A.")</f>
        <v>Morandini M.; Penserini L.; Perini A.; Marchetto A.</v>
      </c>
      <c r="E702" s="7" t="str">
        <f>IFERROR(__xludf.DUMMYFUNCTION("""COMPUTED_VALUE"""),"Engineering requirements for adaptive systems")</f>
        <v>Engineering requirements for adaptive systems</v>
      </c>
      <c r="F702" s="7" t="str">
        <f>IFERROR(__xludf.DUMMYFUNCTION("""COMPUTED_VALUE"""),"REJ")</f>
        <v>REJ</v>
      </c>
      <c r="G702" s="7" t="str">
        <f>IFERROR(__xludf.DUMMYFUNCTION("""COMPUTED_VALUE"""),"The increasing demand for complex and distributed software calls for novel software engineering methods and techniques, to create systems able to autonomously adapt to dynamically changing situations. In this paper, we present a framework for engineering "&amp;"requirements for adaptive software systems. The approach, called Tropos4AS, combines goal-oriented concepts and high-variability design methods. The Tropos4AS requirements model can be directly mapped to software prototypes with an agent-oriented architec"&amp;"ture which can be executed for requirements validation and refinement. We give a comprehensive description of the framework, with conceptual models, modelling guidelines, and supporting tools. The applicability of the framework to requirements validation "&amp;"and refinement is illustrated through a case study. Two controlled experiments with subjects provide an empirical evaluation of the proposed modelling language, with statistical evidence of the effectiveness of the modelling approach for gathering require"&amp;"ments of adaptive systems. © 2015, Springer-Verlag London.")</f>
        <v>The increasing demand for complex and distributed software calls for novel software engineering methods and techniques, to create systems able to autonomously adapt to dynamically changing situations. In this paper, we present a framework for engineering requirements for adaptive software systems. The approach, called Tropos4AS, combines goal-oriented concepts and high-variability design methods. The Tropos4AS requirements model can be directly mapped to software prototypes with an agent-oriented architecture which can be executed for requirements validation and refinement. We give a comprehensive description of the framework, with conceptual models, modelling guidelines, and supporting tools. The applicability of the framework to requirements validation and refinement is illustrated through a case study. Two controlled experiments with subjects provide an empirical evaluation of the proposed modelling language, with statistical evidence of the effectiveness of the modelling approach for gathering requirements of adaptive systems. © 2015, Springer-Verlag London.</v>
      </c>
      <c r="H702" s="8" t="str">
        <f>IFERROR(__xludf.DUMMYFUNCTION("""COMPUTED_VALUE"""),"Adaptive software; Agent-oriented software engineering; BDI agents; Empirical study; Requirements engineering")</f>
        <v>Adaptive software; Agent-oriented software engineering; BDI agents; Empirical study; Requirements engineering</v>
      </c>
      <c r="I702" s="9" t="b">
        <v>1</v>
      </c>
      <c r="J702" s="9" t="b">
        <v>1</v>
      </c>
      <c r="K702" s="9" t="b">
        <v>0</v>
      </c>
      <c r="L702" s="10" t="b">
        <v>0</v>
      </c>
      <c r="M702" s="10" t="b">
        <v>0</v>
      </c>
      <c r="N702" s="10" t="b">
        <v>0</v>
      </c>
      <c r="O702" s="11" t="b">
        <f t="shared" si="1"/>
        <v>0</v>
      </c>
      <c r="P702" s="12" t="b">
        <v>0</v>
      </c>
      <c r="Q702" s="7"/>
    </row>
    <row r="703">
      <c r="A703" s="5" t="b">
        <v>1</v>
      </c>
      <c r="B703" s="5" t="s">
        <v>747</v>
      </c>
      <c r="C703" s="6" t="str">
        <f>IFERROR(__xludf.DUMMYFUNCTION("""COMPUTED_VALUE"""),"10.1007/s00766-015-0238-y")</f>
        <v>10.1007/s00766-015-0238-y</v>
      </c>
      <c r="D703" s="7" t="str">
        <f>IFERROR(__xludf.DUMMYFUNCTION("""COMPUTED_VALUE"""),"Valente L.; Feijó B.; Leite J.C.S.D.P.")</f>
        <v>Valente L.; Feijó B.; Leite J.C.S.D.P.</v>
      </c>
      <c r="E703" s="7" t="str">
        <f>IFERROR(__xludf.DUMMYFUNCTION("""COMPUTED_VALUE"""),"Mapping quality requirements for pervasive mobile games")</f>
        <v>Mapping quality requirements for pervasive mobile games</v>
      </c>
      <c r="F703" s="7" t="str">
        <f>IFERROR(__xludf.DUMMYFUNCTION("""COMPUTED_VALUE"""),"REJ")</f>
        <v>REJ</v>
      </c>
      <c r="G703" s="7" t="str">
        <f>IFERROR(__xludf.DUMMYFUNCTION("""COMPUTED_VALUE"""),"Games have not received the full attention of the requirements engineering community. This scenario is becoming more critical as we move towards newer forms of games, such as pervasive games. Pervasiveness (the quality that distinguishes pervasive games f"&amp;"rom traditional digital games) holds several meanings, including being ubiquitous, permeating something, or spreading something, somewhere, in a physical space. Pervasiveness can be recognized in by the boundaries of the game expanding every time it is pl"&amp;"ayed, from the virtual (or fictional) world to the real world. Pervasive games are a new form of digital entertainment that has evolved in different forms, such as alternate reality games, transmedia games, and crossmedia games. Sensor technologies, netwo"&amp;"rking capabilities, augmented reality systems, computer vision technology, the internet, and, especially, mobile devices have been responsible for the rapid evolution of this new form of digital product. This paper is focused on “pervasive mobile games”, "&amp;"which we define as context-aware games that use mobile devices. We bear in mind that mobile devices are currently the main driver for fulfilling the promises of pervasive game playing. Our investigations and experiments on this class of games led us to st"&amp;"udy the quality requirements for pervasive mobile games. Using different information sources, we gathered a set of interrelated characteristics that are crucial to the success of these games. In this paper, we begin to clarify the definition and scope of "&amp;"pervasive mobile games, which are controversial issues in the literature. Using these fundamentals, we propose a two-level conceptual map of non-functional requirements that helps to realize pervasiveness in pervasive mobile games. These non-functional re"&amp;"quirements are then associated with a set of questions that help the designers in verifying tasks and operationalizing the requirements of a game. We also propose a dependence matrix for pervasive game qualities that enhances the insight into pervasivenes"&amp;"s and reveals important guidelines for the game designers. © 2015, Springer-Verlag London.")</f>
        <v>Games have not received the full attention of the requirements engineering community. This scenario is becoming more critical as we move towards newer forms of games, such as pervasive games. Pervasiveness (the quality that distinguishes pervasive games from traditional digital games) holds several meanings, including being ubiquitous, permeating something, or spreading something, somewhere, in a physical space. Pervasiveness can be recognized in by the boundaries of the game expanding every time it is played, from the virtual (or fictional) world to the real world. Pervasive games are a new form of digital entertainment that has evolved in different forms, such as alternate reality games, transmedia games, and crossmedia games. Sensor technologies, networking capabilities, augmented reality systems, computer vision technology, the internet, and, especially, mobile devices have been responsible for the rapid evolution of this new form of digital product. This paper is focused on “pervasive mobile games”, which we define as context-aware games that use mobile devices. We bear in mind that mobile devices are currently the main driver for fulfilling the promises of pervasive game playing. Our investigations and experiments on this class of games led us to study the quality requirements for pervasive mobile games. Using different information sources, we gathered a set of interrelated characteristics that are crucial to the success of these games. In this paper, we begin to clarify the definition and scope of pervasive mobile games, which are controversial issues in the literature. Using these fundamentals, we propose a two-level conceptual map of non-functional requirements that helps to realize pervasiveness in pervasive mobile games. These non-functional requirements are then associated with a set of questions that help the designers in verifying tasks and operationalizing the requirements of a game. We also propose a dependence matrix for pervasive game qualities that enhances the insight into pervasiveness and reveals important guidelines for the game designers. © 2015, Springer-Verlag London.</v>
      </c>
      <c r="H703" s="8" t="str">
        <f>IFERROR(__xludf.DUMMYFUNCTION("""COMPUTED_VALUE"""),"Dependence matrix; Non-functional requirements; Pervasive mobile games; Requirements engineering")</f>
        <v>Dependence matrix; Non-functional requirements; Pervasive mobile games; Requirements engineering</v>
      </c>
      <c r="I703" s="10" t="b">
        <v>0</v>
      </c>
      <c r="J703" s="10" t="b">
        <v>0</v>
      </c>
      <c r="K703" s="10" t="b">
        <v>0</v>
      </c>
      <c r="L703" s="10" t="b">
        <v>0</v>
      </c>
      <c r="M703" s="10" t="b">
        <v>0</v>
      </c>
      <c r="N703" s="10" t="b">
        <v>0</v>
      </c>
      <c r="O703" s="11" t="b">
        <f t="shared" si="1"/>
        <v>0</v>
      </c>
      <c r="P703" s="16" t="b">
        <v>0</v>
      </c>
      <c r="Q703" s="7"/>
    </row>
    <row r="704">
      <c r="A704" s="5" t="b">
        <v>1</v>
      </c>
      <c r="B704" s="5" t="s">
        <v>748</v>
      </c>
      <c r="C704" s="6" t="str">
        <f>IFERROR(__xludf.DUMMYFUNCTION("""COMPUTED_VALUE"""),"10.1007/s00766-015-0240-4")</f>
        <v>10.1007/s00766-015-0240-4</v>
      </c>
      <c r="D704" s="7" t="str">
        <f>IFERROR(__xludf.DUMMYFUNCTION("""COMPUTED_VALUE"""),"Ali N.; Lai R.")</f>
        <v>Ali N.; Lai R.</v>
      </c>
      <c r="E704" s="7" t="str">
        <f>IFERROR(__xludf.DUMMYFUNCTION("""COMPUTED_VALUE"""),"A method of software requirements specification and validation for global software development")</f>
        <v>A method of software requirements specification and validation for global software development</v>
      </c>
      <c r="F704" s="7" t="str">
        <f>IFERROR(__xludf.DUMMYFUNCTION("""COMPUTED_VALUE"""),"REJ")</f>
        <v>REJ</v>
      </c>
      <c r="G704" s="7" t="str">
        <f>IFERROR(__xludf.DUMMYFUNCTION("""COMPUTED_VALUE"""),"Global software development (GSD), where software teams are located in different parts of the world, has become increasingly popular. To devise a high-quality software requirements specification (SRS), effective communication and collaboration between sta"&amp;"keholders are necessary for GSD. However, geographical distance, cultural diversity, differences in time zones and language barriers create difficulties for stakeholders in engaging in effective collaboration. Taking into consideration the factors involve"&amp;"d in GSD, previous research showed that the ways by which requirements are documented and validated for collocated software development projects cannot be used effectively for GSD. In this paper, we present a method of GSD requirements specification and v"&amp;"alidation. Our method begins with generating a requirements graph to understand details of the software requirements with respect to different GSD sites. The information obtained from a requirements graph is to be contained in a requirements specification"&amp;" document, and then be circulated between different GSD sites for reviewing, updating and finalizing its content. Finally, the requirements contained in the specification document are to be validated by generating and comparing validation matrices at diff"&amp;"erent GSD sites. Past researchers used student groups in a university environment to play the roles of stakeholders in experiments in GSD studies. We therefore validate our method by applying it to a case study of an online shopping system, where the role"&amp;"s of stakeholders were played by a group of students. © 2015, Springer-Verlag London.")</f>
        <v>Global software development (GSD), where software teams are located in different parts of the world, has become increasingly popular. To devise a high-quality software requirements specification (SRS), effective communication and collaboration between stakeholders are necessary for GSD. However, geographical distance, cultural diversity, differences in time zones and language barriers create difficulties for stakeholders in engaging in effective collaboration. Taking into consideration the factors involved in GSD, previous research showed that the ways by which requirements are documented and validated for collocated software development projects cannot be used effectively for GSD. In this paper, we present a method of GSD requirements specification and validation. Our method begins with generating a requirements graph to understand details of the software requirements with respect to different GSD sites. The information obtained from a requirements graph is to be contained in a requirements specification document, and then be circulated between different GSD sites for reviewing, updating and finalizing its content. Finally, the requirements contained in the specification document are to be validated by generating and comparing validation matrices at different GSD sites. Past researchers used student groups in a university environment to play the roles of stakeholders in experiments in GSD studies. We therefore validate our method by applying it to a case study of an online shopping system, where the roles of stakeholders were played by a group of students. © 2015, Springer-Verlag London.</v>
      </c>
      <c r="H704" s="8" t="str">
        <f>IFERROR(__xludf.DUMMYFUNCTION("""COMPUTED_VALUE"""),"Distributed teams; Global software development; Requirements validation; Software requirements specification")</f>
        <v>Distributed teams; Global software development; Requirements validation; Software requirements specification</v>
      </c>
      <c r="I704" s="10" t="b">
        <v>0</v>
      </c>
      <c r="J704" s="10" t="b">
        <v>0</v>
      </c>
      <c r="K704" s="10" t="b">
        <v>0</v>
      </c>
      <c r="L704" s="10" t="b">
        <v>0</v>
      </c>
      <c r="M704" s="10" t="b">
        <v>0</v>
      </c>
      <c r="N704" s="10" t="b">
        <v>0</v>
      </c>
      <c r="O704" s="11" t="b">
        <f t="shared" si="1"/>
        <v>0</v>
      </c>
      <c r="P704" s="16" t="b">
        <v>0</v>
      </c>
      <c r="Q704" s="7"/>
    </row>
    <row r="705">
      <c r="A705" s="5" t="b">
        <v>1</v>
      </c>
      <c r="B705" s="5" t="s">
        <v>749</v>
      </c>
      <c r="C705" s="6" t="str">
        <f>IFERROR(__xludf.DUMMYFUNCTION("""COMPUTED_VALUE"""),"10.1007/s00766-016-0252-8")</f>
        <v>10.1007/s00766-016-0252-8</v>
      </c>
      <c r="D705" s="7" t="str">
        <f>IFERROR(__xludf.DUMMYFUNCTION("""COMPUTED_VALUE"""),"Mahmoud A.; Williams G.")</f>
        <v>Mahmoud A.; Williams G.</v>
      </c>
      <c r="E705" s="7" t="str">
        <f>IFERROR(__xludf.DUMMYFUNCTION("""COMPUTED_VALUE"""),"Detecting, classifying, and tracing non-functional software requirements")</f>
        <v>Detecting, classifying, and tracing non-functional software requirements</v>
      </c>
      <c r="F705" s="7" t="str">
        <f>IFERROR(__xludf.DUMMYFUNCTION("""COMPUTED_VALUE"""),"REJ")</f>
        <v>REJ</v>
      </c>
      <c r="G705" s="7" t="str">
        <f>IFERROR(__xludf.DUMMYFUNCTION("""COMPUTED_VALUE"""),"In this paper, we describe a novel unsupervised approach for detecting, classifying, and tracing non-functional software requirements (NFRs). The proposed approach exploits the textual semantics of software functional requirements (FRs) to infer potential"&amp;" quality constraints enforced in the system. In particular, we conduct a systematic analysis of a series of word similarity methods and clustering techniques to generate semantically cohesive clusters of FR words. These clusters are classified into variou"&amp;"s categories of NFRs based on their semantic similarity to basic NFR labels. Discovered NFRs are then traced to their implementation in the solution space based on their textual semantic similarity to source code artifacts. Three software systems are used"&amp;" to conduct the experimental analysis in this paper. The results show that methods that exploit massive sources of textual human knowledge are more accurate in capturing and modeling the notion of similarity between FR words in a software system. Results "&amp;"also show that hierarchical clustering algorithms are more capable of generating thematic word clusters than partitioning clustering techniques. In terms of performance, our analysis indicates that the proposed approach can discover, classify, and trace N"&amp;"FRs with accuracy levels that can be adequate for practical applications. © 2016, Springer-Verlag London.")</f>
        <v>In this paper, we describe a novel unsupervised approach for detecting, classifying, and tracing non-functional software requirements (NFRs). The proposed approach exploits the textual semantics of software functional requirements (FRs) to infer potential quality constraints enforced in the system. In particular, we conduct a systematic analysis of a series of word similarity methods and clustering techniques to generate semantically cohesive clusters of FR words. These clusters are classified into various categories of NFRs based on their semantic similarity to basic NFR labels. Discovered NFRs are then traced to their implementation in the solution space based on their textual semantic similarity to source code artifacts. Three software systems are used to conduct the experimental analysis in this paper. The results show that methods that exploit massive sources of textual human knowledge are more accurate in capturing and modeling the notion of similarity between FR words in a software system. Results also show that hierarchical clustering algorithms are more capable of generating thematic word clusters than partitioning clustering techniques. In terms of performance, our analysis indicates that the proposed approach can discover, classify, and trace NFRs with accuracy levels that can be adequate for practical applications. © 2016, Springer-Verlag London.</v>
      </c>
      <c r="H705" s="8" t="str">
        <f>IFERROR(__xludf.DUMMYFUNCTION("""COMPUTED_VALUE"""),"Classification; Information retrieval; Non-functional requirements; Semantics")</f>
        <v>Classification; Information retrieval; Non-functional requirements; Semantics</v>
      </c>
      <c r="I705" s="10" t="b">
        <v>0</v>
      </c>
      <c r="J705" s="10" t="b">
        <v>0</v>
      </c>
      <c r="K705" s="10" t="b">
        <v>0</v>
      </c>
      <c r="L705" s="10" t="b">
        <v>0</v>
      </c>
      <c r="M705" s="10" t="b">
        <v>0</v>
      </c>
      <c r="N705" s="10" t="b">
        <v>0</v>
      </c>
      <c r="O705" s="11" t="b">
        <f t="shared" si="1"/>
        <v>0</v>
      </c>
      <c r="P705" s="16" t="b">
        <v>0</v>
      </c>
      <c r="Q705" s="7"/>
    </row>
    <row r="706">
      <c r="A706" s="5" t="b">
        <v>1</v>
      </c>
      <c r="B706" s="5" t="s">
        <v>750</v>
      </c>
      <c r="C706" s="6" t="str">
        <f>IFERROR(__xludf.DUMMYFUNCTION("""COMPUTED_VALUE"""),"10.1007/s00766-016-0262-6")</f>
        <v>10.1007/s00766-016-0262-6</v>
      </c>
      <c r="D706" s="7" t="str">
        <f>IFERROR(__xludf.DUMMYFUNCTION("""COMPUTED_VALUE"""),"Misaghian N.; Motameni H.")</f>
        <v>Misaghian N.; Motameni H.</v>
      </c>
      <c r="E706" s="7" t="str">
        <f>IFERROR(__xludf.DUMMYFUNCTION("""COMPUTED_VALUE"""),"An approach for requirements prioritization based on tensor decomposition")</f>
        <v>An approach for requirements prioritization based on tensor decomposition</v>
      </c>
      <c r="F706" s="7" t="str">
        <f>IFERROR(__xludf.DUMMYFUNCTION("""COMPUTED_VALUE"""),"REJ")</f>
        <v>REJ</v>
      </c>
      <c r="G706" s="7" t="str">
        <f>IFERROR(__xludf.DUMMYFUNCTION("""COMPUTED_VALUE"""),"A potential mathematical framework for machine learning is multi-linear algebra of the higher-order tensor that can reveal the relationships among multiple factors underlying the observations. Prioritizing the requirements of a project facilitates the pro"&amp;"cess of requirements engineering and involves multifactors. Due to existing time constraints and budget related to projects, by prioritizing the requirements in an appropriate order we can select and apply them more accurately and this causes to increase "&amp;"the quality of software and customers’ satisfaction. In order to prioritize the requirements, there are many approaches that consider different parameters and different view point in their prioritization process. But as far as we know none of them conside"&amp;"rs the simultaneous effect among entities, namely functional requirements, non-functional requirements and stakeholders in their prioritization process. In this paper, we decided to consider the simultaneous effect among functional, non-functional require"&amp;"ments and stakeholders that have different preferences on requirements by modeling a three-order tensor. Then by applying multi-way analysis, we will obtain appropriate ordered lists of requirements. To evaluate our approach, a controlled experiment has b"&amp;"een provided that compares the proposed approach with the state-of-the-art-based approach, analytic hierarchy process (AHP). The results show that our proposed approach outperforms AHP in terms of actual time consumption and ease of use while preserving t"&amp;"he quality of the results obtained by our proposed approach. © 2016, Springer-Verlag London.")</f>
        <v>A potential mathematical framework for machine learning is multi-linear algebra of the higher-order tensor that can reveal the relationships among multiple factors underlying the observations. Prioritizing the requirements of a project facilitates the process of requirements engineering and involves multifactors. Due to existing time constraints and budget related to projects, by prioritizing the requirements in an appropriate order we can select and apply them more accurately and this causes to increase the quality of software and customers’ satisfaction. In order to prioritize the requirements, there are many approaches that consider different parameters and different view point in their prioritization process. But as far as we know none of them considers the simultaneous effect among entities, namely functional requirements, non-functional requirements and stakeholders in their prioritization process. In this paper, we decided to consider the simultaneous effect among functional, non-functional requirements and stakeholders that have different preferences on requirements by modeling a three-order tensor. Then by applying multi-way analysis, we will obtain appropriate ordered lists of requirements. To evaluate our approach, a controlled experiment has been provided that compares the proposed approach with the state-of-the-art-based approach, analytic hierarchy process (AHP). The results show that our proposed approach outperforms AHP in terms of actual time consumption and ease of use while preserving the quality of the results obtained by our proposed approach. © 2016, Springer-Verlag London.</v>
      </c>
      <c r="H706" s="8" t="str">
        <f>IFERROR(__xludf.DUMMYFUNCTION("""COMPUTED_VALUE"""),"Functional requirements; Multi-dimensional issue; Multi-way analysis; Non-functional requirements; Requirements engineering; Requirements prioritization; Software engineering; Tensor; Tucker decomposition")</f>
        <v>Functional requirements; Multi-dimensional issue; Multi-way analysis; Non-functional requirements; Requirements engineering; Requirements prioritization; Software engineering; Tensor; Tucker decomposition</v>
      </c>
      <c r="I706" s="10" t="b">
        <v>0</v>
      </c>
      <c r="J706" s="10" t="b">
        <v>0</v>
      </c>
      <c r="K706" s="10" t="b">
        <v>0</v>
      </c>
      <c r="L706" s="10" t="b">
        <v>0</v>
      </c>
      <c r="M706" s="10" t="b">
        <v>0</v>
      </c>
      <c r="N706" s="10" t="b">
        <v>0</v>
      </c>
      <c r="O706" s="11" t="b">
        <f t="shared" si="1"/>
        <v>0</v>
      </c>
      <c r="P706" s="16" t="b">
        <v>0</v>
      </c>
      <c r="Q706" s="7"/>
    </row>
    <row r="707">
      <c r="A707" s="5" t="b">
        <v>1</v>
      </c>
      <c r="B707" s="5" t="s">
        <v>751</v>
      </c>
      <c r="C707" s="6" t="str">
        <f>IFERROR(__xludf.DUMMYFUNCTION("""COMPUTED_VALUE"""),"10.1007/s00766-019-00324-x")</f>
        <v>10.1007/s00766-019-00324-x</v>
      </c>
      <c r="D707" s="7" t="str">
        <f>IFERROR(__xludf.DUMMYFUNCTION("""COMPUTED_VALUE"""),"Wahbeh A.; Sarnikar S.; El-Gayar O.")</f>
        <v>Wahbeh A.; Sarnikar S.; El-Gayar O.</v>
      </c>
      <c r="E707" s="7" t="str">
        <f>IFERROR(__xludf.DUMMYFUNCTION("""COMPUTED_VALUE"""),"A socio-technical-based process for questionnaire development in requirements elicitation via interviews")</f>
        <v>A socio-technical-based process for questionnaire development in requirements elicitation via interviews</v>
      </c>
      <c r="F707" s="7" t="str">
        <f>IFERROR(__xludf.DUMMYFUNCTION("""COMPUTED_VALUE"""),"REJ")</f>
        <v>REJ</v>
      </c>
      <c r="G707" s="7" t="str">
        <f>IFERROR(__xludf.DUMMYFUNCTION("""COMPUTED_VALUE"""),"Software development is the process of building systems that solve users’ need and satisfy stakeholders’ objectives. Such needs are determined through requirements elicitation, which is considered an intensive, complex, and multi-disciplinary process. Tra"&amp;"ditional methods of elicitation often fail to uncover requirements that are critical for successful and wide-scale user adoption because these methods primarily focus on the technical aspects and constraints of the systems rather than considering a socio-"&amp;"technical perspective. The success of information system development involves the identification of the social, organizational and technical features of the systems, which in turn can result in a more acceptable system by users. In this paper, we propose "&amp;"a requirements elicitation process based on socio-technical (ST) systems theory. The process leverages ST system components to help identify a set of ST imbalances, which in turn help in requirements elicitation. The applicability of the process is demons"&amp;"trated using empirical investigation with a randomized two-group experimental design, where the objective is to see the potential of the proposed process to enhance analysts’ understanding of socio-technical aspects of a domain, interview readiness, and q"&amp;"uestionnaire quality. © 2019, Springer-Verlag London Ltd., part of Springer Nature.")</f>
        <v>Software development is the process of building systems that solve users’ need and satisfy stakeholders’ objectives. Such needs are determined through requirements elicitation, which is considered an intensive, complex, and multi-disciplinary process. Traditional methods of elicitation often fail to uncover requirements that are critical for successful and wide-scale user adoption because these methods primarily focus on the technical aspects and constraints of the systems rather than considering a socio-technical perspective. The success of information system development involves the identification of the social, organizational and technical features of the systems, which in turn can result in a more acceptable system by users. In this paper, we propose a requirements elicitation process based on socio-technical (ST) systems theory. The process leverages ST system components to help identify a set of ST imbalances, which in turn help in requirements elicitation. The applicability of the process is demonstrated using empirical investigation with a randomized two-group experimental design, where the objective is to see the potential of the proposed process to enhance analysts’ understanding of socio-technical aspects of a domain, interview readiness, and questionnaire quality. © 2019, Springer-Verlag London Ltd., part of Springer Nature.</v>
      </c>
      <c r="H707" s="8" t="str">
        <f>IFERROR(__xludf.DUMMYFUNCTION("""COMPUTED_VALUE"""),"Design research; Questionnaire development; Requirement elicitation; Socio-technical systems; Software development; User interviews")</f>
        <v>Design research; Questionnaire development; Requirement elicitation; Socio-technical systems; Software development; User interviews</v>
      </c>
      <c r="I707" s="9" t="b">
        <v>1</v>
      </c>
      <c r="J707" s="9" t="b">
        <v>1</v>
      </c>
      <c r="K707" s="10" t="b">
        <v>0</v>
      </c>
      <c r="L707" s="10" t="b">
        <v>0</v>
      </c>
      <c r="M707" s="10" t="b">
        <v>0</v>
      </c>
      <c r="N707" s="10" t="b">
        <v>0</v>
      </c>
      <c r="O707" s="11" t="b">
        <f t="shared" si="1"/>
        <v>0</v>
      </c>
      <c r="P707" s="16" t="b">
        <v>0</v>
      </c>
      <c r="Q707" s="7"/>
    </row>
    <row r="708">
      <c r="A708" s="5" t="b">
        <v>1</v>
      </c>
      <c r="B708" s="5" t="s">
        <v>752</v>
      </c>
      <c r="C708" s="6" t="str">
        <f>IFERROR(__xludf.DUMMYFUNCTION("""COMPUTED_VALUE"""),"10.1007/s00766-010-0099-3")</f>
        <v>10.1007/s00766-010-0099-3</v>
      </c>
      <c r="D708" s="7" t="str">
        <f>IFERROR(__xludf.DUMMYFUNCTION("""COMPUTED_VALUE"""),"Ferrari R.; Miller J.A.; Madhavji N.H.")</f>
        <v>Ferrari R.; Miller J.A.; Madhavji N.H.</v>
      </c>
      <c r="E708" s="7" t="str">
        <f>IFERROR(__xludf.DUMMYFUNCTION("""COMPUTED_VALUE"""),"A controlled experiment to assess the impact of system architectures on new system requirements")</f>
        <v>A controlled experiment to assess the impact of system architectures on new system requirements</v>
      </c>
      <c r="F708" s="7" t="str">
        <f>IFERROR(__xludf.DUMMYFUNCTION("""COMPUTED_VALUE"""),"REJ")</f>
        <v>REJ</v>
      </c>
      <c r="G708" s="7" t="str">
        <f>IFERROR(__xludf.DUMMYFUNCTION("""COMPUTED_VALUE"""),"While much research attention has been paid to transitioning from requirements to software architectures, relatively little attention has been paid to how new requirements are affected by an existing system architecture. Specifically, no scientific studie"&amp;"s have been conducted on the ""characteristic"" differences between the newly elicited requirements gathered in the presence or absence of an existing software architecture. This paper describes an exploratory controlled study investigating such requireme"&amp;"nts characteristics. We identify a multitude of characteristics (e.g., end-user focus, technological focus, and importance) that were affected by the presence or absence of an SA, together with the extent of this effect. Furthermore, we identify the speci"&amp;"fic aspects of the architecture that had an impact on the characteristics. The study results have implications for RE process engineering, post-requirements analysis, requirements engineering tools, traceability management, and future empirical work in RE"&amp;" based on several emergent hypotheses resultant from this study. © 2010 Springer-Verlag London Limited.")</f>
        <v>While much research attention has been paid to transitioning from requirements to software architectures, relatively little attention has been paid to how new requirements are affected by an existing system architecture. Specifically, no scientific studies have been conducted on the "characteristic" differences between the newly elicited requirements gathered in the presence or absence of an existing software architecture. This paper describes an exploratory controlled study investigating such requirements characteristics. We identify a multitude of characteristics (e.g., end-user focus, technological focus, and importance) that were affected by the presence or absence of an SA, together with the extent of this effect. Furthermore, we identify the specific aspects of the architecture that had an impact on the characteristics. The study results have implications for RE process engineering, post-requirements analysis, requirements engineering tools, traceability management, and future empirical work in RE based on several emergent hypotheses resultant from this study. © 2010 Springer-Verlag London Limited.</v>
      </c>
      <c r="H708" s="8" t="str">
        <f>IFERROR(__xludf.DUMMYFUNCTION("""COMPUTED_VALUE"""),"Controlled study; Empirical study; Requirements engineering; Software architecture; Software engineering; Software process")</f>
        <v>Controlled study; Empirical study; Requirements engineering; Software architecture; Software engineering; Software process</v>
      </c>
      <c r="I708" s="10" t="b">
        <v>0</v>
      </c>
      <c r="J708" s="10" t="b">
        <v>0</v>
      </c>
      <c r="K708" s="10" t="b">
        <v>0</v>
      </c>
      <c r="L708" s="10" t="b">
        <v>0</v>
      </c>
      <c r="M708" s="10" t="b">
        <v>0</v>
      </c>
      <c r="N708" s="10" t="b">
        <v>0</v>
      </c>
      <c r="O708" s="11" t="b">
        <f t="shared" si="1"/>
        <v>0</v>
      </c>
      <c r="P708" s="16" t="b">
        <v>0</v>
      </c>
      <c r="Q708" s="7"/>
    </row>
    <row r="709">
      <c r="A709" s="5" t="b">
        <v>1</v>
      </c>
      <c r="B709" s="5" t="s">
        <v>753</v>
      </c>
      <c r="C709" s="6" t="str">
        <f>IFERROR(__xludf.DUMMYFUNCTION("""COMPUTED_VALUE"""),"10.1007/s00766-013-0181-8")</f>
        <v>10.1007/s00766-013-0181-8</v>
      </c>
      <c r="D709" s="7" t="str">
        <f>IFERROR(__xludf.DUMMYFUNCTION("""COMPUTED_VALUE"""),"Zeni N.; Kiyavitskaya N.; Mich L.; Cordy J.R.; Mylopoulos J.")</f>
        <v>Zeni N.; Kiyavitskaya N.; Mich L.; Cordy J.R.; Mylopoulos J.</v>
      </c>
      <c r="E709" s="7" t="str">
        <f>IFERROR(__xludf.DUMMYFUNCTION("""COMPUTED_VALUE"""),"GaiusT: supporting the extraction of rights and obligations for regulatory compliance")</f>
        <v>GaiusT: supporting the extraction of rights and obligations for regulatory compliance</v>
      </c>
      <c r="F709" s="7" t="str">
        <f>IFERROR(__xludf.DUMMYFUNCTION("""COMPUTED_VALUE"""),"REJ")</f>
        <v>REJ</v>
      </c>
      <c r="G709" s="7" t="str">
        <f>IFERROR(__xludf.DUMMYFUNCTION("""COMPUTED_VALUE"""),"Ensuring compliance of software systems with government regulations, policies, and laws is a complex problem. Generally speaking, solutions to the problem first identify rights and obligations defined in the law and then treat these as requirements for th"&amp;"e system under design. This work examines the challenge of developing tool support for extracting such requirements from legal documents. To address this challenge, we have developed a tool called GaiusT. The tool is founded on a framework for textual sem"&amp;"antic annotation. It semiautomatically generates elements of requirements models, including actors, rights, and obligations. We present the complexities of annotating prescriptive text, the architecture of GaiusT, and the process by which annotation is ac"&amp;"complished. We also present experimental results from two case studies to illustrate the application of the tool and its effectiveness relative to manual efforts. The first case study is based on the US Health Insurance Portability and Accountability Act,"&amp;" while the second analyzes the Italian accessibility law for information technology instruments. © 2013, Springer-Verlag London.")</f>
        <v>Ensuring compliance of software systems with government regulations, policies, and laws is a complex problem. Generally speaking, solutions to the problem first identify rights and obligations defined in the law and then treat these as requirements for the system under design. This work examines the challenge of developing tool support for extracting such requirements from legal documents. To address this challenge, we have developed a tool called GaiusT. The tool is founded on a framework for textual semantic annotation. It semiautomatically generates elements of requirements models, including actors, rights, and obligations. We present the complexities of annotating prescriptive text, the architecture of GaiusT, and the process by which annotation is accomplished. We also present experimental results from two case studies to illustrate the application of the tool and its effectiveness relative to manual efforts. The first case study is based on the US Health Insurance Portability and Accountability Act, while the second analyzes the Italian accessibility law for information technology instruments. © 2013, Springer-Verlag London.</v>
      </c>
      <c r="H709" s="8" t="str">
        <f>IFERROR(__xludf.DUMMYFUNCTION("""COMPUTED_VALUE"""),"Legal documents; Legal requirements; Multilingual annotation; Regulation compliance problem; Requirements engineering; Semantic annotation")</f>
        <v>Legal documents; Legal requirements; Multilingual annotation; Regulation compliance problem; Requirements engineering; Semantic annotation</v>
      </c>
      <c r="I709" s="10" t="b">
        <v>0</v>
      </c>
      <c r="J709" s="10" t="b">
        <v>0</v>
      </c>
      <c r="K709" s="10" t="b">
        <v>0</v>
      </c>
      <c r="L709" s="10" t="b">
        <v>0</v>
      </c>
      <c r="M709" s="10" t="b">
        <v>0</v>
      </c>
      <c r="N709" s="10" t="b">
        <v>0</v>
      </c>
      <c r="O709" s="11" t="b">
        <f t="shared" si="1"/>
        <v>0</v>
      </c>
      <c r="P709" s="16" t="b">
        <v>0</v>
      </c>
      <c r="Q709" s="7"/>
    </row>
    <row r="710">
      <c r="A710" s="5" t="b">
        <v>1</v>
      </c>
      <c r="B710" s="5" t="s">
        <v>754</v>
      </c>
      <c r="C710" s="6" t="str">
        <f>IFERROR(__xludf.DUMMYFUNCTION("""COMPUTED_VALUE"""),"10.1007/s00766-013-0165-8")</f>
        <v>10.1007/s00766-013-0165-8</v>
      </c>
      <c r="D710" s="7" t="str">
        <f>IFERROR(__xludf.DUMMYFUNCTION("""COMPUTED_VALUE"""),"Bagheri E.; Ensan F.")</f>
        <v>Bagheri E.; Ensan F.</v>
      </c>
      <c r="E710" s="7" t="str">
        <f>IFERROR(__xludf.DUMMYFUNCTION("""COMPUTED_VALUE"""),"Dynamic decision models for staged software product line configuration")</f>
        <v>Dynamic decision models for staged software product line configuration</v>
      </c>
      <c r="F710" s="7" t="str">
        <f>IFERROR(__xludf.DUMMYFUNCTION("""COMPUTED_VALUE"""),"REJ")</f>
        <v>REJ</v>
      </c>
      <c r="G710" s="7" t="str">
        <f>IFERROR(__xludf.DUMMYFUNCTION("""COMPUTED_VALUE"""),"Software product line engineering practices offer desirable characteristics such as rapid product development, reduced time-to-market, and more affordable development costs as a result of systematic representation of the variabilities of a domain of disco"&amp;"urse that leads to methodical reuse of software assets. The development lifecycle of a product line consists of two main phases: domain engineering, which deals with the understanding and formally modeling of the target domain, and application engineering"&amp;" that is concerned with the configuration of a product line into one concrete product based on the preferences and requirements of the stakeholders. The work presented in this paper focuses on the application engineering phase and builds both the theoreti"&amp;"cal and technological tools to assist the stakeholders in (a) understanding the complex interactions of the features of a product line; (b) eliciting the utility of each feature for the stakeholders and hence exposing the stakeholders' otherwise implicit "&amp;"preferences in a way that they can more easily make decisions; and (c) dynamically building a decision model through interaction with the stakeholders and by considering the structural characteristics of software product line feature models, which will gu"&amp;"ide the stakeholders through the product configuration process. Initial exploratory empirical experiments that we have performed show that our proposed approach for helping stakeholders understand their feature preferences and its associated staged featur"&amp;"e model configuration process is able to positively impact the quality of the end results of the application engineering process within the context of the limited number of participants. In addition, it has been observed that the offered tooling support i"&amp;"s able to ease the staged feature model configuration process. © 2013 Springer-Verlag London.")</f>
        <v>Software product line engineering practices offer desirable characteristics such as rapid product development, reduced time-to-market, and more affordable development costs as a result of systematic representation of the variabilities of a domain of discourse that leads to methodical reuse of software assets. The development lifecycle of a product line consists of two main phases: domain engineering, which deals with the understanding and formally modeling of the target domain, and application engineering that is concerned with the configuration of a product line into one concrete product based on the preferences and requirements of the stakeholders. The work presented in this paper focuses on the application engineering phase and builds both the theoretical and technological tools to assist the stakeholders in (a) understanding the complex interactions of the features of a product line; (b) eliciting the utility of each feature for the stakeholders and hence exposing the stakeholders' otherwise implicit preferences in a way that they can more easily make decisions; and (c) dynamically building a decision model through interaction with the stakeholders and by considering the structural characteristics of software product line feature models, which will guide the stakeholders through the product configuration process. Initial exploratory empirical experiments that we have performed show that our proposed approach for helping stakeholders understand their feature preferences and its associated staged feature model configuration process is able to positively impact the quality of the end results of the application engineering process within the context of the limited number of participants. In addition, it has been observed that the offered tooling support is able to ease the staged feature model configuration process. © 2013 Springer-Verlag London.</v>
      </c>
      <c r="H710" s="8" t="str">
        <f>IFERROR(__xludf.DUMMYFUNCTION("""COMPUTED_VALUE"""),"Feature models; Software product lines; Stakeholder preferences; Utility elicitation")</f>
        <v>Feature models; Software product lines; Stakeholder preferences; Utility elicitation</v>
      </c>
      <c r="I710" s="10" t="b">
        <v>0</v>
      </c>
      <c r="J710" s="10" t="b">
        <v>0</v>
      </c>
      <c r="K710" s="10" t="b">
        <v>0</v>
      </c>
      <c r="L710" s="10" t="b">
        <v>0</v>
      </c>
      <c r="M710" s="10" t="b">
        <v>0</v>
      </c>
      <c r="N710" s="10" t="b">
        <v>0</v>
      </c>
      <c r="O710" s="11" t="b">
        <f t="shared" si="1"/>
        <v>0</v>
      </c>
      <c r="P710" s="16" t="b">
        <v>0</v>
      </c>
      <c r="Q710" s="7"/>
    </row>
    <row r="711">
      <c r="A711" s="5" t="b">
        <v>1</v>
      </c>
      <c r="B711" s="5" t="s">
        <v>755</v>
      </c>
      <c r="C711" s="6" t="str">
        <f>IFERROR(__xludf.DUMMYFUNCTION("""COMPUTED_VALUE"""),"10.1007/PL00010355")</f>
        <v>10.1007/PL00010355</v>
      </c>
      <c r="D711" s="7" t="str">
        <f>IFERROR(__xludf.DUMMYFUNCTION("""COMPUTED_VALUE"""),"Lauesen S.; Vinter O.")</f>
        <v>Lauesen S.; Vinter O.</v>
      </c>
      <c r="E711" s="7" t="str">
        <f>IFERROR(__xludf.DUMMYFUNCTION("""COMPUTED_VALUE"""),"Preventing requirement defects: An experiment in process improvement")</f>
        <v>Preventing requirement defects: An experiment in process improvement</v>
      </c>
      <c r="F711" s="7" t="str">
        <f>IFERROR(__xludf.DUMMYFUNCTION("""COMPUTED_VALUE"""),"REJ")</f>
        <v>REJ</v>
      </c>
      <c r="G711" s="7" t="str">
        <f>IFERROR(__xludf.DUMMYFUNCTION("""COMPUTED_VALUE"""),"Inadequate requirements cause many problems in software products. This paper reports on an experiment to reduce the number of requirement defects. We analysed the present defects in a real-life product and estimated the likely effect of 44 prevention tech"&amp;"niques. We had hoped a novel combination of techniques would come up, but the best approach was quite well known, although new to the company: study the user tasks better, make early prototypes of the user interface, and test them for usability. This appr"&amp;"oach was tried out in a new development project in the same company. Due to the new approach, there was no doubt about requirements during programming, and as a result it became the first project in the company that was completed on time and without stres"&amp;"s. Usability was drastically improved, and as a result the product sold twice as many units as similar products, and at twice the unit price. © 2001 Springer-Verlag London Limited.")</f>
        <v>Inadequate requirements cause many problems in software products. This paper reports on an experiment to reduce the number of requirement defects. We analysed the present defects in a real-life product and estimated the likely effect of 44 prevention techniques. We had hoped a novel combination of techniques would come up, but the best approach was quite well known, although new to the company: study the user tasks better, make early prototypes of the user interface, and test them for usability. This approach was tried out in a new development project in the same company. Due to the new approach, there was no doubt about requirements during programming, and as a result it became the first project in the company that was completed on time and without stress. Usability was drastically improved, and as a result the product sold twice as many units as similar products, and at twice the unit price. © 2001 Springer-Verlag London Limited.</v>
      </c>
      <c r="H711" s="8" t="str">
        <f>IFERROR(__xludf.DUMMYFUNCTION("""COMPUTED_VALUE"""),"Cost/benefit; Market value; Process improvement; Requirements engineering; Scenarios; Usability")</f>
        <v>Cost/benefit; Market value; Process improvement; Requirements engineering; Scenarios; Usability</v>
      </c>
      <c r="I711" s="9" t="b">
        <v>1</v>
      </c>
      <c r="J711" s="9" t="b">
        <v>1</v>
      </c>
      <c r="K711" s="10" t="b">
        <v>0</v>
      </c>
      <c r="L711" s="10" t="b">
        <v>0</v>
      </c>
      <c r="M711" s="10" t="b">
        <v>0</v>
      </c>
      <c r="N711" s="10" t="b">
        <v>0</v>
      </c>
      <c r="O711" s="11" t="b">
        <f t="shared" si="1"/>
        <v>0</v>
      </c>
      <c r="P711" s="12" t="b">
        <v>0</v>
      </c>
      <c r="Q711" s="7"/>
    </row>
    <row r="712">
      <c r="A712" s="5" t="b">
        <v>1</v>
      </c>
      <c r="B712" s="5" t="s">
        <v>756</v>
      </c>
      <c r="C712" s="6" t="str">
        <f>IFERROR(__xludf.DUMMYFUNCTION("""COMPUTED_VALUE"""),"10.1007/s00766-021-00351-7")</f>
        <v>10.1007/s00766-021-00351-7</v>
      </c>
      <c r="D712" s="7" t="str">
        <f>IFERROR(__xludf.DUMMYFUNCTION("""COMPUTED_VALUE"""),"Gren L.; Berntsson Svensson R.")</f>
        <v>Gren L.; Berntsson Svensson R.</v>
      </c>
      <c r="E712" s="7" t="str">
        <f>IFERROR(__xludf.DUMMYFUNCTION("""COMPUTED_VALUE"""),"Is it possible to disregard obsolete requirements? a family of experiments in software effort estimation")</f>
        <v>Is it possible to disregard obsolete requirements? a family of experiments in software effort estimation</v>
      </c>
      <c r="F712" s="7" t="str">
        <f>IFERROR(__xludf.DUMMYFUNCTION("""COMPUTED_VALUE"""),"REJ")</f>
        <v>REJ</v>
      </c>
      <c r="G712" s="7" t="str">
        <f>IFERROR(__xludf.DUMMYFUNCTION("""COMPUTED_VALUE"""),"Expert judgement is a common method for software effort estimations in practice today. Estimators are often shown extra obsolete requirements together with the real ones to be implemented. Only one previous study has been conducted on if such practices bi"&amp;"as the estimations. We conducted six experiments with both students and practitioners to study, and quantify, the effects of obsolete requirements on software estimation. By conducting a family of six experiments using both students and practitioners as r"&amp;"esearch subjects (N= 461), and by using a Bayesian Data Analysis approach, we investigated different aspects of this effect. We also argue for, and show an example of, how we by using a Bayesian approach can be more confident in our results and enable fur"&amp;"ther studies with small sample sizes. We found that the presence of obsolete requirements triggered an overestimation in effort across all experiments. The effect, however, was smaller in a field setting compared to using students as subjects. Still, the "&amp;"over-estimations triggered by the obsolete requirements were systematically around twice the percentage of the included obsolete ones, but with a large 95% credible interval. The results have implications for both research and practice in that the found s"&amp;"ystematic error should be accounted for in both studies on software estimation and, maybe more importantly, in estimation practices to avoid over-estimations due to this systematic error. We partly explain this error to be stemming from the cognitive bias"&amp;" of anchoring-and-adjustment, i.e. the obsolete requirements anchored a much larger software. However, further studies are needed in order to accurately predict this effect. © 2021, The Author(s).")</f>
        <v>Expert judgement is a common method for software effort estimations in practice today. Estimators are often shown extra obsolete requirements together with the real ones to be implemented. Only one previous study has been conducted on if such practices bias the estimations. We conducted six experiments with both students and practitioners to study, and quantify, the effects of obsolete requirements on software estimation. By conducting a family of six experiments using both students and practitioners as research subjects (N= 461), and by using a Bayesian Data Analysis approach, we investigated different aspects of this effect. We also argue for, and show an example of, how we by using a Bayesian approach can be more confident in our results and enable further studies with small sample sizes. We found that the presence of obsolete requirements triggered an overestimation in effort across all experiments. The effect, however, was smaller in a field setting compared to using students as subjects. Still, the over-estimations triggered by the obsolete requirements were systematically around twice the percentage of the included obsolete ones, but with a large 95% credible interval. The results have implications for both research and practice in that the found systematic error should be accounted for in both studies on software estimation and, maybe more importantly, in estimation practices to avoid over-estimations due to this systematic error. We partly explain this error to be stemming from the cognitive bias of anchoring-and-adjustment, i.e. the obsolete requirements anchored a much larger software. However, further studies are needed in order to accurately predict this effect. © 2021, The Author(s).</v>
      </c>
      <c r="H712" s="8" t="str">
        <f>IFERROR(__xludf.DUMMYFUNCTION("""COMPUTED_VALUE"""),"Expert judgement; Family of experiments; Software effort estimation; Systematic error")</f>
        <v>Expert judgement; Family of experiments; Software effort estimation; Systematic error</v>
      </c>
      <c r="I712" s="9" t="b">
        <v>1</v>
      </c>
      <c r="J712" s="9" t="b">
        <v>1</v>
      </c>
      <c r="K712" s="9" t="b">
        <v>1</v>
      </c>
      <c r="L712" s="10" t="b">
        <v>0</v>
      </c>
      <c r="M712" s="10" t="b">
        <v>0</v>
      </c>
      <c r="N712" s="10" t="b">
        <v>0</v>
      </c>
      <c r="O712" s="11" t="b">
        <f t="shared" si="1"/>
        <v>1</v>
      </c>
      <c r="P712" s="16" t="b">
        <v>0</v>
      </c>
      <c r="Q712" s="7"/>
    </row>
    <row r="713">
      <c r="A713" s="5" t="b">
        <v>1</v>
      </c>
      <c r="B713" s="5" t="s">
        <v>757</v>
      </c>
      <c r="C713" s="6" t="str">
        <f>IFERROR(__xludf.DUMMYFUNCTION("""COMPUTED_VALUE"""),"10.1007/s00766-019-00309-w")</f>
        <v>10.1007/s00766-019-00309-w</v>
      </c>
      <c r="D713" s="7" t="str">
        <f>IFERROR(__xludf.DUMMYFUNCTION("""COMPUTED_VALUE"""),"Abadeh M.N.")</f>
        <v>Abadeh M.N.</v>
      </c>
      <c r="E713" s="7" t="str">
        <f>IFERROR(__xludf.DUMMYFUNCTION("""COMPUTED_VALUE"""),"Performance-driven software development: an incremental refinement approach for high-quality requirement engineering")</f>
        <v>Performance-driven software development: an incremental refinement approach for high-quality requirement engineering</v>
      </c>
      <c r="F713" s="7" t="str">
        <f>IFERROR(__xludf.DUMMYFUNCTION("""COMPUTED_VALUE"""),"REJ")</f>
        <v>REJ</v>
      </c>
      <c r="G713" s="7" t="str">
        <f>IFERROR(__xludf.DUMMYFUNCTION("""COMPUTED_VALUE"""),"By increasing the importance of the performance in industrial and business software systems, efficient approaches to model-based performance engineering are becoming an inherent part of the development life cycle. Performance engineering at abstract level"&amp;"s of the software development process has an important effect on concluding the success of the software by obtaining the knowledge of optimal alternative designs. This paper introduces the performance-driven software development approach and a prediction "&amp;"technique that regards performance quality attributes at the abstract levels of the software development in an incremental refinement manner. The approach provides Z-based specification formalism at the meta-model level in which its instance models are au"&amp;"tomatically transformed into the formal performance analytical model, called refinable state machine (RSM). This paper analyses the throughput of a RSM by performing an approximation algorithm on two experimental case studies to determine weights of subje"&amp;"ctive performance characteristics. The approach can use the inherent performance parameters according to product usage and derive an incremental probabilistic policy determination method under design decisions in the performance plan hierarchy. The result"&amp;"s exhibit significant support of abstract level performance profiling in terms of the throughput values. © 2019, Springer-Verlag London Ltd., part of Springer Nature.")</f>
        <v>By increasing the importance of the performance in industrial and business software systems, efficient approaches to model-based performance engineering are becoming an inherent part of the development life cycle. Performance engineering at abstract levels of the software development process has an important effect on concluding the success of the software by obtaining the knowledge of optimal alternative designs. This paper introduces the performance-driven software development approach and a prediction technique that regards performance quality attributes at the abstract levels of the software development in an incremental refinement manner. The approach provides Z-based specification formalism at the meta-model level in which its instance models are automatically transformed into the formal performance analytical model, called refinable state machine (RSM). This paper analyses the throughput of a RSM by performing an approximation algorithm on two experimental case studies to determine weights of subjective performance characteristics. The approach can use the inherent performance parameters according to product usage and derive an incremental probabilistic policy determination method under design decisions in the performance plan hierarchy. The results exhibit significant support of abstract level performance profiling in terms of the throughput values. © 2019, Springer-Verlag London Ltd., part of Springer Nature.</v>
      </c>
      <c r="H713" s="8" t="str">
        <f>IFERROR(__xludf.DUMMYFUNCTION("""COMPUTED_VALUE"""),"Incremental refinement; Model-driven engineering; Performance modeling; Throughput calculation")</f>
        <v>Incremental refinement; Model-driven engineering; Performance modeling; Throughput calculation</v>
      </c>
      <c r="I713" s="10" t="b">
        <v>0</v>
      </c>
      <c r="J713" s="10" t="b">
        <v>0</v>
      </c>
      <c r="K713" s="10" t="b">
        <v>0</v>
      </c>
      <c r="L713" s="10" t="b">
        <v>0</v>
      </c>
      <c r="M713" s="10" t="b">
        <v>0</v>
      </c>
      <c r="N713" s="10" t="b">
        <v>0</v>
      </c>
      <c r="O713" s="11" t="b">
        <f t="shared" si="1"/>
        <v>0</v>
      </c>
      <c r="P713" s="16" t="b">
        <v>0</v>
      </c>
      <c r="Q713" s="7"/>
    </row>
    <row r="714">
      <c r="A714" s="5" t="b">
        <v>1</v>
      </c>
      <c r="B714" s="5" t="s">
        <v>758</v>
      </c>
      <c r="C714" s="6" t="str">
        <f>IFERROR(__xludf.DUMMYFUNCTION("""COMPUTED_VALUE"""),"10.1007/s00766-013-0197-0")</f>
        <v>10.1007/s00766-013-0197-0</v>
      </c>
      <c r="D714" s="7" t="str">
        <f>IFERROR(__xludf.DUMMYFUNCTION("""COMPUTED_VALUE"""),"Mahmoud A.; Niu N.")</f>
        <v>Mahmoud A.; Niu N.</v>
      </c>
      <c r="E714" s="7" t="str">
        <f>IFERROR(__xludf.DUMMYFUNCTION("""COMPUTED_VALUE"""),"Supporting requirements to code traceability through refactoring")</f>
        <v>Supporting requirements to code traceability through refactoring</v>
      </c>
      <c r="F714" s="7" t="str">
        <f>IFERROR(__xludf.DUMMYFUNCTION("""COMPUTED_VALUE"""),"REJ")</f>
        <v>REJ</v>
      </c>
      <c r="G714" s="7" t="str">
        <f>IFERROR(__xludf.DUMMYFUNCTION("""COMPUTED_VALUE"""),"In this paper, we hypothesize that the distorted traceability tracks of a software system can be systematically re-established through refactoring, a set of behavior-preserving transformations for keeping the system quality under control during evolution."&amp;" To test our hypothesis, we conduct an experimental analysis using three requirements-to-code datasets from various application domains. Our objective is to assess the impact of various refactoring methods on the performance of automated tracing tools bas"&amp;"ed on information retrieval. Results show that renaming inconsistently named code identifiers, using Rename Identifier refactoring, often leads to improvements in traceability. In contrast, removing code clones, using eXtract Method (XM) refactoring, is f"&amp;"ound to be detrimental. In addition, results show that moving misplaced code fragments, using Move Method refactoring, has no significant impact on trace link retrieval. We further evaluate Rename Identifier refactoring by comparing its performance with o"&amp;"ther strategies often used to overcome the vocabulary mismatch problem in software artifacts. In addition, we propose and evaluate various techniques to mitigate the negative impact of XM refactoring. An effective traceability sign analysis is also conduc"&amp;"ted to quantify the effect of these refactoring methods on the vocabulary structure of software systems. © 2013 Springer-Verlag London.")</f>
        <v>In this paper, we hypothesize that the distorted traceability tracks of a software system can be systematically re-established through refactoring, a set of behavior-preserving transformations for keeping the system quality under control during evolution. To test our hypothesis, we conduct an experimental analysis using three requirements-to-code datasets from various application domains. Our objective is to assess the impact of various refactoring methods on the performance of automated tracing tools based on information retrieval. Results show that renaming inconsistently named code identifiers, using Rename Identifier refactoring, often leads to improvements in traceability. In contrast, removing code clones, using eXtract Method (XM) refactoring, is found to be detrimental. In addition, results show that moving misplaced code fragments, using Move Method refactoring, has no significant impact on trace link retrieval. We further evaluate Rename Identifier refactoring by comparing its performance with other strategies often used to overcome the vocabulary mismatch problem in software artifacts. In addition, we propose and evaluate various techniques to mitigate the negative impact of XM refactoring. An effective traceability sign analysis is also conducted to quantify the effect of these refactoring methods on the vocabulary structure of software systems. © 2013 Springer-Verlag London.</v>
      </c>
      <c r="H714" s="8" t="str">
        <f>IFERROR(__xludf.DUMMYFUNCTION("""COMPUTED_VALUE"""),"Information retrieval; Refactoring; Traceability")</f>
        <v>Information retrieval; Refactoring; Traceability</v>
      </c>
      <c r="I714" s="10" t="b">
        <v>0</v>
      </c>
      <c r="J714" s="10" t="b">
        <v>0</v>
      </c>
      <c r="K714" s="10" t="b">
        <v>0</v>
      </c>
      <c r="L714" s="10" t="b">
        <v>0</v>
      </c>
      <c r="M714" s="10" t="b">
        <v>0</v>
      </c>
      <c r="N714" s="10" t="b">
        <v>0</v>
      </c>
      <c r="O714" s="11" t="b">
        <f t="shared" si="1"/>
        <v>0</v>
      </c>
      <c r="P714" s="16" t="b">
        <v>0</v>
      </c>
      <c r="Q714" s="7"/>
    </row>
    <row r="715">
      <c r="A715" s="5" t="b">
        <v>1</v>
      </c>
      <c r="B715" s="5" t="s">
        <v>759</v>
      </c>
      <c r="C715" s="6" t="str">
        <f>IFERROR(__xludf.DUMMYFUNCTION("""COMPUTED_VALUE"""),"10.1007/s00766-011-0133-0")</f>
        <v>10.1007/s00766-011-0133-0</v>
      </c>
      <c r="D715" s="7" t="str">
        <f>IFERROR(__xludf.DUMMYFUNCTION("""COMPUTED_VALUE"""),"Sakhnini V.; Mich L.; Berry D.M.")</f>
        <v>Sakhnini V.; Mich L.; Berry D.M.</v>
      </c>
      <c r="E715" s="7" t="str">
        <f>IFERROR(__xludf.DUMMYFUNCTION("""COMPUTED_VALUE"""),"The effectiveness of an optimized EPMcreate as a creativity enhancement technique for Web site requirements elicitation")</f>
        <v>The effectiveness of an optimized EPMcreate as a creativity enhancement technique for Web site requirements elicitation</v>
      </c>
      <c r="F715" s="7" t="str">
        <f>IFERROR(__xludf.DUMMYFUNCTION("""COMPUTED_VALUE"""),"REJ")</f>
        <v>REJ</v>
      </c>
      <c r="G715" s="7" t="str">
        <f>IFERROR(__xludf.DUMMYFUNCTION("""COMPUTED_VALUE"""),"Creativity is often needed in requirements elicitation, i. e., requirement idea generation; and techniques to enhance creativity are believed to be useful. This paper describes two controlled experiments to compare the requirements-elicitation effectivene"&amp;"ss of three creativity enhancement techniques (CET): (1) full EPMcreate; (2) Power-Only EPMcreate, an optimization of full EPMcreate; and (3) traditional brainstorming. In each experiment, one team of university students applied one of the two or three CE"&amp;"Ts under study in the experiment to generate ideas for requirements for enhancing a high school's public Web site. The results of the first experiment indicate that Power-Only EPMcreate is more effective, by the quantity and quality of the ideas generated"&amp;", than the full EPMcreate, which is, in turn, more effective than brainstorming. The results of the second experiment confirm that Power-Only EPMcreate is more effective, by the same measures, than full EPMcreate. In each experiment, for the sake of unifo"&amp;"rm, reproducible evaluation, a requirement idea is considered high quality if it is both new and useful. © 2011 Springer-Verlag London Limited.")</f>
        <v>Creativity is often needed in requirements elicitation, i. e., requirement idea generation; and techniques to enhance creativity are believed to be useful. This paper describes two controlled experiments to compare the requirements-elicitation effectiveness of three creativity enhancement techniques (CET): (1) full EPMcreate; (2) Power-Only EPMcreate, an optimization of full EPMcreate; and (3) traditional brainstorming. In each experiment, one team of university students applied one of the two or three CETs under study in the experiment to generate ideas for requirements for enhancing a high school's public Web site. The results of the first experiment indicate that Power-Only EPMcreate is more effective, by the quantity and quality of the ideas generated, than the full EPMcreate, which is, in turn, more effective than brainstorming. The results of the second experiment confirm that Power-Only EPMcreate is more effective, by the same measures, than full EPMcreate. In each experiment, for the sake of uniform, reproducible evaluation, a requirement idea is considered high quality if it is both new and useful. © 2011 Springer-Verlag London Limited.</v>
      </c>
      <c r="H715" s="8" t="str">
        <f>IFERROR(__xludf.DUMMYFUNCTION("""COMPUTED_VALUE"""),"Controlled experiment; Creativity; Creativity enhancement techniques; Multiple viewpoints; Optimization of creativity enhancement technique; Pragmatics of communication; Requirements elicitation")</f>
        <v>Controlled experiment; Creativity; Creativity enhancement techniques; Multiple viewpoints; Optimization of creativity enhancement technique; Pragmatics of communication; Requirements elicitation</v>
      </c>
      <c r="I715" s="9" t="b">
        <v>1</v>
      </c>
      <c r="J715" s="9" t="b">
        <v>1</v>
      </c>
      <c r="K715" s="10" t="b">
        <v>0</v>
      </c>
      <c r="L715" s="10" t="b">
        <v>0</v>
      </c>
      <c r="M715" s="10" t="b">
        <v>0</v>
      </c>
      <c r="N715" s="10" t="b">
        <v>0</v>
      </c>
      <c r="O715" s="11" t="b">
        <f t="shared" si="1"/>
        <v>0</v>
      </c>
      <c r="P715" s="16" t="b">
        <v>0</v>
      </c>
      <c r="Q715" s="7"/>
    </row>
    <row r="716">
      <c r="A716" s="5" t="b">
        <v>1</v>
      </c>
      <c r="B716" s="5" t="s">
        <v>760</v>
      </c>
      <c r="C716" s="6" t="str">
        <f>IFERROR(__xludf.DUMMYFUNCTION("""COMPUTED_VALUE"""),"10.1007/s00766-022-00382-8")</f>
        <v>10.1007/s00766-022-00382-8</v>
      </c>
      <c r="D716" s="7" t="str">
        <f>IFERROR(__xludf.DUMMYFUNCTION("""COMPUTED_VALUE"""),"Canedo E.D.; Bandeira I.N.; Calazans A.T.S.; Costa P.H.T.; Cançado E.C.R.; Bonifácio R.")</f>
        <v>Canedo E.D.; Bandeira I.N.; Calazans A.T.S.; Costa P.H.T.; Cançado E.C.R.; Bonifácio R.</v>
      </c>
      <c r="E716" s="7" t="str">
        <f>IFERROR(__xludf.DUMMYFUNCTION("""COMPUTED_VALUE"""),"Privacy requirements elicitation: a systematic literature review and perception analysis of IT practitioners")</f>
        <v>Privacy requirements elicitation: a systematic literature review and perception analysis of IT practitioners</v>
      </c>
      <c r="F716" s="7" t="str">
        <f>IFERROR(__xludf.DUMMYFUNCTION("""COMPUTED_VALUE"""),"REJ")</f>
        <v>REJ</v>
      </c>
      <c r="G716" s="7" t="str">
        <f>IFERROR(__xludf.DUMMYFUNCTION("""COMPUTED_VALUE"""),"During the software development process and throughout the software lifecycle, organizations must guarantee users’ privacy by protecting personal data. There are several studies in the literature proposing methodologies, techniques, and tools for privacy "&amp;"requirements elicitation. These studies report that practitioners must use systematic approaches to specify these requirements during initial software development activities to avoid users’ data privacy breaches. The main goal of this study is to identify"&amp;" which methodologies, techniques, and tools are used in privacy requirements elicitation in the literature. We have also investigated Information Technology (IT) practitioners’ perceptions regarding the methodologies, techniques, and tools identified in t"&amp;"he literature. We have carried out a systematic literature review (SLR) to identify the methodologies, techniques, and tools used for privacy requirements elicitation. Besides, we have surveyed IT practitioners to understand their perception of using thes"&amp;"e techniques and tools in the software development process. We have found several methodologies, techniques, and tools proposed in the literature to carry out privacy requirements elicitation. Out of 78 studies cataloged within the SLR, most of them did n"&amp;"ot verify their methodologies and techniques in a practical case study or illustrative contexts (38 studies), and less than 35% of them (26 studies) experimented with their propositions within an industry context. The Privacy Safeguard method (PriS) is th"&amp;"e best known among the 198 practitioners in the industry who participated in the survey. Moreover, use cases and user story are their most-used techniques. This qualitative and quantitative study shows a perception of IT practitioners different from those"&amp;" presented in other research papers and suggests that methodologies, techniques, and tools play an important role in IT practitioners’ perceptions about privacy requirements elicitation. © 2022, The Author(s), under exclusive licence to Springer-Verlag Lo"&amp;"ndon Ltd., part of Springer Nature.")</f>
        <v>During the software development process and throughout the software lifecycle, organizations must guarantee users’ privacy by protecting personal data. There are several studies in the literature proposing methodologies, techniques, and tools for privacy requirements elicitation. These studies report that practitioners must use systematic approaches to specify these requirements during initial software development activities to avoid users’ data privacy breaches. The main goal of this study is to identify which methodologies, techniques, and tools are used in privacy requirements elicitation in the literature. We have also investigated Information Technology (IT) practitioners’ perceptions regarding the methodologies, techniques, and tools identified in the literature. We have carried out a systematic literature review (SLR) to identify the methodologies, techniques, and tools used for privacy requirements elicitation. Besides, we have surveyed IT practitioners to understand their perception of using these techniques and tools in the software development process. We have found several methodologies, techniques, and tools proposed in the literature to carry out privacy requirements elicitation. Out of 78 studies cataloged within the SLR, most of them did not verify their methodologies and techniques in a practical case study or illustrative contexts (38 studies), and less than 35% of them (26 studies) experimented with their propositions within an industry context. The Privacy Safeguard method (PriS) is the best known among the 198 practitioners in the industry who participated in the survey. Moreover, use cases and user story are their most-used techniques. This qualitative and quantitative study shows a perception of IT practitioners different from those presented in other research papers and suggests that methodologies, techniques, and tools play an important role in IT practitioners’ perceptions about privacy requirements elicitation. © 2022, The Author(s), under exclusive licence to Springer-Verlag London Ltd., part of Springer Nature.</v>
      </c>
      <c r="H716" s="8" t="str">
        <f>IFERROR(__xludf.DUMMYFUNCTION("""COMPUTED_VALUE"""),"Methodologies; Privacy requirements elicitation; Systematic literature review; Techniques; Tools")</f>
        <v>Methodologies; Privacy requirements elicitation; Systematic literature review; Techniques; Tools</v>
      </c>
      <c r="I716" s="10" t="b">
        <v>0</v>
      </c>
      <c r="J716" s="10" t="b">
        <v>0</v>
      </c>
      <c r="K716" s="10" t="b">
        <v>0</v>
      </c>
      <c r="L716" s="10" t="b">
        <v>0</v>
      </c>
      <c r="M716" s="10" t="b">
        <v>0</v>
      </c>
      <c r="N716" s="10" t="b">
        <v>0</v>
      </c>
      <c r="O716" s="11" t="b">
        <f t="shared" si="1"/>
        <v>0</v>
      </c>
      <c r="P716" s="16" t="b">
        <v>0</v>
      </c>
      <c r="Q716" s="7"/>
    </row>
    <row r="717">
      <c r="A717" s="5" t="b">
        <v>1</v>
      </c>
      <c r="B717" s="5" t="s">
        <v>761</v>
      </c>
      <c r="C717" s="6" t="str">
        <f>IFERROR(__xludf.DUMMYFUNCTION("""COMPUTED_VALUE"""),"10.1007/s00766-009-0075-y")</f>
        <v>10.1007/s00766-009-0075-y</v>
      </c>
      <c r="D717" s="7" t="str">
        <f>IFERROR(__xludf.DUMMYFUNCTION("""COMPUTED_VALUE"""),"Finkelstein A.; Harman M.; Mansouri S.A.; Ren J.; Zhang Y.")</f>
        <v>Finkelstein A.; Harman M.; Mansouri S.A.; Ren J.; Zhang Y.</v>
      </c>
      <c r="E717" s="7" t="str">
        <f>IFERROR(__xludf.DUMMYFUNCTION("""COMPUTED_VALUE"""),"A search based approach to fairness analysis in requirement assignments to aid negotiation, mediation and decision making")</f>
        <v>A search based approach to fairness analysis in requirement assignments to aid negotiation, mediation and decision making</v>
      </c>
      <c r="F717" s="7" t="str">
        <f>IFERROR(__xludf.DUMMYFUNCTION("""COMPUTED_VALUE"""),"REJ")</f>
        <v>REJ</v>
      </c>
      <c r="G717" s="7" t="str">
        <f>IFERROR(__xludf.DUMMYFUNCTION("""COMPUTED_VALUE"""),"This paper uses a multi-objective optimisation approach to support investigation of the trade-offs in various notions of fairness between multiple customers. Results are presented to validate the approach using two real-world data sets and also using data"&amp;" sets created specifically to stress test the approach. Simple graphical techniques are used to visualize the solution space. The paper also reports on experiments to determine the most suitable algorithm for this problem, comparing the results of the NSG"&amp;"A-II algorithms, a widely used multi objective evolutionary algorithm, and the Two-Archive evolutionary algorithm, a recently proposed alternative. © Springer-Verlag London Limited 2009.")</f>
        <v>This paper uses a multi-objective optimisation approach to support investigation of the trade-offs in various notions of fairness between multiple customers. Results are presented to validate the approach using two real-world data sets and also using data sets created specifically to stress test the approach. Simple graphical techniques are used to visualize the solution space. The paper also reports on experiments to determine the most suitable algorithm for this problem, comparing the results of the NSGA-II algorithms, a widely used multi objective evolutionary algorithm, and the Two-Archive evolutionary algorithm, a recently proposed alternative. © Springer-Verlag London Limited 2009.</v>
      </c>
      <c r="H717" s="8" t="str">
        <f>IFERROR(__xludf.DUMMYFUNCTION("""COMPUTED_VALUE"""),"Decision making; Fairness analysis; Multi-objective genetic algorithms; Pareto optimality; Requirements assignment")</f>
        <v>Decision making; Fairness analysis; Multi-objective genetic algorithms; Pareto optimality; Requirements assignment</v>
      </c>
      <c r="I717" s="10" t="b">
        <v>0</v>
      </c>
      <c r="J717" s="10" t="b">
        <v>0</v>
      </c>
      <c r="K717" s="10" t="b">
        <v>0</v>
      </c>
      <c r="L717" s="10" t="b">
        <v>0</v>
      </c>
      <c r="M717" s="10" t="b">
        <v>0</v>
      </c>
      <c r="N717" s="10" t="b">
        <v>0</v>
      </c>
      <c r="O717" s="11" t="b">
        <f t="shared" si="1"/>
        <v>0</v>
      </c>
      <c r="P717" s="16" t="b">
        <v>0</v>
      </c>
      <c r="Q717" s="7"/>
    </row>
    <row r="718">
      <c r="A718" s="5" t="b">
        <v>1</v>
      </c>
      <c r="B718" s="5" t="s">
        <v>762</v>
      </c>
      <c r="C718" s="6" t="str">
        <f>IFERROR(__xludf.DUMMYFUNCTION("""COMPUTED_VALUE"""),"10.1007/s00766-018-0303-4")</f>
        <v>10.1007/s00766-018-0303-4</v>
      </c>
      <c r="D718" s="7" t="str">
        <f>IFERROR(__xludf.DUMMYFUNCTION("""COMPUTED_VALUE"""),"Chen X.; Zou Q.; Fan B.; Zheng Z.; Luo X.")</f>
        <v>Chen X.; Zou Q.; Fan B.; Zheng Z.; Luo X.</v>
      </c>
      <c r="E718" s="7" t="str">
        <f>IFERROR(__xludf.DUMMYFUNCTION("""COMPUTED_VALUE"""),"Recommending software features for mobile applications based on user interface comparison")</f>
        <v>Recommending software features for mobile applications based on user interface comparison</v>
      </c>
      <c r="F718" s="7" t="str">
        <f>IFERROR(__xludf.DUMMYFUNCTION("""COMPUTED_VALUE"""),"REJ")</f>
        <v>REJ</v>
      </c>
      <c r="G718" s="7" t="str">
        <f>IFERROR(__xludf.DUMMYFUNCTION("""COMPUTED_VALUE"""),"App features are one of the most important factors that people consider when choosing apps. In order to satisfy users’ needs and attract their eyes, deciding what features should be added in next release becomes very important. Different from traditional "&amp;"requirement elimination, app stores provide a new platform for developers to gather requirements and perform market-wide analysis. Considering that software features provided to users can be found out by exploring existing apps, an important way to elicit"&amp;" requirements is analyzing existing features provided by products which offer related functions and then finding new trends and fashions promptly. In this context, we propose a data-driven approach for recommending software features of mobile applications"&amp;" based on user interface comparison. Our approach mines similar user interfaces (UIs) from publicly available online repository. To calculate UI similarity through the best matches of components of two UIs, text similarity is used to measure the similarit"&amp;"y of UI components and genetic algorithm is introduced to improve the comparison efficiency. Then, we develop an algorithm to extract features from similar UIs based on a set of identification rules. These features are further clustered with text similari"&amp;"ty algorithm and finally recommended to developers. The approach is empirically validated with 44 features from 10 UIs. The experiment results indicate that our recommended features are valuable for requirement elicitation. © 2018, Springer-Verlag London "&amp;"Ltd., part of Springer Nature.")</f>
        <v>App features are one of the most important factors that people consider when choosing apps. In order to satisfy users’ needs and attract their eyes, deciding what features should be added in next release becomes very important. Different from traditional requirement elimination, app stores provide a new platform for developers to gather requirements and perform market-wide analysis. Considering that software features provided to users can be found out by exploring existing apps, an important way to elicit requirements is analyzing existing features provided by products which offer related functions and then finding new trends and fashions promptly. In this context, we propose a data-driven approach for recommending software features of mobile applications based on user interface comparison. Our approach mines similar user interfaces (UIs) from publicly available online repository. To calculate UI similarity through the best matches of components of two UIs, text similarity is used to measure the similarity of UI components and genetic algorithm is introduced to improve the comparison efficiency. Then, we develop an algorithm to extract features from similar UIs based on a set of identification rules. These features are further clustered with text similarity algorithm and finally recommended to developers. The approach is empirically validated with 44 features from 10 UIs. The experiment results indicate that our recommended features are valuable for requirement elicitation. © 2018, Springer-Verlag London Ltd., part of Springer Nature.</v>
      </c>
      <c r="H718" s="8" t="str">
        <f>IFERROR(__xludf.DUMMYFUNCTION("""COMPUTED_VALUE"""),"Feature recommendation; Genetic algorithm; Mobile apps; Requirements elicitation; Text similarity")</f>
        <v>Feature recommendation; Genetic algorithm; Mobile apps; Requirements elicitation; Text similarity</v>
      </c>
      <c r="I718" s="10" t="b">
        <v>0</v>
      </c>
      <c r="J718" s="10" t="b">
        <v>0</v>
      </c>
      <c r="K718" s="10" t="b">
        <v>0</v>
      </c>
      <c r="L718" s="10" t="b">
        <v>0</v>
      </c>
      <c r="M718" s="10" t="b">
        <v>0</v>
      </c>
      <c r="N718" s="10" t="b">
        <v>0</v>
      </c>
      <c r="O718" s="11" t="b">
        <f t="shared" si="1"/>
        <v>0</v>
      </c>
      <c r="P718" s="16" t="b">
        <v>0</v>
      </c>
      <c r="Q718" s="7"/>
    </row>
    <row r="719">
      <c r="A719" s="5" t="b">
        <v>1</v>
      </c>
      <c r="B719" s="5" t="s">
        <v>763</v>
      </c>
      <c r="C719" s="6" t="str">
        <f>IFERROR(__xludf.DUMMYFUNCTION("""COMPUTED_VALUE"""),"10.1007/s00766-015-0234-2")</f>
        <v>10.1007/s00766-015-0234-2</v>
      </c>
      <c r="D719" s="7" t="str">
        <f>IFERROR(__xludf.DUMMYFUNCTION("""COMPUTED_VALUE"""),"Beghoura M.A.; Boubetra A.; Boukerram A.")</f>
        <v>Beghoura M.A.; Boubetra A.; Boukerram A.</v>
      </c>
      <c r="E719" s="7" t="str">
        <f>IFERROR(__xludf.DUMMYFUNCTION("""COMPUTED_VALUE"""),"Green software requirements and measurement: random decision forests-based software energy consumption profiling")</f>
        <v>Green software requirements and measurement: random decision forests-based software energy consumption profiling</v>
      </c>
      <c r="F719" s="7" t="str">
        <f>IFERROR(__xludf.DUMMYFUNCTION("""COMPUTED_VALUE"""),"REJ")</f>
        <v>REJ</v>
      </c>
      <c r="G719" s="7" t="str">
        <f>IFERROR(__xludf.DUMMYFUNCTION("""COMPUTED_VALUE"""),"This paper proposes an explicit definition of green software requirements and a tool to support their evaluation. The proposed evaluation tool describes the green efficiency by considering the energy consumption as the main aspect to be studied during the"&amp;" development stage. This approach consists of building a multiple regression model, by using a supervised learning algorithm, in order to reproduce the energy consumption pattern of devices at different workload circumstances. The energy consumption model"&amp;" is then deployed to estimate the impact of software applications based on their resource usage. Our work has been validated on desktop and mobile devices. The experiments show the effectiveness of the proposed energy profiling tool that provided relevant"&amp;" information on the energy consumption of software applications. © 2015, Springer-Verlag London.")</f>
        <v>This paper proposes an explicit definition of green software requirements and a tool to support their evaluation. The proposed evaluation tool describes the green efficiency by considering the energy consumption as the main aspect to be studied during the development stage. This approach consists of building a multiple regression model, by using a supervised learning algorithm, in order to reproduce the energy consumption pattern of devices at different workload circumstances. The energy consumption model is then deployed to estimate the impact of software applications based on their resource usage. Our work has been validated on desktop and mobile devices. The experiments show the effectiveness of the proposed energy profiling tool that provided relevant information on the energy consumption of software applications. © 2015, Springer-Verlag London.</v>
      </c>
      <c r="H719" s="8" t="str">
        <f>IFERROR(__xludf.DUMMYFUNCTION("""COMPUTED_VALUE"""),"Energy consumption model; Green requirements; Green software; Green software engineering; Multiple regression model; Random decision forests; Software development; Software engineering")</f>
        <v>Energy consumption model; Green requirements; Green software; Green software engineering; Multiple regression model; Random decision forests; Software development; Software engineering</v>
      </c>
      <c r="I719" s="10" t="b">
        <v>0</v>
      </c>
      <c r="J719" s="10" t="b">
        <v>0</v>
      </c>
      <c r="K719" s="10" t="b">
        <v>0</v>
      </c>
      <c r="L719" s="10" t="b">
        <v>0</v>
      </c>
      <c r="M719" s="10" t="b">
        <v>0</v>
      </c>
      <c r="N719" s="10" t="b">
        <v>0</v>
      </c>
      <c r="O719" s="11" t="b">
        <f t="shared" si="1"/>
        <v>0</v>
      </c>
      <c r="P719" s="16" t="b">
        <v>0</v>
      </c>
      <c r="Q719" s="7"/>
    </row>
    <row r="720">
      <c r="A720" s="5" t="b">
        <v>1</v>
      </c>
      <c r="B720" s="5" t="s">
        <v>764</v>
      </c>
      <c r="C720" s="6" t="str">
        <f>IFERROR(__xludf.DUMMYFUNCTION("""COMPUTED_VALUE"""),"10.1007/s00766-011-0132-1")</f>
        <v>10.1007/s00766-011-0132-1</v>
      </c>
      <c r="D720" s="7" t="str">
        <f>IFERROR(__xludf.DUMMYFUNCTION("""COMPUTED_VALUE"""),"Dalpiaz F.; Giorgini P.; Mylopoulos J.")</f>
        <v>Dalpiaz F.; Giorgini P.; Mylopoulos J.</v>
      </c>
      <c r="E720" s="7" t="str">
        <f>IFERROR(__xludf.DUMMYFUNCTION("""COMPUTED_VALUE"""),"Adaptive socio-technical systems: A requirements-based approach")</f>
        <v>Adaptive socio-technical systems: A requirements-based approach</v>
      </c>
      <c r="F720" s="7" t="str">
        <f>IFERROR(__xludf.DUMMYFUNCTION("""COMPUTED_VALUE"""),"REJ")</f>
        <v>REJ</v>
      </c>
      <c r="G720" s="7" t="str">
        <f>IFERROR(__xludf.DUMMYFUNCTION("""COMPUTED_VALUE"""),"A socio-technical system (STS) consists of an interplay of humans, organizations, and technical systems. STSs are heterogeneous, dynamic, unpredictable, and weakly controllable. Their operational environment changes unexpectedly, actors join and leave the"&amp;" system at will, actors fail to meet their objectives and under-perform, and dependencies on other actors are violated. To deal with such situations, we propose an architecture for STSs that makes an STS self-reconfigurable, i. e., capable of switching au"&amp;"tonomously from one configuration to a better one. Our architecture performs a Monitor-Diagnose-Reconcile-Compensate cycle: it monitors actor behaviors and context changes, diagnoses failures and under-performance by checking whether monitored behavior is"&amp;" compliant with actors goals, finds a possible way to address the problem, and enacts compensation actions to reconcile actual and desired behavior. Compensation actions take into account the autonomy of participants in an STS, which cannot be controlled."&amp;" Our architecture is requirements driven: we use extended Tropos goal models to diagnose failures as well as to identify alternative strategies to meet requirements. After presenting our conceptual architecture and the algorithms, it is founded upon; we d"&amp;"escribe a prototype implementation applied to a case study concerning smart-homes. We also provide experimental results that suggest that our architecture scales well as the size of the STS grows. © 2011 Springer-Verlag London Limited.")</f>
        <v>A socio-technical system (STS) consists of an interplay of humans, organizations, and technical systems. STSs are heterogeneous, dynamic, unpredictable, and weakly controllable. Their operational environment changes unexpectedly, actors join and leave the system at will, actors fail to meet their objectives and under-perform, and dependencies on other actors are violated. To deal with such situations, we propose an architecture for STSs that makes an STS self-reconfigurable, i. e., capable of switching autonomously from one configuration to a better one. Our architecture performs a Monitor-Diagnose-Reconcile-Compensate cycle: it monitors actor behaviors and context changes, diagnoses failures and under-performance by checking whether monitored behavior is compliant with actors goals, finds a possible way to address the problem, and enacts compensation actions to reconcile actual and desired behavior. Compensation actions take into account the autonomy of participants in an STS, which cannot be controlled. Our architecture is requirements driven: we use extended Tropos goal models to diagnose failures as well as to identify alternative strategies to meet requirements. After presenting our conceptual architecture and the algorithms, it is founded upon; we describe a prototype implementation applied to a case study concerning smart-homes. We also provide experimental results that suggest that our architecture scales well as the size of the STS grows. © 2011 Springer-Verlag London Limited.</v>
      </c>
      <c r="H720" s="8" t="str">
        <f>IFERROR(__xludf.DUMMYFUNCTION("""COMPUTED_VALUE"""),"Goal models; Requirements engineering; Self-adaptive software; Socio-technical systems")</f>
        <v>Goal models; Requirements engineering; Self-adaptive software; Socio-technical systems</v>
      </c>
      <c r="I720" s="10" t="b">
        <v>0</v>
      </c>
      <c r="J720" s="10" t="b">
        <v>0</v>
      </c>
      <c r="K720" s="10" t="b">
        <v>0</v>
      </c>
      <c r="L720" s="10" t="b">
        <v>0</v>
      </c>
      <c r="M720" s="10" t="b">
        <v>0</v>
      </c>
      <c r="N720" s="10" t="b">
        <v>0</v>
      </c>
      <c r="O720" s="11" t="b">
        <f t="shared" si="1"/>
        <v>0</v>
      </c>
      <c r="P720" s="16" t="b">
        <v>0</v>
      </c>
      <c r="Q720" s="7"/>
    </row>
    <row r="721">
      <c r="A721" s="5" t="b">
        <v>1</v>
      </c>
      <c r="B721" s="5" t="s">
        <v>765</v>
      </c>
      <c r="C721" s="6" t="str">
        <f>IFERROR(__xludf.DUMMYFUNCTION("""COMPUTED_VALUE"""),"10.1007/s00766-022-00389-1")</f>
        <v>10.1007/s00766-022-00389-1</v>
      </c>
      <c r="D721" s="7" t="str">
        <f>IFERROR(__xludf.DUMMYFUNCTION("""COMPUTED_VALUE"""),"Gralha C.; Pereira R.; Goulão M.; Araujo J.")</f>
        <v>Gralha C.; Pereira R.; Goulão M.; Araujo J.</v>
      </c>
      <c r="E721" s="7" t="str">
        <f>IFERROR(__xludf.DUMMYFUNCTION("""COMPUTED_VALUE"""),"Assessing user stories: the influence of template differences and gender-related problem-solving styles")</f>
        <v>Assessing user stories: the influence of template differences and gender-related problem-solving styles</v>
      </c>
      <c r="F721" s="7" t="str">
        <f>IFERROR(__xludf.DUMMYFUNCTION("""COMPUTED_VALUE"""),"REJ")</f>
        <v>REJ</v>
      </c>
      <c r="G721" s="7" t="str">
        <f>IFERROR(__xludf.DUMMYFUNCTION("""COMPUTED_VALUE"""),"User stories are often used for elicitation, specification, and prioritisation of requirements. There are several user story templates, varying in their structure (particularly, in the order in which they present their elements), and also in the elements "&amp;"they use (namely, some user story templates include personas, while others do not). The potential benefits and shortcomings of choosing one template over another need to be understood, so that practitioners can make informed choices on the extent to which"&amp;" a particular user story template can affect user stories’ quality, leading to ambiguity, lack of completeness, or accidental complexity. Our goal was to analyse the differences between 4 alternative user story templates when creating and understanding us"&amp;"er stories. In addition, we used the GenderMag framework to assess the effects of different problem-solving styles, usually associated with gender, while performing the tasks. We conducted a quasi-experiment. We asked 41 participants to perform creation a"&amp;"nd understanding tasks with the different user story templates. We measured their effectiveness using metrics of task success; their speed, with task duration; their visual effort, collected with an eye-tracker; and their perceived effort, with the NASA-T"&amp;"LX questionnaire. We characterised the participants’ problem-solving styles with a GenderMag questionnaire. Regarding the impact of the different templates in creating user stories, we observed statistically significant differences in some of the metrics "&amp;"for effectiveness, speed, and visual effort. We observed small differences in the participants’ visual effort while understanding user stories specified with different templates. Concerning the impact of different problem-solving styles, in the creation t"&amp;"asks, we found differences in time, visual effort, and perceived effort. Regarding understanding tasks, we observed differences in effectiveness, time, and visual effort, but not in their perceived effort. Although some templates outperformed others in a "&amp;"few metrics, no template obtained the best overall result. As such, we found no compelling evidence that one template is “better” than the others. This suggests the recommended template may depend on the goal we want to achieve, e.g., effectiveness or spe"&amp;"ed. The differences associated with the different problem-solving styles also suggest no overall superiority of any of those styles, hinting at a gender-neutral effect of the different templates. These preliminary conclusions should be further consolidate"&amp;"d via the conduction of replications. © 2022, The Author(s), under exclusive licence to Springer-Verlag London Ltd., part of Springer Nature.")</f>
        <v>User stories are often used for elicitation, specification, and prioritisation of requirements. There are several user story templates, varying in their structure (particularly, in the order in which they present their elements), and also in the elements they use (namely, some user story templates include personas, while others do not). The potential benefits and shortcomings of choosing one template over another need to be understood, so that practitioners can make informed choices on the extent to which a particular user story template can affect user stories’ quality, leading to ambiguity, lack of completeness, or accidental complexity. Our goal was to analyse the differences between 4 alternative user story templates when creating and understanding user stories. In addition, we used the GenderMag framework to assess the effects of different problem-solving styles, usually associated with gender, while performing the tasks. We conducted a quasi-experiment. We asked 41 participants to perform creation and understanding tasks with the different user story templates. We measured their effectiveness using metrics of task success; their speed, with task duration; their visual effort, collected with an eye-tracker; and their perceived effort, with the NASA-TLX questionnaire. We characterised the participants’ problem-solving styles with a GenderMag questionnaire. Regarding the impact of the different templates in creating user stories, we observed statistically significant differences in some of the metrics for effectiveness, speed, and visual effort. We observed small differences in the participants’ visual effort while understanding user stories specified with different templates. Concerning the impact of different problem-solving styles, in the creation tasks, we found differences in time, visual effort, and perceived effort. Regarding understanding tasks, we observed differences in effectiveness, time, and visual effort, but not in their perceived effort. Although some templates outperformed others in a few metrics, no template obtained the best overall result. As such, we found no compelling evidence that one template is “better” than the others. This suggests the recommended template may depend on the goal we want to achieve, e.g., effectiveness or speed. The differences associated with the different problem-solving styles also suggest no overall superiority of any of those styles, hinting at a gender-neutral effect of the different templates. These preliminary conclusions should be further consolidated via the conduction of replications. © 2022, The Author(s), under exclusive licence to Springer-Verlag London Ltd., part of Springer Nature.</v>
      </c>
      <c r="H721" s="8" t="str">
        <f>IFERROR(__xludf.DUMMYFUNCTION("""COMPUTED_VALUE"""),"Empirical evaluation; Eye-tracking; GenderMag; User story templates")</f>
        <v>Empirical evaluation; Eye-tracking; GenderMag; User story templates</v>
      </c>
      <c r="I721" s="9" t="b">
        <v>1</v>
      </c>
      <c r="J721" s="9" t="b">
        <v>1</v>
      </c>
      <c r="K721" s="9" t="b">
        <v>1</v>
      </c>
      <c r="L721" s="10" t="b">
        <v>0</v>
      </c>
      <c r="M721" s="10" t="b">
        <v>0</v>
      </c>
      <c r="N721" s="10" t="b">
        <v>0</v>
      </c>
      <c r="O721" s="11" t="b">
        <f t="shared" si="1"/>
        <v>1</v>
      </c>
      <c r="P721" s="16" t="b">
        <v>0</v>
      </c>
      <c r="Q721" s="7"/>
    </row>
    <row r="722">
      <c r="A722" s="5" t="b">
        <v>1</v>
      </c>
      <c r="B722" s="5" t="s">
        <v>766</v>
      </c>
      <c r="C722" s="6" t="str">
        <f>IFERROR(__xludf.DUMMYFUNCTION("""COMPUTED_VALUE"""),"10.1007/s00766-021-00364-2")</f>
        <v>10.1007/s00766-021-00364-2</v>
      </c>
      <c r="D722" s="7" t="str">
        <f>IFERROR(__xludf.DUMMYFUNCTION("""COMPUTED_VALUE"""),"Carvalho R.M.; Andrade R.M.C.; de Oliveira K.M.")</f>
        <v>Carvalho R.M.; Andrade R.M.C.; de Oliveira K.M.</v>
      </c>
      <c r="E722" s="7" t="str">
        <f>IFERROR(__xludf.DUMMYFUNCTION("""COMPUTED_VALUE"""),"Catalog of invisibility correlations for UbiComp and IoT applications")</f>
        <v>Catalog of invisibility correlations for UbiComp and IoT applications</v>
      </c>
      <c r="F722" s="7" t="str">
        <f>IFERROR(__xludf.DUMMYFUNCTION("""COMPUTED_VALUE"""),"REJ")</f>
        <v>REJ</v>
      </c>
      <c r="G722" s="7" t="str">
        <f>IFERROR(__xludf.DUMMYFUNCTION("""COMPUTED_VALUE"""),"The advance of Ubiquitous Computing (UbiComp) and Internet of Things (IoT) brought a new set of Non-Functional Requirements (NFRs), especially related to Human-Computer Interaction (HCI). Invisibility is one of these NFRs and refers to either the merging "&amp;"of technology in the user environment or the decrease in the interaction workload. This new NFR may impact traditional ones (e.g., Usability), revealing positive correlations, when one NFR helps another, and negative correlations, when a procedure favors "&amp;"an NFR but creates difficulty for another one. Correlations between NFRs are usually stored in catalogs, which is a well-defined body of knowledge gathered from previous experience. Although Invisibility has been recently cataloged with development strate"&amp;"gies, the literature still lacks catalogs with correlations for this NFR. Therefore, this work aims at capturing and cataloging invisibility correlations for UbiComp and IoT systems. To do that, we also propose to systematize the definition of correlation"&amp;"s using the following well-defined research methods: Interview, Content Analysis and Questionnaire. As a result, we defined a catalog with 110 positive and negative correlations with 9 NFRs. We evaluated this correlation catalog using a controlled experim"&amp;"ent to verify if it helps developers when they are making decisions about NFRs in UbiComp and IoT systems. Results indicated that the catalog improved the decisions made by the participants. Therefore, this well-defined body of knowledge is useful for sup"&amp;"porting software engineers to select appropriate strategies that satisfy Invisibility and other NFRs related to user interaction. © 2021, The Author(s), under exclusive licence to Springer-Verlag London Ltd., part of Springer Nature.")</f>
        <v>The advance of Ubiquitous Computing (UbiComp) and Internet of Things (IoT) brought a new set of Non-Functional Requirements (NFRs), especially related to Human-Computer Interaction (HCI). Invisibility is one of these NFRs and refers to either the merging of technology in the user environment or the decrease in the interaction workload. This new NFR may impact traditional ones (e.g., Usability), revealing positive correlations, when one NFR helps another, and negative correlations, when a procedure favors an NFR but creates difficulty for another one. Correlations between NFRs are usually stored in catalogs, which is a well-defined body of knowledge gathered from previous experience. Although Invisibility has been recently cataloged with development strategies, the literature still lacks catalogs with correlations for this NFR. Therefore, this work aims at capturing and cataloging invisibility correlations for UbiComp and IoT systems. To do that, we also propose to systematize the definition of correlations using the following well-defined research methods: Interview, Content Analysis and Questionnaire. As a result, we defined a catalog with 110 positive and negative correlations with 9 NFRs. We evaluated this correlation catalog using a controlled experiment to verify if it helps developers when they are making decisions about NFRs in UbiComp and IoT systems. Results indicated that the catalog improved the decisions made by the participants. Therefore, this well-defined body of knowledge is useful for supporting software engineers to select appropriate strategies that satisfy Invisibility and other NFRs related to user interaction. © 2021, The Author(s), under exclusive licence to Springer-Verlag London Ltd., part of Springer Nature.</v>
      </c>
      <c r="H722" s="8" t="str">
        <f>IFERROR(__xludf.DUMMYFUNCTION("""COMPUTED_VALUE"""),"Catalog; Invisibility; Non-functional requirement")</f>
        <v>Catalog; Invisibility; Non-functional requirement</v>
      </c>
      <c r="I722" s="10" t="b">
        <v>0</v>
      </c>
      <c r="J722" s="10" t="b">
        <v>0</v>
      </c>
      <c r="K722" s="10" t="b">
        <v>0</v>
      </c>
      <c r="L722" s="10" t="b">
        <v>0</v>
      </c>
      <c r="M722" s="10" t="b">
        <v>0</v>
      </c>
      <c r="N722" s="10" t="b">
        <v>0</v>
      </c>
      <c r="O722" s="11" t="b">
        <f t="shared" si="1"/>
        <v>0</v>
      </c>
      <c r="P722" s="16" t="b">
        <v>0</v>
      </c>
      <c r="Q722" s="7"/>
    </row>
    <row r="723">
      <c r="A723" s="5" t="b">
        <v>1</v>
      </c>
      <c r="B723" s="5" t="s">
        <v>767</v>
      </c>
      <c r="C723" s="6" t="str">
        <f>IFERROR(__xludf.DUMMYFUNCTION("""COMPUTED_VALUE"""),"10.1007/s00766-010-0112-x")</f>
        <v>10.1007/s00766-010-0112-x</v>
      </c>
      <c r="D723" s="7" t="str">
        <f>IFERROR(__xludf.DUMMYFUNCTION("""COMPUTED_VALUE"""),"Asnar Y.; Giorgini P.; Mylopoulos J.")</f>
        <v>Asnar Y.; Giorgini P.; Mylopoulos J.</v>
      </c>
      <c r="E723" s="7" t="str">
        <f>IFERROR(__xludf.DUMMYFUNCTION("""COMPUTED_VALUE"""),"Goal-driven risk assessment in requirements engineering")</f>
        <v>Goal-driven risk assessment in requirements engineering</v>
      </c>
      <c r="F723" s="7" t="str">
        <f>IFERROR(__xludf.DUMMYFUNCTION("""COMPUTED_VALUE"""),"REJ")</f>
        <v>REJ</v>
      </c>
      <c r="G723" s="7" t="str">
        <f>IFERROR(__xludf.DUMMYFUNCTION("""COMPUTED_VALUE"""),"Risk analysis is traditionally considered a critical activity for the whole software system's lifecycle. Risks are identified by considering technical aspects (e. g., failures of the system, unavailability of services, etc.) and handled by suitable counte"&amp;"rmeasures through a refined design. This, however, introduces the problem of reconsidering system requirements. In this paper, we propose a goal-oriented approach for analyzing risks during the requirements analysis phase. Risks are analyzed along with st"&amp;"akeholder interests, and then countermeasures are identified and introduced as part of the system's requirements. This work extends the Tropos goal modeling formal framework proposing new concepts, qualitative reasoning techniques, and methodological proc"&amp;"edures. The approach is based on a conceptual framework composed of three main layers: assets, events, and treatments. We use ""loan origination process"" case study to illustrate the proposal, and we present and discuss experimental results obtained from"&amp;" the case study. © 2010 Springer-Verlag London Limited.")</f>
        <v>Risk analysis is traditionally considered a critical activity for the whole software system's lifecycle. Risks are identified by considering technical aspects (e. g., failures of the system, unavailability of services, etc.) and handled by suitable countermeasures through a refined design. This, however, introduces the problem of reconsidering system requirements. In this paper, we propose a goal-oriented approach for analyzing risks during the requirements analysis phase. Risks are analyzed along with stakeholder interests, and then countermeasures are identified and introduced as part of the system's requirements. This work extends the Tropos goal modeling formal framework proposing new concepts, qualitative reasoning techniques, and methodological procedures. The approach is based on a conceptual framework composed of three main layers: assets, events, and treatments. We use "loan origination process" case study to illustrate the proposal, and we present and discuss experimental results obtained from the case study. © 2010 Springer-Verlag London Limited.</v>
      </c>
      <c r="H723" s="8" t="str">
        <f>IFERROR(__xludf.DUMMYFUNCTION("""COMPUTED_VALUE"""),"Goal-oriented requirement engineering; Requirement analysis; Risk assessment")</f>
        <v>Goal-oriented requirement engineering; Requirement analysis; Risk assessment</v>
      </c>
      <c r="I723" s="10" t="b">
        <v>0</v>
      </c>
      <c r="J723" s="10" t="b">
        <v>0</v>
      </c>
      <c r="K723" s="10" t="b">
        <v>0</v>
      </c>
      <c r="L723" s="10" t="b">
        <v>0</v>
      </c>
      <c r="M723" s="10" t="b">
        <v>0</v>
      </c>
      <c r="N723" s="10" t="b">
        <v>0</v>
      </c>
      <c r="O723" s="11" t="b">
        <f t="shared" si="1"/>
        <v>0</v>
      </c>
      <c r="P723" s="16" t="b">
        <v>0</v>
      </c>
      <c r="Q723" s="7"/>
    </row>
    <row r="724">
      <c r="A724" s="5" t="b">
        <v>1</v>
      </c>
      <c r="B724" s="5" t="s">
        <v>768</v>
      </c>
      <c r="C724" s="6" t="str">
        <f>IFERROR(__xludf.DUMMYFUNCTION("""COMPUTED_VALUE"""),"10.1007/s00766-020-00334-0")</f>
        <v>10.1007/s00766-020-00334-0</v>
      </c>
      <c r="D724" s="7" t="str">
        <f>IFERROR(__xludf.DUMMYFUNCTION("""COMPUTED_VALUE"""),"Ferrari A.; Spoletini P.; Bano M.; Zowghi D.")</f>
        <v>Ferrari A.; Spoletini P.; Bano M.; Zowghi D.</v>
      </c>
      <c r="E724" s="7" t="str">
        <f>IFERROR(__xludf.DUMMYFUNCTION("""COMPUTED_VALUE"""),"SaPeer and ReverseSaPeer: teaching requirements elicitation interviews with role-playing and role reversal")</f>
        <v>SaPeer and ReverseSaPeer: teaching requirements elicitation interviews with role-playing and role reversal</v>
      </c>
      <c r="F724" s="7" t="str">
        <f>IFERROR(__xludf.DUMMYFUNCTION("""COMPUTED_VALUE"""),"REJ")</f>
        <v>REJ</v>
      </c>
      <c r="G724" s="7" t="str">
        <f>IFERROR(__xludf.DUMMYFUNCTION("""COMPUTED_VALUE"""),"Among the variety of the available requirements elicitation techniques, interviews are the most commonly used. Performing effective interviews is challenging, especially for students and novice analysts, since interviews’ success depends largely on soft s"&amp;"kills and experience. Despite their diffusion and their challenging nature, when it comes to requirements engineering education and training (REET), limited resources and few well-founded pedagogical approaches are available to allow students to acquire a"&amp;"nd improve their skills as interviewers. To overcome this limitation, this paper presents two pedagogical approaches, namely SaPeer and ReverseSaPeer. SaPeer uses role-playing, peer review and self-assessment to enable students to experience first-hand th"&amp;"e difficulties related to the interviewing process, reflect on their mistakes, and improve their interview skills by practice and analysis. ReverseSaPeer builds on the first approach and includes a role reversal activity in which participants play the rol"&amp;"e of a customer interviewed by a competent interviewer. We evaluate the effectiveness of SaPeer through a controlled quasi-experiment, which shows that the proposed approach significantly reduces the amount of mistakes made by the participants and that it"&amp;" is perceived as useful and easy by the participants. ReverseSaPeer and the impact of role reversal are analyzed through a thematic analysis of the participant’s reflections. The analysis shows that not only the students perceive the analysis as beneficia"&amp;"l, but also that they have emotional involvement in learning. This work contributes to the body of knowledge of REET with two methods, quantitative and qualitative evaluated, respectively. Furthermore, we share the pedagogical material used, to enable oth"&amp;"er educators to apply and possibly tailor the approach. © 2020, Springer-Verlag London Ltd., part of Springer Nature.")</f>
        <v>Among the variety of the available requirements elicitation techniques, interviews are the most commonly used. Performing effective interviews is challenging, especially for students and novice analysts, since interviews’ success depends largely on soft skills and experience. Despite their diffusion and their challenging nature, when it comes to requirements engineering education and training (REET), limited resources and few well-founded pedagogical approaches are available to allow students to acquire and improve their skills as interviewers. To overcome this limitation, this paper presents two pedagogical approaches, namely SaPeer and ReverseSaPeer. SaPeer uses role-playing, peer review and self-assessment to enable students to experience first-hand the difficulties related to the interviewing process, reflect on their mistakes, and improve their interview skills by practice and analysis. ReverseSaPeer builds on the first approach and includes a role reversal activity in which participants play the role of a customer interviewed by a competent interviewer. We evaluate the effectiveness of SaPeer through a controlled quasi-experiment, which shows that the proposed approach significantly reduces the amount of mistakes made by the participants and that it is perceived as useful and easy by the participants. ReverseSaPeer and the impact of role reversal are analyzed through a thematic analysis of the participant’s reflections. The analysis shows that not only the students perceive the analysis as beneficial, but also that they have emotional involvement in learning. This work contributes to the body of knowledge of REET with two methods, quantitative and qualitative evaluated, respectively. Furthermore, we share the pedagogical material used, to enable other educators to apply and possibly tailor the approach. © 2020, Springer-Verlag London Ltd., part of Springer Nature.</v>
      </c>
      <c r="H724" s="8" t="str">
        <f>IFERROR(__xludf.DUMMYFUNCTION("""COMPUTED_VALUE"""),"Interviews; Peer review; REET; Requirements elicitation; Role-playing; Self-assessment")</f>
        <v>Interviews; Peer review; REET; Requirements elicitation; Role-playing; Self-assessment</v>
      </c>
      <c r="I724" s="9" t="b">
        <v>1</v>
      </c>
      <c r="J724" s="9" t="b">
        <v>1</v>
      </c>
      <c r="K724" s="10" t="b">
        <v>0</v>
      </c>
      <c r="L724" s="10" t="b">
        <v>0</v>
      </c>
      <c r="M724" s="10" t="b">
        <v>0</v>
      </c>
      <c r="N724" s="10" t="b">
        <v>0</v>
      </c>
      <c r="O724" s="11" t="b">
        <f t="shared" si="1"/>
        <v>0</v>
      </c>
      <c r="P724" s="16" t="b">
        <v>0</v>
      </c>
      <c r="Q724" s="7"/>
    </row>
    <row r="725">
      <c r="A725" s="5" t="b">
        <v>1</v>
      </c>
      <c r="B725" s="5" t="s">
        <v>769</v>
      </c>
      <c r="C725" s="6" t="str">
        <f>IFERROR(__xludf.DUMMYFUNCTION("""COMPUTED_VALUE"""),"10.1007/s00766-013-0199-y")</f>
        <v>10.1007/s00766-013-0199-y</v>
      </c>
      <c r="D725" s="7" t="str">
        <f>IFERROR(__xludf.DUMMYFUNCTION("""COMPUTED_VALUE"""),"Mahmoud A.; Niu N.")</f>
        <v>Mahmoud A.; Niu N.</v>
      </c>
      <c r="E725" s="7" t="str">
        <f>IFERROR(__xludf.DUMMYFUNCTION("""COMPUTED_VALUE"""),"On the role of semantics in automated requirements tracing")</f>
        <v>On the role of semantics in automated requirements tracing</v>
      </c>
      <c r="F725" s="7" t="str">
        <f>IFERROR(__xludf.DUMMYFUNCTION("""COMPUTED_VALUE"""),"REJ")</f>
        <v>REJ</v>
      </c>
      <c r="G725" s="7" t="str">
        <f>IFERROR(__xludf.DUMMYFUNCTION("""COMPUTED_VALUE"""),"In this paper, we investigate the potential benefits of utilizing natural language semantics in automated traceability link retrieval. In particular,we evaluate the performance of a wide spectrum of semantically enabled information retrieval methods in ca"&amp;"pturing and presenting requirements traceability links in software systems. Our objectives are to gain more operational insights into these methods and to provide practical guidelines for the design and development of effective requirements tracing and ma"&amp;"nagement tools. To achieve our research objectives, we conduct an experimental analysis using three datasets from various application domains. Results show that considering more semantic relations in traceability link retrieval does not necessarily lead t"&amp;"o higher quality results. Instead, a more focused semantic support, that targets specific semantic relations, is expected to have a greater impact on the overall performance of tracing tools. In addition, our analysis shows that explicit semantic methods,"&amp;" that exploit local or domain-specific sources of knowledge, often achieve a more satisfactory performance than latent methods, or methods that derive semantics from external or general-purpose knowledge sources. © Springer-Verlag London 2014.")</f>
        <v>In this paper, we investigate the potential benefits of utilizing natural language semantics in automated traceability link retrieval. In particular,we evaluate the performance of a wide spectrum of semantically enabled information retrieval methods in capturing and presenting requirements traceability links in software systems. Our objectives are to gain more operational insights into these methods and to provide practical guidelines for the design and development of effective requirements tracing and management tools. To achieve our research objectives, we conduct an experimental analysis using three datasets from various application domains. Results show that considering more semantic relations in traceability link retrieval does not necessarily lead to higher quality results. Instead, a more focused semantic support, that targets specific semantic relations, is expected to have a greater impact on the overall performance of tracing tools. In addition, our analysis shows that explicit semantic methods, that exploit local or domain-specific sources of knowledge, often achieve a more satisfactory performance than latent methods, or methods that derive semantics from external or general-purpose knowledge sources. © Springer-Verlag London 2014.</v>
      </c>
      <c r="H725" s="8" t="str">
        <f>IFERROR(__xludf.DUMMYFUNCTION("""COMPUTED_VALUE"""),"Information retrieval; Semantics; Traceability")</f>
        <v>Information retrieval; Semantics; Traceability</v>
      </c>
      <c r="I725" s="10" t="b">
        <v>0</v>
      </c>
      <c r="J725" s="10" t="b">
        <v>0</v>
      </c>
      <c r="K725" s="10" t="b">
        <v>0</v>
      </c>
      <c r="L725" s="10" t="b">
        <v>0</v>
      </c>
      <c r="M725" s="10" t="b">
        <v>0</v>
      </c>
      <c r="N725" s="10" t="b">
        <v>0</v>
      </c>
      <c r="O725" s="11" t="b">
        <f t="shared" si="1"/>
        <v>0</v>
      </c>
      <c r="P725" s="16" t="b">
        <v>0</v>
      </c>
      <c r="Q725" s="7"/>
    </row>
    <row r="726">
      <c r="A726" s="5" t="b">
        <v>1</v>
      </c>
      <c r="B726" s="5" t="s">
        <v>770</v>
      </c>
      <c r="C726" s="6" t="str">
        <f>IFERROR(__xludf.DUMMYFUNCTION("""COMPUTED_VALUE"""),"10.1007/s00766-008-0063-7")</f>
        <v>10.1007/s00766-008-0063-7</v>
      </c>
      <c r="D726" s="7" t="str">
        <f>IFERROR(__xludf.DUMMYFUNCTION("""COMPUTED_VALUE"""),"Kiyavitskaya N.; Zeni N.; Mich L.; Berry D.M.")</f>
        <v>Kiyavitskaya N.; Zeni N.; Mich L.; Berry D.M.</v>
      </c>
      <c r="E726" s="7" t="str">
        <f>IFERROR(__xludf.DUMMYFUNCTION("""COMPUTED_VALUE"""),"Requirements for tools for ambiguity identification and measurement in natural language requirements specifications")</f>
        <v>Requirements for tools for ambiguity identification and measurement in natural language requirements specifications</v>
      </c>
      <c r="F726" s="7" t="str">
        <f>IFERROR(__xludf.DUMMYFUNCTION("""COMPUTED_VALUE"""),"REJ")</f>
        <v>REJ</v>
      </c>
      <c r="G726" s="7" t="str">
        <f>IFERROR(__xludf.DUMMYFUNCTION("""COMPUTED_VALUE"""),"This paper proposes a two-step approach to identifying ambiguities in natural language (NL) requirements specifications (RSs). In the first step, a tool would apply a set of ambiguity measures to a RS in order to identify potentially ambiguous sentences i"&amp;"n the RS. In the second step, another tool would show what specifically is potentially ambiguous about each potentially ambiguous sentence. The final decision of ambiguity remains with the human users of the tools. The paper describes several requirements"&amp;"-identification experiments with several small NL RSs using four prototypes of the first tool based on linguistic instruments and resources of different complexity and a manual mock-up of the second tool. © Springer-Verlag London Limited 2008.")</f>
        <v>This paper proposes a two-step approach to identifying ambiguities in natural language (NL) requirements specifications (RSs). In the first step, a tool would apply a set of ambiguity measures to a RS in order to identify potentially ambiguous sentences in the RS. In the second step, another tool would show what specifically is potentially ambiguous about each potentially ambiguous sentence. The final decision of ambiguity remains with the human users of the tools. The paper describes several requirements-identification experiments with several small NL RSs using four prototypes of the first tool based on linguistic instruments and resources of different complexity and a manual mock-up of the second tool. © Springer-Verlag London Limited 2008.</v>
      </c>
      <c r="H726" s="8" t="str">
        <f>IFERROR(__xludf.DUMMYFUNCTION("""COMPUTED_VALUE"""),"Ambiguity identification; Disambiguation; Natural language processing; Natural langugage; Prototype tools; Requirements specification tools; Requirements-identification experiments; Requirements-identification prototype")</f>
        <v>Ambiguity identification; Disambiguation; Natural language processing; Natural langugage; Prototype tools; Requirements specification tools; Requirements-identification experiments; Requirements-identification prototype</v>
      </c>
      <c r="I726" s="10" t="b">
        <v>0</v>
      </c>
      <c r="J726" s="10" t="b">
        <v>0</v>
      </c>
      <c r="K726" s="10" t="b">
        <v>0</v>
      </c>
      <c r="L726" s="10" t="b">
        <v>0</v>
      </c>
      <c r="M726" s="10" t="b">
        <v>0</v>
      </c>
      <c r="N726" s="10" t="b">
        <v>0</v>
      </c>
      <c r="O726" s="11" t="b">
        <f t="shared" si="1"/>
        <v>0</v>
      </c>
      <c r="P726" s="16" t="b">
        <v>0</v>
      </c>
      <c r="Q726" s="7"/>
    </row>
    <row r="727">
      <c r="A727" s="5" t="b">
        <v>1</v>
      </c>
      <c r="B727" s="5" t="s">
        <v>771</v>
      </c>
      <c r="C727" s="6" t="str">
        <f>IFERROR(__xludf.DUMMYFUNCTION("""COMPUTED_VALUE"""),"10.1007/s00766-021-00358-0")</f>
        <v>10.1007/s00766-021-00358-0</v>
      </c>
      <c r="D727" s="7" t="str">
        <f>IFERROR(__xludf.DUMMYFUNCTION("""COMPUTED_VALUE"""),"Barrett D.; Mazzuchi T.; Sarkani S.")</f>
        <v>Barrett D.; Mazzuchi T.; Sarkani S.</v>
      </c>
      <c r="E727" s="7" t="str">
        <f>IFERROR(__xludf.DUMMYFUNCTION("""COMPUTED_VALUE"""),"A quantitative comparison of the effects of modeling approaches on system verification using a controlled challenge problem")</f>
        <v>A quantitative comparison of the effects of modeling approaches on system verification using a controlled challenge problem</v>
      </c>
      <c r="F727" s="7" t="str">
        <f>IFERROR(__xludf.DUMMYFUNCTION("""COMPUTED_VALUE"""),"REJ")</f>
        <v>REJ</v>
      </c>
      <c r="G727" s="7" t="str">
        <f>IFERROR(__xludf.DUMMYFUNCTION("""COMPUTED_VALUE"""),"To reduce program risks, engineering methods capitalizing on modeling and machine assistance have been extensively investigated within systems engineering (and more specifically requirements engineering) literature over the past 20 years. However, there a"&amp;"re few quantitative comparisons between model-based approaches and legacy document-centric approaches. Studies have shown that the lack of data regarding improvements of modeling has decelerated the adoption of model-based practices. To help address this "&amp;"gap, the authors conducted a screening experiment to compare the effects of modeling on an engineer’s ability to determine if a system has met its originating requirements. First, a notional acquisition program was created based on an unmanned aerial syst"&amp;"em, including originating requirements as well as both document and model-based design artifacts. Requirements were captured in both a traditional requirements document and a goal oriented requirements engineering model. System implementation data were ca"&amp;"pturing in both traditional document artifacts and a SysML model. Participants of varying experience levels used randomized combinations of document and model-based approaches to determine whether the notional system met its requirements. The experiment m"&amp;"easured the review duration and accuracy, permitting analysis of the effects of model-based approaches for both requirements and system implementation data. The results of the experiment showed that use of a requirements model did not statistically effect"&amp;" the review. A system implementation model was shown to improve novice participants’ reviews, but did not statistically effect experienced participants. The results of this study should inform future research on the use of models, particularly the return "&amp;"on the modeling investment. © 2021, The Author(s), under exclusive licence to Springer-Verlag London Ltd., part of Springer Nature.")</f>
        <v>To reduce program risks, engineering methods capitalizing on modeling and machine assistance have been extensively investigated within systems engineering (and more specifically requirements engineering) literature over the past 20 years. However, there are few quantitative comparisons between model-based approaches and legacy document-centric approaches. Studies have shown that the lack of data regarding improvements of modeling has decelerated the adoption of model-based practices. To help address this gap, the authors conducted a screening experiment to compare the effects of modeling on an engineer’s ability to determine if a system has met its originating requirements. First, a notional acquisition program was created based on an unmanned aerial system, including originating requirements as well as both document and model-based design artifacts. Requirements were captured in both a traditional requirements document and a goal oriented requirements engineering model. System implementation data were capturing in both traditional document artifacts and a SysML model. Participants of varying experience levels used randomized combinations of document and model-based approaches to determine whether the notional system met its requirements. The experiment measured the review duration and accuracy, permitting analysis of the effects of model-based approaches for both requirements and system implementation data. The results of the experiment showed that use of a requirements model did not statistically effect the review. A system implementation model was shown to improve novice participants’ reviews, but did not statistically effect experienced participants. The results of this study should inform future research on the use of models, particularly the return on the modeling investment. © 2021, The Author(s), under exclusive licence to Springer-Verlag London Ltd., part of Springer Nature.</v>
      </c>
      <c r="H727" s="8" t="str">
        <f>IFERROR(__xludf.DUMMYFUNCTION("""COMPUTED_VALUE"""),"Goal oriented requirements engineering; Model-based systems engineering; Requirements engineering; Requirements model; SysML")</f>
        <v>Goal oriented requirements engineering; Model-based systems engineering; Requirements engineering; Requirements model; SysML</v>
      </c>
      <c r="I727" s="9" t="b">
        <v>1</v>
      </c>
      <c r="J727" s="9" t="b">
        <v>1</v>
      </c>
      <c r="K727" s="9" t="b">
        <v>1</v>
      </c>
      <c r="L727" s="10" t="b">
        <v>0</v>
      </c>
      <c r="M727" s="10" t="b">
        <v>0</v>
      </c>
      <c r="N727" s="10" t="b">
        <v>0</v>
      </c>
      <c r="O727" s="11" t="b">
        <f t="shared" si="1"/>
        <v>1</v>
      </c>
      <c r="P727" s="16" t="b">
        <v>0</v>
      </c>
      <c r="Q727" s="7"/>
    </row>
    <row r="728">
      <c r="A728" s="5" t="b">
        <v>1</v>
      </c>
      <c r="B728" s="5" t="s">
        <v>772</v>
      </c>
      <c r="C728" s="6" t="str">
        <f>IFERROR(__xludf.DUMMYFUNCTION("""COMPUTED_VALUE"""),"10.1007/s00766-021-00360-6")</f>
        <v>10.1007/s00766-021-00360-6</v>
      </c>
      <c r="D728" s="7" t="str">
        <f>IFERROR(__xludf.DUMMYFUNCTION("""COMPUTED_VALUE"""),"Kaufmann A.; Krause J.; Harutyunyan N.; Barcomb A.; Riehle D.")</f>
        <v>Kaufmann A.; Krause J.; Harutyunyan N.; Barcomb A.; Riehle D.</v>
      </c>
      <c r="E728" s="7" t="str">
        <f>IFERROR(__xludf.DUMMYFUNCTION("""COMPUTED_VALUE"""),"A validation of QDAcity-RE for domain modeling using qualitative data analysis")</f>
        <v>A validation of QDAcity-RE for domain modeling using qualitative data analysis</v>
      </c>
      <c r="F728" s="7" t="str">
        <f>IFERROR(__xludf.DUMMYFUNCTION("""COMPUTED_VALUE"""),"REJ")</f>
        <v>REJ</v>
      </c>
      <c r="G728" s="7" t="str">
        <f>IFERROR(__xludf.DUMMYFUNCTION("""COMPUTED_VALUE"""),"Using qualitative data analysis (QDA) to perform domain analysis and modeling has shown great promise. Yet, the evaluation of such approaches has been limited to single-case case studies. While these exploratory cases are valuable for an initial assessmen"&amp;"t, the evaluation of the efficacy of QDA to solve the suggested problems is restricted by the common single-case case study research design. Using our own method, called QDAcity-RE, as the example, we present an in-depth empirical evaluation of employing "&amp;"qualitative data analysis for domain modeling using a controlled experiment design. Our controlled experiment shows that the QDA-based method leads to a deeper and richer set of domain concepts discovered from the data, while also being more time efficien"&amp;"t than the control group using a comparable non-QDA-based method with the same level of traceability. © 2021, The Author(s).")</f>
        <v>Using qualitative data analysis (QDA) to perform domain analysis and modeling has shown great promise. Yet, the evaluation of such approaches has been limited to single-case case studies. While these exploratory cases are valuable for an initial assessment, the evaluation of the efficacy of QDA to solve the suggested problems is restricted by the common single-case case study research design. Using our own method, called QDAcity-RE, as the example, we present an in-depth empirical evaluation of employing qualitative data analysis for domain modeling using a controlled experiment design. Our controlled experiment shows that the QDA-based method leads to a deeper and richer set of domain concepts discovered from the data, while also being more time efficient than the control group using a comparable non-QDA-based method with the same level of traceability. © 2021, The Author(s).</v>
      </c>
      <c r="H728" s="8" t="str">
        <f>IFERROR(__xludf.DUMMYFUNCTION("""COMPUTED_VALUE"""),"Controlled experiment; Domain model; Domain modeling; Qualitative data analysis; Requirements engineering")</f>
        <v>Controlled experiment; Domain model; Domain modeling; Qualitative data analysis; Requirements engineering</v>
      </c>
      <c r="I728" s="9" t="b">
        <v>1</v>
      </c>
      <c r="J728" s="9" t="b">
        <v>1</v>
      </c>
      <c r="K728" s="9" t="b">
        <v>0</v>
      </c>
      <c r="L728" s="10" t="b">
        <v>0</v>
      </c>
      <c r="M728" s="10" t="b">
        <v>0</v>
      </c>
      <c r="N728" s="10" t="b">
        <v>0</v>
      </c>
      <c r="O728" s="11" t="b">
        <f t="shared" si="1"/>
        <v>0</v>
      </c>
      <c r="P728" s="12" t="b">
        <v>0</v>
      </c>
      <c r="Q728" s="7"/>
    </row>
    <row r="729">
      <c r="A729" s="5" t="b">
        <v>1</v>
      </c>
      <c r="B729" s="5" t="s">
        <v>773</v>
      </c>
      <c r="C729" s="6" t="str">
        <f>IFERROR(__xludf.DUMMYFUNCTION("""COMPUTED_VALUE"""),"10.1007/s00766-012-0158-z")</f>
        <v>10.1007/s00766-012-0158-z</v>
      </c>
      <c r="D729" s="7" t="str">
        <f>IFERROR(__xludf.DUMMYFUNCTION("""COMPUTED_VALUE"""),"Gorla N.; Chiravuri A.; Meso P.")</f>
        <v>Gorla N.; Chiravuri A.; Meso P.</v>
      </c>
      <c r="E729" s="7" t="str">
        <f>IFERROR(__xludf.DUMMYFUNCTION("""COMPUTED_VALUE"""),"Effect of personality type on structured tool comprehension performance")</f>
        <v>Effect of personality type on structured tool comprehension performance</v>
      </c>
      <c r="F729" s="7" t="str">
        <f>IFERROR(__xludf.DUMMYFUNCTION("""COMPUTED_VALUE"""),"REJ")</f>
        <v>REJ</v>
      </c>
      <c r="G729" s="7" t="str">
        <f>IFERROR(__xludf.DUMMYFUNCTION("""COMPUTED_VALUE"""),"Accurate understanding of software requirements by end users and software developers is important to ensure a high quality software product. While comprehension performance on systems analysis tools has been studied in the past, there is little research t"&amp;"hat examined the influence of personality type of an individual on his/her performance. This paper has two objectives. First, the research uncovers the relationships between personality types (introvert/extrovert, sensing/intuitive, feeling/thinking, and "&amp;"perceptive/judging) and comprehension performance (accuracy and speed) of users/developers using the structured tools: Decision Tables (DT), Nassi-Schneiderman Charts (NS) and Structured English (SE). Second, it examines the trade-offs between comprehensi"&amp;"on accuracy and speed for each personality type. Using laboratory experiments, we measured individual performance with the three structured tools. We found that introverts and feeling personalities comprehended more accurately with DT; thinking and intuit"&amp;"ive personalities comprehended more accurately with NS and SE. The comprehension accuracy increased with time more for SE than for DT and NS. The results show the most suitable combinations of structured tools and personality types for high comprehension."&amp;" The results also provide guidelines to managers with tight project schedules, such as structured tools that are easier/faster to understand and the matching personalities who can comprehend faster. © 2012 Springer-Verlag London Limited.")</f>
        <v>Accurate understanding of software requirements by end users and software developers is important to ensure a high quality software product. While comprehension performance on systems analysis tools has been studied in the past, there is little research that examined the influence of personality type of an individual on his/her performance. This paper has two objectives. First, the research uncovers the relationships between personality types (introvert/extrovert, sensing/intuitive, feeling/thinking, and perceptive/judging) and comprehension performance (accuracy and speed) of users/developers using the structured tools: Decision Tables (DT), Nassi-Schneiderman Charts (NS) and Structured English (SE). Second, it examines the trade-offs between comprehension accuracy and speed for each personality type. Using laboratory experiments, we measured individual performance with the three structured tools. We found that introverts and feeling personalities comprehended more accurately with DT; thinking and intuitive personalities comprehended more accurately with NS and SE. The comprehension accuracy increased with time more for SE than for DT and NS. The results show the most suitable combinations of structured tools and personality types for high comprehension. The results also provide guidelines to managers with tight project schedules, such as structured tools that are easier/faster to understand and the matching personalities who can comprehend faster. © 2012 Springer-Verlag London Limited.</v>
      </c>
      <c r="H729" s="8" t="str">
        <f>IFERROR(__xludf.DUMMYFUNCTION("""COMPUTED_VALUE"""),"Comprehension accuracy; Comprehension speed; Personality type; Structured tools; Systems analysis")</f>
        <v>Comprehension accuracy; Comprehension speed; Personality type; Structured tools; Systems analysis</v>
      </c>
      <c r="I729" s="9" t="b">
        <v>1</v>
      </c>
      <c r="J729" s="9" t="b">
        <v>1</v>
      </c>
      <c r="K729" s="9" t="b">
        <v>1</v>
      </c>
      <c r="L729" s="10" t="b">
        <v>0</v>
      </c>
      <c r="M729" s="10" t="b">
        <v>0</v>
      </c>
      <c r="N729" s="10" t="b">
        <v>0</v>
      </c>
      <c r="O729" s="11" t="b">
        <f t="shared" si="1"/>
        <v>1</v>
      </c>
      <c r="P729" s="16" t="b">
        <v>0</v>
      </c>
      <c r="Q729" s="7"/>
    </row>
    <row r="730">
      <c r="A730" s="5" t="b">
        <v>1</v>
      </c>
      <c r="B730" s="5" t="s">
        <v>774</v>
      </c>
      <c r="C730" s="6" t="str">
        <f>IFERROR(__xludf.DUMMYFUNCTION("""COMPUTED_VALUE"""),"10.1007/s00766-021-00354-4")</f>
        <v>10.1007/s00766-021-00354-4</v>
      </c>
      <c r="D730" s="7" t="str">
        <f>IFERROR(__xludf.DUMMYFUNCTION("""COMPUTED_VALUE"""),"Gren L.; Berntsson Svensson R.")</f>
        <v>Gren L.; Berntsson Svensson R.</v>
      </c>
      <c r="E730" s="7" t="str">
        <f>IFERROR(__xludf.DUMMYFUNCTION("""COMPUTED_VALUE"""),"Correction to: Is it possible to disregard obsolete requirements? A family of experiments in software effort estimation (Requirements Engineering, (2021), 26, 3, (459-480), 10.1007/s00766-021-00351-7)")</f>
        <v>Correction to: Is it possible to disregard obsolete requirements? A family of experiments in software effort estimation (Requirements Engineering, (2021), 26, 3, (459-480), 10.1007/s00766-021-00351-7)</v>
      </c>
      <c r="F730" s="7" t="str">
        <f>IFERROR(__xludf.DUMMYFUNCTION("""COMPUTED_VALUE"""),"REJ")</f>
        <v>REJ</v>
      </c>
      <c r="G730" s="7" t="str">
        <f>IFERROR(__xludf.DUMMYFUNCTION("""COMPUTED_VALUE"""),"In the original publication of the article, the affiliation of author Lucas Gren has been incorrectly published. The correct affiliation should read as below: 1: Blekinge Institute of Technology, Karlskrona, Sweden. 2: Volvo Cars, Gothenburg, Sweden. 3: C"&amp;"halmers and The University of Gothenburg, Gothenburg, Sweden. The original article has been corrected. © 2021, Springer-Verlag London Ltd., part of Springer Nature.")</f>
        <v>In the original publication of the article, the affiliation of author Lucas Gren has been incorrectly published. The correct affiliation should read as below: 1: Blekinge Institute of Technology, Karlskrona, Sweden. 2: Volvo Cars, Gothenburg, Sweden. 3: Chalmers and The University of Gothenburg, Gothenburg, Sweden. The original article has been corrected. © 2021, Springer-Verlag London Ltd., part of Springer Nature.</v>
      </c>
      <c r="H730" s="8"/>
      <c r="I730" s="10" t="b">
        <v>0</v>
      </c>
      <c r="J730" s="10" t="b">
        <v>0</v>
      </c>
      <c r="K730" s="10" t="b">
        <v>0</v>
      </c>
      <c r="L730" s="10" t="b">
        <v>0</v>
      </c>
      <c r="M730" s="10" t="b">
        <v>0</v>
      </c>
      <c r="N730" s="10" t="b">
        <v>0</v>
      </c>
      <c r="O730" s="11" t="b">
        <f t="shared" si="1"/>
        <v>0</v>
      </c>
      <c r="P730" s="16" t="b">
        <v>0</v>
      </c>
      <c r="Q730" s="7"/>
    </row>
    <row r="731">
      <c r="A731" s="5" t="b">
        <v>1</v>
      </c>
      <c r="B731" s="5" t="s">
        <v>775</v>
      </c>
      <c r="C731" s="6" t="str">
        <f>IFERROR(__xludf.DUMMYFUNCTION("""COMPUTED_VALUE"""),"10.1007/s00766-017-0275-9")</f>
        <v>10.1007/s00766-017-0275-9</v>
      </c>
      <c r="D731" s="7" t="str">
        <f>IFERROR(__xludf.DUMMYFUNCTION("""COMPUTED_VALUE"""),"Bera P.; Burton-Jones A.; Wand Y.")</f>
        <v>Bera P.; Burton-Jones A.; Wand Y.</v>
      </c>
      <c r="E731" s="7" t="str">
        <f>IFERROR(__xludf.DUMMYFUNCTION("""COMPUTED_VALUE"""),"Improving the representation of roles in conceptual modeling: theory, method, and evidence")</f>
        <v>Improving the representation of roles in conceptual modeling: theory, method, and evidence</v>
      </c>
      <c r="F731" s="7" t="str">
        <f>IFERROR(__xludf.DUMMYFUNCTION("""COMPUTED_VALUE"""),"REJ")</f>
        <v>REJ</v>
      </c>
      <c r="G731" s="7" t="str">
        <f>IFERROR(__xludf.DUMMYFUNCTION("""COMPUTED_VALUE"""),"Conceptual models represent the Organizational domain for which an information system is developed. These models are important tools in defining the requirements for the system. When describing an Organization or part of it, a key concept is the notion of"&amp;" roles played by actors in the domain. Actors in an Organization act in various roles, hence, showing that roles in a conceptual model can promote understanding of how the Organization works. However, despite the importance of roles in understanding Organ"&amp;"izations and their prevalence in various aspects of information systems development, no consensus exists on what roles are, or how to represent them in conceptual models. In this paper, we formally define role as a conceptual modeling construct based on l"&amp;"iterature analysis, ontological concepts, and principles of classification. Using this definition, we derive guidelines for representing roles in conceptual models and suggest rules for modeling roles with the widely used extended entity-relationship gram"&amp;"mar. Finally, we test the effectiveness of the modeling rules by conducting an experimental study to compare the domain understanding of readers using two types of conceptual modeling scripts. One script was obtained by violating the rules and the other b"&amp;"y not violating the rules. We obtained data on domain understanding (using problem-solving questions) and on the process of understanding (using eye tracking). The results indicate that the role-based rules are not only useful for understanding the models"&amp;" but also provide direct clues as to why this is so. © 2017, Springer-Verlag London Ltd.")</f>
        <v>Conceptual models represent the Organizational domain for which an information system is developed. These models are important tools in defining the requirements for the system. When describing an Organization or part of it, a key concept is the notion of roles played by actors in the domain. Actors in an Organization act in various roles, hence, showing that roles in a conceptual model can promote understanding of how the Organization works. However, despite the importance of roles in understanding Organizations and their prevalence in various aspects of information systems development, no consensus exists on what roles are, or how to represent them in conceptual models. In this paper, we formally define role as a conceptual modeling construct based on literature analysis, ontological concepts, and principles of classification. Using this definition, we derive guidelines for representing roles in conceptual models and suggest rules for modeling roles with the widely used extended entity-relationship grammar. Finally, we test the effectiveness of the modeling rules by conducting an experimental study to compare the domain understanding of readers using two types of conceptual modeling scripts. One script was obtained by violating the rules and the other by not violating the rules. We obtained data on domain understanding (using problem-solving questions) and on the process of understanding (using eye tracking). The results indicate that the role-based rules are not only useful for understanding the models but also provide direct clues as to why this is so. © 2017, Springer-Verlag London Ltd.</v>
      </c>
      <c r="H731" s="8" t="str">
        <f>IFERROR(__xludf.DUMMYFUNCTION("""COMPUTED_VALUE"""),"Conceptual models; EER; Eye tracking; Roles")</f>
        <v>Conceptual models; EER; Eye tracking; Roles</v>
      </c>
      <c r="I731" s="9" t="b">
        <v>1</v>
      </c>
      <c r="J731" s="9" t="b">
        <v>1</v>
      </c>
      <c r="K731" s="9" t="b">
        <v>1</v>
      </c>
      <c r="L731" s="10" t="b">
        <v>0</v>
      </c>
      <c r="M731" s="10" t="b">
        <v>0</v>
      </c>
      <c r="N731" s="10" t="b">
        <v>0</v>
      </c>
      <c r="O731" s="11" t="b">
        <f t="shared" si="1"/>
        <v>1</v>
      </c>
      <c r="P731" s="16" t="b">
        <v>0</v>
      </c>
      <c r="Q731" s="7"/>
    </row>
    <row r="732">
      <c r="A732" s="5" t="b">
        <v>1</v>
      </c>
      <c r="B732" s="5" t="s">
        <v>776</v>
      </c>
      <c r="C732" s="6" t="str">
        <f>IFERROR(__xludf.DUMMYFUNCTION("""COMPUTED_VALUE"""),"10.1007/s00766-011-0116-1")</f>
        <v>10.1007/s00766-011-0116-1</v>
      </c>
      <c r="D732" s="7" t="str">
        <f>IFERROR(__xludf.DUMMYFUNCTION("""COMPUTED_VALUE"""),"Pires P.F.; Delicato F.C.; Cóbe R.; Batista T.; Davis J.G.; Song J.H.")</f>
        <v>Pires P.F.; Delicato F.C.; Cóbe R.; Batista T.; Davis J.G.; Song J.H.</v>
      </c>
      <c r="E732" s="7" t="str">
        <f>IFERROR(__xludf.DUMMYFUNCTION("""COMPUTED_VALUE"""),"Integrating ontologies, model driven, and CNL in a multi-viewed approach for requirements engineering")</f>
        <v>Integrating ontologies, model driven, and CNL in a multi-viewed approach for requirements engineering</v>
      </c>
      <c r="F732" s="7" t="str">
        <f>IFERROR(__xludf.DUMMYFUNCTION("""COMPUTED_VALUE"""),"REJ")</f>
        <v>REJ</v>
      </c>
      <c r="G732" s="7" t="str">
        <f>IFERROR(__xludf.DUMMYFUNCTION("""COMPUTED_VALUE"""),"Research in requirements engineering (RE) has been growing in the last few years. RE researchers are generally concerned with a set of open issues such as: (i) the need for a well-defined process to identify and specify the requirements scope, (ii) suitab"&amp;"le mechanisms to support communication among different stakeholders and development teams involved in the RE process, (iii) mechanisms to deal with the inherent volatility of requirements, and (iv) the need for a traceability scheme to help managing requi"&amp;"rements in the downstream phases of the development process. In this work, we address some of these open issues by proposing the use of an iterative and incremental model-driven RE process combined with the employment of different notations such as contro"&amp;"lled natural language and ontology in each activity of RE process. Based on the argument that there is no single notation suitable to represent requirements from the different perspectives of all the stakeholders and development teams, we propose a RE pro"&amp;"cess encompassing different views, representing each perspective. This paper describes the proposed process, its tool support, and presents a controlled experiment that illustrates the proposal and evaluates its benefits. © 2011 Springer-Verlag London Lim"&amp;"ited.")</f>
        <v>Research in requirements engineering (RE) has been growing in the last few years. RE researchers are generally concerned with a set of open issues such as: (i) the need for a well-defined process to identify and specify the requirements scope, (ii) suitable mechanisms to support communication among different stakeholders and development teams involved in the RE process, (iii) mechanisms to deal with the inherent volatility of requirements, and (iv) the need for a traceability scheme to help managing requirements in the downstream phases of the development process. In this work, we address some of these open issues by proposing the use of an iterative and incremental model-driven RE process combined with the employment of different notations such as controlled natural language and ontology in each activity of RE process. Based on the argument that there is no single notation suitable to represent requirements from the different perspectives of all the stakeholders and development teams, we propose a RE process encompassing different views, representing each perspective. This paper describes the proposed process, its tool support, and presents a controlled experiment that illustrates the proposal and evaluates its benefits. © 2011 Springer-Verlag London Limited.</v>
      </c>
      <c r="H732" s="8" t="str">
        <f>IFERROR(__xludf.DUMMYFUNCTION("""COMPUTED_VALUE"""),"Controlled natural language; MDA; Model-driven development; Ontology; Requirement engineering process")</f>
        <v>Controlled natural language; MDA; Model-driven development; Ontology; Requirement engineering process</v>
      </c>
      <c r="I732" s="9" t="b">
        <v>1</v>
      </c>
      <c r="J732" s="9" t="b">
        <v>1</v>
      </c>
      <c r="K732" s="9" t="b">
        <v>0</v>
      </c>
      <c r="L732" s="10" t="b">
        <v>0</v>
      </c>
      <c r="M732" s="10" t="b">
        <v>0</v>
      </c>
      <c r="N732" s="10" t="b">
        <v>0</v>
      </c>
      <c r="O732" s="11" t="b">
        <f t="shared" si="1"/>
        <v>0</v>
      </c>
      <c r="P732" s="12" t="b">
        <v>0</v>
      </c>
      <c r="Q732" s="13"/>
    </row>
    <row r="733">
      <c r="A733" s="5" t="b">
        <v>1</v>
      </c>
      <c r="B733" s="5" t="s">
        <v>777</v>
      </c>
      <c r="C733" s="6" t="str">
        <f>IFERROR(__xludf.DUMMYFUNCTION("""COMPUTED_VALUE"""),"10.1007/s00766-007-0045-1")</f>
        <v>10.1007/s00766-007-0045-1</v>
      </c>
      <c r="D733" s="7" t="str">
        <f>IFERROR(__xludf.DUMMYFUNCTION("""COMPUTED_VALUE"""),"Cleland-Huang J.; Settimi R.; Zou X.; Solc P.")</f>
        <v>Cleland-Huang J.; Settimi R.; Zou X.; Solc P.</v>
      </c>
      <c r="E733" s="7" t="str">
        <f>IFERROR(__xludf.DUMMYFUNCTION("""COMPUTED_VALUE"""),"Automated classification of non-functional requirements")</f>
        <v>Automated classification of non-functional requirements</v>
      </c>
      <c r="F733" s="7" t="str">
        <f>IFERROR(__xludf.DUMMYFUNCTION("""COMPUTED_VALUE"""),"REJ")</f>
        <v>REJ</v>
      </c>
      <c r="G733" s="7" t="str">
        <f>IFERROR(__xludf.DUMMYFUNCTION("""COMPUTED_VALUE"""),"This paper describes a technique for automating the detection and classification of non-functional requirements related to properties such as security, performance, and usability. Early detection of non-functional requirements enables them to be incorpora"&amp;"ted into the initial architectural design instead of being refactored in at a later date. The approach is used to detect and classify stakeholders' quality concerns across requirements specifications containing scattered and non-categorized requirements, "&amp;"and also across freeform documents such as meeting minutes, interview notes, and memos. This paper first describes the classification algorithm and then evaluates its effectiveness through reporting a series of experiments based on 30 requirements specifi"&amp;"cations developed as term projects by MS students at DePaul University. A new and iterative approach is then introduced for training or retraining a classifier to detect and classify non-functional requirements (NFR) in datasets dissimilar to the initial "&amp;"training sets. This approach is evaluated against a large free-form requirements document obtained from Siemens Logistics and Automotive Organization. Although to the NFR classifier is unable to detect all of the NFRs, it is useful for supporting an analy"&amp;"st in the error-prone task of manually discovering NFRs, and furthermore can be used to quickly analyse large and complex documents in order to search for NFRs. © Springer-Verlag London Limited 2007.")</f>
        <v>This paper describes a technique for automating the detection and classification of non-functional requirements related to properties such as security, performance, and usability. Early detection of non-functional requirements enables them to be incorporated into the initial architectural design instead of being refactored in at a later date. The approach is used to detect and classify stakeholders' quality concerns across requirements specifications containing scattered and non-categorized requirements, and also across freeform documents such as meeting minutes, interview notes, and memos. This paper first describes the classification algorithm and then evaluates its effectiveness through reporting a series of experiments based on 30 requirements specifications developed as term projects by MS students at DePaul University. A new and iterative approach is then introduced for training or retraining a classifier to detect and classify non-functional requirements (NFR) in datasets dissimilar to the initial training sets. This approach is evaluated against a large free-form requirements document obtained from Siemens Logistics and Automotive Organization. Although to the NFR classifier is unable to detect all of the NFRs, it is useful for supporting an analyst in the error-prone task of manually discovering NFRs, and furthermore can be used to quickly analyse large and complex documents in order to search for NFRs. © Springer-Verlag London Limited 2007.</v>
      </c>
      <c r="H733" s="8" t="str">
        <f>IFERROR(__xludf.DUMMYFUNCTION("""COMPUTED_VALUE"""),"Classification; Early aspects; Non-functional requirements; Quality requirements")</f>
        <v>Classification; Early aspects; Non-functional requirements; Quality requirements</v>
      </c>
      <c r="I733" s="10" t="b">
        <v>0</v>
      </c>
      <c r="J733" s="10" t="b">
        <v>0</v>
      </c>
      <c r="K733" s="10" t="b">
        <v>0</v>
      </c>
      <c r="L733" s="10" t="b">
        <v>0</v>
      </c>
      <c r="M733" s="10" t="b">
        <v>0</v>
      </c>
      <c r="N733" s="10" t="b">
        <v>0</v>
      </c>
      <c r="O733" s="11" t="b">
        <f t="shared" si="1"/>
        <v>0</v>
      </c>
      <c r="P733" s="16" t="b">
        <v>0</v>
      </c>
      <c r="Q733" s="7"/>
    </row>
    <row r="734">
      <c r="A734" s="5" t="b">
        <v>1</v>
      </c>
      <c r="B734" s="5" t="s">
        <v>778</v>
      </c>
      <c r="C734" s="6" t="str">
        <f>IFERROR(__xludf.DUMMYFUNCTION("""COMPUTED_VALUE"""),"10.1007/s00766-020-00341-1")</f>
        <v>10.1007/s00766-020-00341-1</v>
      </c>
      <c r="D734" s="7" t="str">
        <f>IFERROR(__xludf.DUMMYFUNCTION("""COMPUTED_VALUE"""),"del Sagrado J.; del Águila I.M.")</f>
        <v>del Sagrado J.; del Águila I.M.</v>
      </c>
      <c r="E734" s="7" t="str">
        <f>IFERROR(__xludf.DUMMYFUNCTION("""COMPUTED_VALUE"""),"Assisted requirements selection by clustering")</f>
        <v>Assisted requirements selection by clustering</v>
      </c>
      <c r="F734" s="7" t="str">
        <f>IFERROR(__xludf.DUMMYFUNCTION("""COMPUTED_VALUE"""),"REJ")</f>
        <v>REJ</v>
      </c>
      <c r="G734" s="7" t="str">
        <f>IFERROR(__xludf.DUMMYFUNCTION("""COMPUTED_VALUE"""),"Requirements selection is a decision-making process that enables project managers to focus on the deliverables that add most value to the project outcome. This task is performed to define which features or requirements will be developed in the next releas"&amp;"e. It is a complex multi-criteria decision process that has been focused by many research works, because a balance between business profits and investment is needed. The spectrum of prioritization techniques spans from simple and qualitative to elaborated"&amp;" analytic prioritization approaches that fall into the category of optimization algorithms. This work studies the combination of the qualitative MoSCoW method and cluster analysis for requirements selection. The feasibility of our methodology has been tes"&amp;"ted on three case studies (with 20, 50 and 100 requirements). In each of them, the requirements have been clustered, and then the clustering configurations found have been evaluated using internal validation measures for the compactness, connectivity and "&amp;"separability of the clusters. The experimental results show the validity of clustering strategies for the identification of the core set of requirements for the software product, being the number of categories proposed by MoSCoW a good starting point in r"&amp;"equirements prioritization and negotiation. © 2020, Springer-Verlag London Ltd., part of Springer Nature.")</f>
        <v>Requirements selection is a decision-making process that enables project managers to focus on the deliverables that add most value to the project outcome. This task is performed to define which features or requirements will be developed in the next release. It is a complex multi-criteria decision process that has been focused by many research works, because a balance between business profits and investment is needed. The spectrum of prioritization techniques spans from simple and qualitative to elaborated analytic prioritization approaches that fall into the category of optimization algorithms. This work studies the combination of the qualitative MoSCoW method and cluster analysis for requirements selection. The feasibility of our methodology has been tested on three case studies (with 20, 50 and 100 requirements). In each of them, the requirements have been clustered, and then the clustering configurations found have been evaluated using internal validation measures for the compactness, connectivity and separability of the clusters. The experimental results show the validity of clustering strategies for the identification of the core set of requirements for the software product, being the number of categories proposed by MoSCoW a good starting point in requirements prioritization and negotiation. © 2020, Springer-Verlag London Ltd., part of Springer Nature.</v>
      </c>
      <c r="H734" s="8" t="str">
        <f>IFERROR(__xludf.DUMMYFUNCTION("""COMPUTED_VALUE"""),"Cluster analysis; MoSCoW; Next release planning; Requirements prioritization; Requirements selection")</f>
        <v>Cluster analysis; MoSCoW; Next release planning; Requirements prioritization; Requirements selection</v>
      </c>
      <c r="I734" s="10" t="b">
        <v>0</v>
      </c>
      <c r="J734" s="10" t="b">
        <v>0</v>
      </c>
      <c r="K734" s="10" t="b">
        <v>0</v>
      </c>
      <c r="L734" s="10" t="b">
        <v>0</v>
      </c>
      <c r="M734" s="10" t="b">
        <v>0</v>
      </c>
      <c r="N734" s="10" t="b">
        <v>0</v>
      </c>
      <c r="O734" s="11" t="b">
        <f t="shared" si="1"/>
        <v>0</v>
      </c>
      <c r="P734" s="16" t="b">
        <v>0</v>
      </c>
      <c r="Q734" s="7"/>
    </row>
    <row r="735">
      <c r="A735" s="5" t="b">
        <v>1</v>
      </c>
      <c r="B735" s="5" t="s">
        <v>779</v>
      </c>
      <c r="C735" s="6" t="str">
        <f>IFERROR(__xludf.DUMMYFUNCTION("""COMPUTED_VALUE"""),"10.1007/s00766-016-0258-2")</f>
        <v>10.1007/s00766-016-0258-2</v>
      </c>
      <c r="D735" s="7" t="str">
        <f>IFERROR(__xludf.DUMMYFUNCTION("""COMPUTED_VALUE"""),"Ambreen T.; Ikram N.; Usman M.; Niazi M.")</f>
        <v>Ambreen T.; Ikram N.; Usman M.; Niazi M.</v>
      </c>
      <c r="E735" s="7" t="str">
        <f>IFERROR(__xludf.DUMMYFUNCTION("""COMPUTED_VALUE"""),"Empirical research in requirements engineering: trends and opportunities")</f>
        <v>Empirical research in requirements engineering: trends and opportunities</v>
      </c>
      <c r="F735" s="7" t="str">
        <f>IFERROR(__xludf.DUMMYFUNCTION("""COMPUTED_VALUE"""),"REJ")</f>
        <v>REJ</v>
      </c>
      <c r="G735" s="7" t="str">
        <f>IFERROR(__xludf.DUMMYFUNCTION("""COMPUTED_VALUE"""),"Requirements engineering (RE) being a foundation of software development has gained a great recognition in the recent era of prevailing software industry. A number of journals and conferences have published a great amount of RE research in terms of variou"&amp;"s tools, techniques, methods, and frameworks, with a variety of processes applicable in different software development domains. The plethora of empirical RE research needs to be synthesized to identify trends and future research directions. To represent a"&amp;" state-of-the-art of requirements engineering, along with various trends and opportunities of empirical RE research, we conducted a systematic mapping study to synthesize the empirical work done in RE. We used four major databases IEEE, ScienceDirect, Spr"&amp;"ingerLink and ACM and Identified 270 primary studies till the year 2012. An analysis of the data extracted from primary studies shows that the empirical research work in RE is on the increase since the year 2000. The requirements elicitation with 22 % of "&amp;"the total studies, requirements analysis with 19 % and RE process with 17 % are the major focus areas of empirical RE research. Non-functional requirements were found to be the most researched emerging area. The empirical work in the sub-area of requireme"&amp;"nts validation and verification is little and has a decreasing trend. The majority of the studies (50 %) used a case study research method followed by experiments (28 %), whereas the experience reports are few (6 %). A common trend in almost all RE sub-ar"&amp;"eas is about proposing new interventions. The leading intervention types are guidelines, techniques and processes. The interest in RE empirical research is on the rise as whole. However, requirements validation and verification area, despite its recognize"&amp;"d importance, lacks empirical research at present. Furthermore, requirements evolution and privacy requirements also have little empirical research. These RE sub-areas need the attention of researchers for more empirical research. At present, the focus of"&amp;" empirical RE research is more about proposing new interventions. In future, there is a need to replicate existing studies as well to evaluate the RE interventions in more real contexts and scenarios. The practitioners’ involvement in RE empirical researc"&amp;"h needs to be increased so that they share their experiences of using different RE interventions and also inform us about the current requirements-related challenges and issues that they face in their work. © 2016, Springer-Verlag London.")</f>
        <v>Requirements engineering (RE) being a foundation of software development has gained a great recognition in the recent era of prevailing software industry. A number of journals and conferences have published a great amount of RE research in terms of various tools, techniques, methods, and frameworks, with a variety of processes applicable in different software development domains. The plethora of empirical RE research needs to be synthesized to identify trends and future research directions. To represent a state-of-the-art of requirements engineering, along with various trends and opportunities of empirical RE research, we conducted a systematic mapping study to synthesize the empirical work done in RE. We used four major databases IEEE, ScienceDirect, SpringerLink and ACM and Identified 270 primary studies till the year 2012. An analysis of the data extracted from primary studies shows that the empirical research work in RE is on the increase since the year 2000. The requirements elicitation with 22 % of the total studies, requirements analysis with 19 % and RE process with 17 % are the major focus areas of empirical RE research. Non-functional requirements were found to be the most researched emerging area. The empirical work in the sub-area of requirements validation and verification is little and has a decreasing trend. The majority of the studies (50 %) used a case study research method followed by experiments (28 %), whereas the experience reports are few (6 %). A common trend in almost all RE sub-areas is about proposing new interventions. The leading intervention types are guidelines, techniques and processes. The interest in RE empirical research is on the rise as whole. However, requirements validation and verification area, despite its recognized importance, lacks empirical research at present. Furthermore, requirements evolution and privacy requirements also have little empirical research. These RE sub-areas need the attention of researchers for more empirical research. At present, the focus of empirical RE research is more about proposing new interventions. In future, there is a need to replicate existing studies as well to evaluate the RE interventions in more real contexts and scenarios. The practitioners’ involvement in RE empirical research needs to be increased so that they share their experiences of using different RE interventions and also inform us about the current requirements-related challenges and issues that they face in their work. © 2016, Springer-Verlag London.</v>
      </c>
      <c r="H735" s="8" t="str">
        <f>IFERROR(__xludf.DUMMYFUNCTION("""COMPUTED_VALUE"""),"Evidence-based software engineering; Mapping study; Requirements engineering; Systematic review")</f>
        <v>Evidence-based software engineering; Mapping study; Requirements engineering; Systematic review</v>
      </c>
      <c r="I735" s="10" t="b">
        <v>0</v>
      </c>
      <c r="J735" s="10" t="b">
        <v>0</v>
      </c>
      <c r="K735" s="10" t="b">
        <v>0</v>
      </c>
      <c r="L735" s="10" t="b">
        <v>0</v>
      </c>
      <c r="M735" s="10" t="b">
        <v>0</v>
      </c>
      <c r="N735" s="10" t="b">
        <v>0</v>
      </c>
      <c r="O735" s="11" t="b">
        <f t="shared" si="1"/>
        <v>0</v>
      </c>
      <c r="P735" s="16" t="b">
        <v>0</v>
      </c>
      <c r="Q735" s="7"/>
    </row>
    <row r="736">
      <c r="A736" s="5" t="b">
        <v>1</v>
      </c>
      <c r="B736" s="5" t="s">
        <v>780</v>
      </c>
      <c r="C736" s="6" t="str">
        <f>IFERROR(__xludf.DUMMYFUNCTION("""COMPUTED_VALUE"""),"10.1007/s00766-016-0263-5")</f>
        <v>10.1007/s00766-016-0263-5</v>
      </c>
      <c r="D736" s="7" t="str">
        <f>IFERROR(__xludf.DUMMYFUNCTION("""COMPUTED_VALUE"""),"Nguyen C.M.; Sebastiani R.; Giorgini P.; Mylopoulos J.")</f>
        <v>Nguyen C.M.; Sebastiani R.; Giorgini P.; Mylopoulos J.</v>
      </c>
      <c r="E736" s="7" t="str">
        <f>IFERROR(__xludf.DUMMYFUNCTION("""COMPUTED_VALUE"""),"Multi-objective reasoning with constrained goal models")</f>
        <v>Multi-objective reasoning with constrained goal models</v>
      </c>
      <c r="F736" s="7" t="str">
        <f>IFERROR(__xludf.DUMMYFUNCTION("""COMPUTED_VALUE"""),"REJ")</f>
        <v>REJ</v>
      </c>
      <c r="G736" s="7" t="str">
        <f>IFERROR(__xludf.DUMMYFUNCTION("""COMPUTED_VALUE"""),"Goal models have been widely used in computer science to represent software requirements, business objectives, and design qualities. Existing goal modelling techniques, however, have shown limitations of expressiveness and/or tractability in coping with c"&amp;"omplex real-world problems. In this work, we exploit advances in automated reasoning technologies, notably satisfiability and optimization modulo theories (SMT/OMT), and we propose and formalize: (1) an extended modelling language for goals, namely the co"&amp;"nstrained goal model (CGM), which makes explicit the notion of goal refinement and of domain assumption, allows for expressing preferences between goals and refinements and allows for associating numerical attributes to goals and refinements for defining "&amp;"constraints and optimization goals over multiple objective functions, refinements, and their numerical attributes; (2) a novel set of automated reasoning functionalities over CGMs, allowing for automatically generating suitable refinements of input CGMs, "&amp;"under user-specified assumptions and constraints, that also maximize preferences and optimize given objective functions. We have implemented these modelling and reasoning functionalities in a tool, named CGM-Tool, using the OMT solver OptiMathSAT as autom"&amp;"ated reasoning backend. Moreover, we have conducted an experimental evaluation on large CGMs to support the claim that our proposal scales well for goal models with 1000s of elements. © 2016, Springer-Verlag London.")</f>
        <v>Goal models have been widely used in computer science to represent software requirements, business objectives, and design qualities. Existing goal modelling techniques, however, have shown limitations of expressiveness and/or tractability in coping with complex real-world problems. In this work, we exploit advances in automated reasoning technologies, notably satisfiability and optimization modulo theories (SMT/OMT), and we propose and formalize: (1) an extended modelling language for goals, namely the constrained goal model (CGM), which makes explicit the notion of goal refinement and of domain assumption, allows for expressing preferences between goals and refinements and allows for associating numerical attributes to goals and refinements for defining constraints and optimization goals over multiple objective functions, refinements, and their numerical attributes; (2) a novel set of automated reasoning functionalities over CGMs, allowing for automatically generating suitable refinements of input CGMs, under user-specified assumptions and constraints, that also maximize preferences and optimize given objective functions. We have implemented these modelling and reasoning functionalities in a tool, named CGM-Tool, using the OMT solver OptiMathSAT as automated reasoning backend. Moreover, we have conducted an experimental evaluation on large CGMs to support the claim that our proposal scales well for goal models with 1000s of elements. © 2016, Springer-Verlag London.</v>
      </c>
      <c r="H736" s="8" t="str">
        <f>IFERROR(__xludf.DUMMYFUNCTION("""COMPUTED_VALUE"""),"Goal models; Requirements engineering; SAT/SMT/OMT")</f>
        <v>Goal models; Requirements engineering; SAT/SMT/OMT</v>
      </c>
      <c r="I736" s="10" t="b">
        <v>0</v>
      </c>
      <c r="J736" s="10" t="b">
        <v>0</v>
      </c>
      <c r="K736" s="10" t="b">
        <v>0</v>
      </c>
      <c r="L736" s="10" t="b">
        <v>0</v>
      </c>
      <c r="M736" s="10" t="b">
        <v>0</v>
      </c>
      <c r="N736" s="10" t="b">
        <v>0</v>
      </c>
      <c r="O736" s="11" t="b">
        <f t="shared" si="1"/>
        <v>0</v>
      </c>
      <c r="P736" s="16" t="b">
        <v>0</v>
      </c>
      <c r="Q736" s="7"/>
    </row>
    <row r="737">
      <c r="A737" s="5" t="b">
        <v>1</v>
      </c>
      <c r="B737" s="5" t="s">
        <v>781</v>
      </c>
      <c r="C737" s="6" t="str">
        <f>IFERROR(__xludf.DUMMYFUNCTION("""COMPUTED_VALUE"""),"10.1007/s00766-011-0119-y")</f>
        <v>10.1007/s00766-011-0119-y</v>
      </c>
      <c r="D737" s="7" t="str">
        <f>IFERROR(__xludf.DUMMYFUNCTION("""COMPUTED_VALUE"""),"Yang H.; de Roeck A.; Gervasi V.; Willis A.; Nuseibeh B.")</f>
        <v>Yang H.; de Roeck A.; Gervasi V.; Willis A.; Nuseibeh B.</v>
      </c>
      <c r="E737" s="7" t="str">
        <f>IFERROR(__xludf.DUMMYFUNCTION("""COMPUTED_VALUE"""),"Analysing anaphoric ambiguity in natural language requirements")</f>
        <v>Analysing anaphoric ambiguity in natural language requirements</v>
      </c>
      <c r="F737" s="7" t="str">
        <f>IFERROR(__xludf.DUMMYFUNCTION("""COMPUTED_VALUE"""),"REJ")</f>
        <v>REJ</v>
      </c>
      <c r="G737" s="7" t="str">
        <f>IFERROR(__xludf.DUMMYFUNCTION("""COMPUTED_VALUE"""),"Many requirements documents are written in natural language (NL). However, with the flexibility of NL comes the risk of introducing unwanted ambiguities in the requirements and misunderstandings between stakeholders. In this paper, we describe an automate"&amp;"d approach to identify potentially nocuous ambiguity, which occurs when text is interpreted differently by different readers. We concentrate on anaphoric ambiguity, which occurs when readers may disagree on how pronouns should be interpreted. We describe "&amp;"a number of heuristics, each of which captures information that may lead a reader to favor a particular interpretation of the text. We use these heuristics to build a classifier, which in turn predicts the degree to which particular interpretations are pr"&amp;"eferred. We collected multiple human judgements on the interpretation of requirements exhibiting anaphoric ambiguity and showed how the distribution of these judgements can be used to assess whether a particular instance of ambiguity is nocuous. Given a r"&amp;"equirements document written in natural language, our approach can identify sentences that contain anaphoric ambiguity, and use the classifier to alert the requirements writer of text that runs the risk of misinterpretation. We report on a series of exper"&amp;"iments that we conducted to evaluate the performance of the automated system we developed to support our approach. The results show that the system achieves high recall with a consistent improvement on baseline precision subject to some ambiguity toleranc"&amp;"e levels, allowing us to explore and highlight realistic and potentially problematic ambiguities in actual requirements documents. © Springer-Verlag London Limited 2011.")</f>
        <v>Many requirements documents are written in natural language (NL). However, with the flexibility of NL comes the risk of introducing unwanted ambiguities in the requirements and misunderstandings between stakeholders. In this paper, we describe an automated approach to identify potentially nocuous ambiguity, which occurs when text is interpreted differently by different readers. We concentrate on anaphoric ambiguity, which occurs when readers may disagree on how pronouns should be interpreted. We describe a number of heuristics, each of which captures information that may lead a reader to favor a particular interpretation of the text. We use these heuristics to build a classifier, which in turn predicts the degree to which particular interpretations are preferred. We collected multiple human judgements on the interpretation of requirements exhibiting anaphoric ambiguity and showed how the distribution of these judgements can be used to assess whether a particular instance of ambiguity is nocuous. Given a requirements document written in natural language, our approach can identify sentences that contain anaphoric ambiguity, and use the classifier to alert the requirements writer of text that runs the risk of misinterpretation. We report on a series of experiments that we conducted to evaluate the performance of the automated system we developed to support our approach. The results show that the system achieves high recall with a consistent improvement on baseline precision subject to some ambiguity tolerance levels, allowing us to explore and highlight realistic and potentially problematic ambiguities in actual requirements documents. © Springer-Verlag London Limited 2011.</v>
      </c>
      <c r="H737" s="8" t="str">
        <f>IFERROR(__xludf.DUMMYFUNCTION("""COMPUTED_VALUE"""),"Anaphoric ambiguity; Antecedent preference heuristics; Human judgements; Machine learning; Natural language; Nocuous ambiguity; Noun-phrase coreference resolution; Requirements")</f>
        <v>Anaphoric ambiguity; Antecedent preference heuristics; Human judgements; Machine learning; Natural language; Nocuous ambiguity; Noun-phrase coreference resolution; Requirements</v>
      </c>
      <c r="I737" s="10" t="b">
        <v>0</v>
      </c>
      <c r="J737" s="10" t="b">
        <v>0</v>
      </c>
      <c r="K737" s="10" t="b">
        <v>0</v>
      </c>
      <c r="L737" s="10" t="b">
        <v>0</v>
      </c>
      <c r="M737" s="10" t="b">
        <v>0</v>
      </c>
      <c r="N737" s="10" t="b">
        <v>0</v>
      </c>
      <c r="O737" s="11" t="b">
        <f t="shared" si="1"/>
        <v>0</v>
      </c>
      <c r="P737" s="16" t="b">
        <v>0</v>
      </c>
      <c r="Q737" s="7"/>
    </row>
    <row r="738">
      <c r="A738" s="5" t="b">
        <v>1</v>
      </c>
      <c r="B738" s="5" t="s">
        <v>782</v>
      </c>
      <c r="C738" s="6" t="str">
        <f>IFERROR(__xludf.DUMMYFUNCTION("""COMPUTED_VALUE"""),"10.1007/s00766-011-0122-3")</f>
        <v>10.1007/s00766-011-0122-3</v>
      </c>
      <c r="D738" s="7" t="str">
        <f>IFERROR(__xludf.DUMMYFUNCTION("""COMPUTED_VALUE"""),"Gacitua R.; Sawyer P.; Gervasi V.")</f>
        <v>Gacitua R.; Sawyer P.; Gervasi V.</v>
      </c>
      <c r="E738" s="7" t="str">
        <f>IFERROR(__xludf.DUMMYFUNCTION("""COMPUTED_VALUE"""),"Relevance-based abstraction identification: Technique and evaluation")</f>
        <v>Relevance-based abstraction identification: Technique and evaluation</v>
      </c>
      <c r="F738" s="7" t="str">
        <f>IFERROR(__xludf.DUMMYFUNCTION("""COMPUTED_VALUE"""),"REJ")</f>
        <v>REJ</v>
      </c>
      <c r="G738" s="7" t="str">
        <f>IFERROR(__xludf.DUMMYFUNCTION("""COMPUTED_VALUE"""),"When first approaching an unfamiliar domain or requirements document, it is often useful to get a quick grasp of what the essential concepts and entities in the domain are. This process is called abstraction identification, where the word abstraction refe"&amp;"rs to an entity or concept that has a particular significance in the domain. Abstraction identification has been proposed and evaluated as a useful technique in requirements engineering (RE). In this paper, we propose a new technique for automated abstrac"&amp;"tion identification called relevance-based abstraction identification (RAI), and evaluate its performance-in multiple configurations and through two refinements-compared to other tools and techniques proposed in the literature, where we find that RAI sign"&amp;"ificantly outperforms previous techniques. We present an experiment measuring the effectiveness of RAI compared to human judgement, and discuss how RAI could be used to good effect in requirements engineering. © Springer-Verlag London Limited 2011.")</f>
        <v>When first approaching an unfamiliar domain or requirements document, it is often useful to get a quick grasp of what the essential concepts and entities in the domain are. This process is called abstraction identification, where the word abstraction refers to an entity or concept that has a particular significance in the domain. Abstraction identification has been proposed and evaluated as a useful technique in requirements engineering (RE). In this paper, we propose a new technique for automated abstraction identification called relevance-based abstraction identification (RAI), and evaluate its performance-in multiple configurations and through two refinements-compared to other tools and techniques proposed in the literature, where we find that RAI significantly outperforms previous techniques. We present an experiment measuring the effectiveness of RAI compared to human judgement, and discuss how RAI could be used to good effect in requirements engineering. © Springer-Verlag London Limited 2011.</v>
      </c>
      <c r="H738" s="8" t="str">
        <f>IFERROR(__xludf.DUMMYFUNCTION("""COMPUTED_VALUE"""),"Abstractions; Evaluation of tool; Natural language; Requirements elicitation")</f>
        <v>Abstractions; Evaluation of tool; Natural language; Requirements elicitation</v>
      </c>
      <c r="I738" s="9" t="b">
        <v>0</v>
      </c>
      <c r="J738" s="9" t="b">
        <v>1</v>
      </c>
      <c r="K738" s="9" t="b">
        <v>1</v>
      </c>
      <c r="L738" s="10" t="b">
        <v>0</v>
      </c>
      <c r="M738" s="10" t="b">
        <v>0</v>
      </c>
      <c r="N738" s="10" t="b">
        <v>0</v>
      </c>
      <c r="O738" s="11" t="b">
        <f t="shared" si="1"/>
        <v>0</v>
      </c>
      <c r="P738" s="12" t="b">
        <v>0</v>
      </c>
      <c r="Q738" s="7"/>
    </row>
    <row r="739">
      <c r="A739" s="5" t="b">
        <v>1</v>
      </c>
      <c r="B739" s="5" t="s">
        <v>783</v>
      </c>
      <c r="C739" s="6" t="str">
        <f>IFERROR(__xludf.DUMMYFUNCTION("""COMPUTED_VALUE"""),"10.1007/s00766-022-00374-8")</f>
        <v>10.1007/s00766-022-00374-8</v>
      </c>
      <c r="D739" s="7" t="str">
        <f>IFERROR(__xludf.DUMMYFUNCTION("""COMPUTED_VALUE"""),"Wang Y.; Shi L.; Li M.; Wang Q.; Yang Y.")</f>
        <v>Wang Y.; Shi L.; Li M.; Wang Q.; Yang Y.</v>
      </c>
      <c r="E739" s="7" t="str">
        <f>IFERROR(__xludf.DUMMYFUNCTION("""COMPUTED_VALUE"""),"Detecting coreferent entities in natural language requirements")</f>
        <v>Detecting coreferent entities in natural language requirements</v>
      </c>
      <c r="F739" s="7" t="str">
        <f>IFERROR(__xludf.DUMMYFUNCTION("""COMPUTED_VALUE"""),"REJ")</f>
        <v>REJ</v>
      </c>
      <c r="G739" s="7" t="str">
        <f>IFERROR(__xludf.DUMMYFUNCTION("""COMPUTED_VALUE"""),"Requirements are usually written in natural language and evolve continuously during the process of software development, which involves a large number of stakeholders. Stakeholders with diverse backgrounds and skills might refer to the same real-world ent"&amp;"ity with different linguistic expressions in the natural-language requirements, resulting in requirement inconsistency. We define this phenomenon as Entity Coreference (EC) in the Requirement Engineering (RE) area. It can lead to misconception about techn"&amp;"ical terminologies, and harm the readability and long-term maintainability of the requirements. In this paper, we propose a DEEP context-wise method for entity COREFerence detection, named DeepCoref. First, we truncate corresponding contexts surrounding e"&amp;"ntities. Then, we construct a deep context-wise neural network for coreference classification. The network consists of one fine-tuning BERT model for context representation, a Word2Vec-based network for entity representation, and a multi-layer perceptron "&amp;"in the end to fuse and make a trade-off between two representations. Finally, we cluster and normalize coreferent entities. We evaluate our method, respectively, on coreference classification and clustering with 1853 industry data on 21 projects. The form"&amp;"er evaluation shows that DeepCoref outperforms three baselines with average precision and recall of 96.10% and 96.06%, respectively. The latter evaluation on six metrics shows that DeepCoref can cluster coreferent entities more accurately. We also conduct"&amp;" ablation experiments with three variants to demonstrate the performance enhancement brought by different components of neural network designed for coreference classification. © 2022, The Author(s), under exclusive licence to Springer-Verlag London Ltd., "&amp;"part of Springer Nature.")</f>
        <v>Requirements are usually written in natural language and evolve continuously during the process of software development, which involves a large number of stakeholders. Stakeholders with diverse backgrounds and skills might refer to the same real-world entity with different linguistic expressions in the natural-language requirements, resulting in requirement inconsistency. We define this phenomenon as Entity Coreference (EC) in the Requirement Engineering (RE) area. It can lead to misconception about technical terminologies, and harm the readability and long-term maintainability of the requirements. In this paper, we propose a DEEP context-wise method for entity COREFerence detection, named DeepCoref. First, we truncate corresponding contexts surrounding entities. Then, we construct a deep context-wise neural network for coreference classification. The network consists of one fine-tuning BERT model for context representation, a Word2Vec-based network for entity representation, and a multi-layer perceptron in the end to fuse and make a trade-off between two representations. Finally, we cluster and normalize coreferent entities. We evaluate our method, respectively, on coreference classification and clustering with 1853 industry data on 21 projects. The former evaluation shows that DeepCoref outperforms three baselines with average precision and recall of 96.10% and 96.06%, respectively. The latter evaluation on six metrics shows that DeepCoref can cluster coreferent entities more accurately. We also conduct ablation experiments with three variants to demonstrate the performance enhancement brought by different components of neural network designed for coreference classification. © 2022, The Author(s), under exclusive licence to Springer-Verlag London Ltd., part of Springer Nature.</v>
      </c>
      <c r="H739" s="8" t="str">
        <f>IFERROR(__xludf.DUMMYFUNCTION("""COMPUTED_VALUE"""),"Deep learning; Entity coreference; Requirement engineering; Requirements inconsistency")</f>
        <v>Deep learning; Entity coreference; Requirement engineering; Requirements inconsistency</v>
      </c>
      <c r="I739" s="10" t="b">
        <v>0</v>
      </c>
      <c r="J739" s="10" t="b">
        <v>0</v>
      </c>
      <c r="K739" s="10" t="b">
        <v>0</v>
      </c>
      <c r="L739" s="10" t="b">
        <v>0</v>
      </c>
      <c r="M739" s="10" t="b">
        <v>0</v>
      </c>
      <c r="N739" s="10" t="b">
        <v>0</v>
      </c>
      <c r="O739" s="11" t="b">
        <f t="shared" si="1"/>
        <v>0</v>
      </c>
      <c r="P739" s="16" t="b">
        <v>0</v>
      </c>
      <c r="Q739" s="7"/>
    </row>
    <row r="740">
      <c r="A740" s="5" t="b">
        <v>1</v>
      </c>
      <c r="B740" s="5" t="s">
        <v>784</v>
      </c>
      <c r="C740" s="6" t="str">
        <f>IFERROR(__xludf.DUMMYFUNCTION("""COMPUTED_VALUE"""),"10.1007/s00766-012-0159-y")</f>
        <v>10.1007/s00766-012-0159-y</v>
      </c>
      <c r="D740" s="7" t="str">
        <f>IFERROR(__xludf.DUMMYFUNCTION("""COMPUTED_VALUE"""),"Bera P.; Evermann J.")</f>
        <v>Bera P.; Evermann J.</v>
      </c>
      <c r="E740" s="7" t="str">
        <f>IFERROR(__xludf.DUMMYFUNCTION("""COMPUTED_VALUE"""),"Guidelines for using UML association classes and their effect on domain understanding in requirements engineering")</f>
        <v>Guidelines for using UML association classes and their effect on domain understanding in requirements engineering</v>
      </c>
      <c r="F740" s="7" t="str">
        <f>IFERROR(__xludf.DUMMYFUNCTION("""COMPUTED_VALUE"""),"REJ")</f>
        <v>REJ</v>
      </c>
      <c r="G740" s="7" t="str">
        <f>IFERROR(__xludf.DUMMYFUNCTION("""COMPUTED_VALUE"""),"The analysis and description of the application domain are important parts of the requirements engineering process. Domain descriptions are frequently represented as models in the de-facto standard unified modeling language (UML). Recent research has spec"&amp;"ified the semantics of various UML language elements for domain modeling, based on ontological considerations. In this paper, we empirically examine ontological modeling guidelines for the UML association construct, which plays a central role in UML class"&amp;" diagrams. Using an experimental study, we find that some, but not all, of the proposed guidelines lead to better application domain models. We use a process-tracing study to investigate in more detail the effects of ontological guidelines. The combined r"&amp;"esults indicate that ontological guidelines can improve the usefulness of UML class diagrams for describing the application domain, and thus have the potential to improve downstream system development activities and ultimately affect the successful inform"&amp;"ation systems implementation. © 2012 Springer-Verlag London Limited.")</f>
        <v>The analysis and description of the application domain are important parts of the requirements engineering process. Domain descriptions are frequently represented as models in the de-facto standard unified modeling language (UML). Recent research has specified the semantics of various UML language elements for domain modeling, based on ontological considerations. In this paper, we empirically examine ontological modeling guidelines for the UML association construct, which plays a central role in UML class diagrams. Using an experimental study, we find that some, but not all, of the proposed guidelines lead to better application domain models. We use a process-tracing study to investigate in more detail the effects of ontological guidelines. The combined results indicate that ontological guidelines can improve the usefulness of UML class diagrams for describing the application domain, and thus have the potential to improve downstream system development activities and ultimately affect the successful information systems implementation. © 2012 Springer-Verlag London Limited.</v>
      </c>
      <c r="H740" s="8" t="str">
        <f>IFERROR(__xludf.DUMMYFUNCTION("""COMPUTED_VALUE"""),"Conceptual model; Domain understanding; UML association class")</f>
        <v>Conceptual model; Domain understanding; UML association class</v>
      </c>
      <c r="I740" s="10" t="b">
        <v>0</v>
      </c>
      <c r="J740" s="10" t="b">
        <v>0</v>
      </c>
      <c r="K740" s="10" t="b">
        <v>0</v>
      </c>
      <c r="L740" s="10" t="b">
        <v>0</v>
      </c>
      <c r="M740" s="10" t="b">
        <v>0</v>
      </c>
      <c r="N740" s="10" t="b">
        <v>0</v>
      </c>
      <c r="O740" s="11" t="b">
        <f t="shared" si="1"/>
        <v>0</v>
      </c>
      <c r="P740" s="16" t="b">
        <v>0</v>
      </c>
      <c r="Q740" s="7"/>
    </row>
    <row r="741">
      <c r="A741" s="5" t="b">
        <v>1</v>
      </c>
      <c r="B741" s="5" t="s">
        <v>785</v>
      </c>
      <c r="C741" s="6" t="str">
        <f>IFERROR(__xludf.DUMMYFUNCTION("""COMPUTED_VALUE"""),"10.1007/s00766-018-0296-z")</f>
        <v>10.1007/s00766-018-0296-z</v>
      </c>
      <c r="D741" s="7" t="str">
        <f>IFERROR(__xludf.DUMMYFUNCTION("""COMPUTED_VALUE"""),"Beimel D.; Kedmi-Shahar E.")</f>
        <v>Beimel D.; Kedmi-Shahar E.</v>
      </c>
      <c r="E741" s="7" t="str">
        <f>IFERROR(__xludf.DUMMYFUNCTION("""COMPUTED_VALUE"""),"Improving the identification of functional system requirements when novice analysts create use case diagrams: the benefits of applying conceptual mental models")</f>
        <v>Improving the identification of functional system requirements when novice analysts create use case diagrams: the benefits of applying conceptual mental models</v>
      </c>
      <c r="F741" s="7" t="str">
        <f>IFERROR(__xludf.DUMMYFUNCTION("""COMPUTED_VALUE"""),"REJ")</f>
        <v>REJ</v>
      </c>
      <c r="G741" s="7" t="str">
        <f>IFERROR(__xludf.DUMMYFUNCTION("""COMPUTED_VALUE"""),"Planning an information system (IS) is challenging, especially for inexperienced IS analysts, including students. One area that often causes particular difficulty is defining the requirements of the future system—a phase that is crucial to the success of "&amp;"any IS project. While serving as advisers for students carrying out their first IS projects, we observed that “imagining” the future system’s functionality and workflow from the user’s perspective makes it easier for students to identify the system’s func"&amp;"tional requirements. This insight led us to suggest refining the requirements phase by structuring the “imagining” process into a formal Conceptual mental model (CMM)—that is, a tangible visual representation of the user’s beliefs and expectations (i.e., "&amp;"the user’s mental model) about the system to be developed. We expect that this approach, taken from the domains of cognitive psychology and human–computer interaction, will improve the ability of inexperienced IS analysts to identify the functional requir"&amp;"ements of the future system, along with their associated relations and actors. In particular, we expect that this approach will yield better Use case diagrams (UCDs)—a key component of the Use case model for representing and then specifying system require"&amp;"ments, relations and actors. Here, we report on a controlled experiment testing whether creation of a CMM prior to the creation of a UCD improves the identification of functional system requirements, relations, and actors in terms of correctness, complete"&amp;"ness, and irredundancy of the UCD. We found that participants who produced a UCD after producing a CMM performed significantly better in defining system requirements, relations and actors, as expressed in their UCDs, compared to participants who produced "&amp;"a UCD without first producing a CMM. We conclude that our suggested refinement improves the performance of novice IS analysts in capturing, analyzing and defining functional system requirements, relations and actors in a UCD, in terms of correctness, comp"&amp;"leteness, and irredundancy. © 2018, Springer-Verlag London Ltd., part of Springer Nature.")</f>
        <v>Planning an information system (IS) is challenging, especially for inexperienced IS analysts, including students. One area that often causes particular difficulty is defining the requirements of the future system—a phase that is crucial to the success of any IS project. While serving as advisers for students carrying out their first IS projects, we observed that “imagining” the future system’s functionality and workflow from the user’s perspective makes it easier for students to identify the system’s functional requirements. This insight led us to suggest refining the requirements phase by structuring the “imagining” process into a formal Conceptual mental model (CMM)—that is, a tangible visual representation of the user’s beliefs and expectations (i.e., the user’s mental model) about the system to be developed. We expect that this approach, taken from the domains of cognitive psychology and human–computer interaction, will improve the ability of inexperienced IS analysts to identify the functional requirements of the future system, along with their associated relations and actors. In particular, we expect that this approach will yield better Use case diagrams (UCDs)—a key component of the Use case model for representing and then specifying system requirements, relations and actors. Here, we report on a controlled experiment testing whether creation of a CMM prior to the creation of a UCD improves the identification of functional system requirements, relations, and actors in terms of correctness, completeness, and irredundancy of the UCD. We found that participants who produced a UCD after producing a CMM performed significantly better in defining system requirements, relations and actors, as expressed in their UCDs, compared to participants who produced a UCD without first producing a CMM. We conclude that our suggested refinement improves the performance of novice IS analysts in capturing, analyzing and defining functional system requirements, relations and actors in a UCD, in terms of correctness, completeness, and irredundancy. © 2018, Springer-Verlag London Ltd., part of Springer Nature.</v>
      </c>
      <c r="H741" s="8" t="str">
        <f>IFERROR(__xludf.DUMMYFUNCTION("""COMPUTED_VALUE"""),"Cognitive psychology; Conceptual mental model; Education; Human–computer interface (HCI); Information systems (IS); Mental model; System requirements; Use case (UC) diagram; Visualization")</f>
        <v>Cognitive psychology; Conceptual mental model; Education; Human–computer interface (HCI); Information systems (IS); Mental model; System requirements; Use case (UC) diagram; Visualization</v>
      </c>
      <c r="I741" s="9" t="b">
        <v>1</v>
      </c>
      <c r="J741" s="9" t="b">
        <v>1</v>
      </c>
      <c r="K741" s="10" t="b">
        <v>0</v>
      </c>
      <c r="L741" s="10" t="b">
        <v>0</v>
      </c>
      <c r="M741" s="10" t="b">
        <v>0</v>
      </c>
      <c r="N741" s="10" t="b">
        <v>0</v>
      </c>
      <c r="O741" s="11" t="b">
        <f t="shared" si="1"/>
        <v>0</v>
      </c>
      <c r="P741" s="16" t="b">
        <v>0</v>
      </c>
      <c r="Q741" s="7"/>
    </row>
    <row r="742">
      <c r="A742" s="5" t="b">
        <v>1</v>
      </c>
      <c r="B742" s="5" t="s">
        <v>786</v>
      </c>
      <c r="C742" s="6" t="str">
        <f>IFERROR(__xludf.DUMMYFUNCTION("""COMPUTED_VALUE"""),"10.1007/s00766-020-00338-w")</f>
        <v>10.1007/s00766-020-00338-w</v>
      </c>
      <c r="D742" s="7" t="str">
        <f>IFERROR(__xludf.DUMMYFUNCTION("""COMPUTED_VALUE"""),"Villamizar H.; Kalinowski M.; Garcia A.; Mendez D.")</f>
        <v>Villamizar H.; Kalinowski M.; Garcia A.; Mendez D.</v>
      </c>
      <c r="E742" s="7" t="str">
        <f>IFERROR(__xludf.DUMMYFUNCTION("""COMPUTED_VALUE"""),"An efficient approach for reviewing security-related aspects in agile requirements specifications of web applications")</f>
        <v>An efficient approach for reviewing security-related aspects in agile requirements specifications of web applications</v>
      </c>
      <c r="F742" s="7" t="str">
        <f>IFERROR(__xludf.DUMMYFUNCTION("""COMPUTED_VALUE"""),"REJ")</f>
        <v>REJ</v>
      </c>
      <c r="G742" s="7" t="str">
        <f>IFERROR(__xludf.DUMMYFUNCTION("""COMPUTED_VALUE"""),"Defects in requirement specifications can have severe consequences during the software development life cycle. Some of them may result in poor product quality and/or time and budget overrun due to incorrect or missing quality characteristics, such as secu"&amp;"rity. This characteristic requires special attention in web applications because they have become a target for manipulating sensible data. Several concerns make security difficult to deal with. For instance, security requirements are often misunderstood a"&amp;"nd improperly specified due to lack of security expertise and emphasis on security during early stages of software development. This often leads to unspecified or ill-defined security-related aspects. These concerns become even more challenging in agile c"&amp;"ontexts, where lightweight documentation is typically produced. To tackle this problem, we designed an approach for reviewing security-related aspects in agile requirements specifications of web applications. Our proposal considers user stories and securi"&amp;"ty specifications as inputs and relates those user stories to security properties via natural language processing. Based on the related security properties, our approach identifies high-level security requirements from the Open Web Application Security Pr"&amp;"oject (OWASP) to be verified and generates a reading technique to support reviewers in detecting defects. We evaluate our approach via three experimental trials conducted with 56 novice software engineers, measuring effectiveness, efficiency, usefulness a"&amp;"nd ease of use. We compare our approach against using: (1) the OWASP high-level security requirements and (2) a perspective-based approach as proposed in contemporary state of the art. The results strengthen our confidence that using our approach has a po"&amp;"sitive impact (with large effect size) on the performance of inspectors in terms of effectiveness and efficiency. © 2020, Springer-Verlag London Ltd., part of Springer Nature.")</f>
        <v>Defects in requirement specifications can have severe consequences during the software development life cycle. Some of them may result in poor product quality and/or time and budget overrun due to incorrect or missing quality characteristics, such as security. This characteristic requires special attention in web applications because they have become a target for manipulating sensible data. Several concerns make security difficult to deal with. For instance, security requirements are often misunderstood and improperly specified due to lack of security expertise and emphasis on security during early stages of software development. This often leads to unspecified or ill-defined security-related aspects. These concerns become even more challenging in agile contexts, where lightweight documentation is typically produced. To tackle this problem, we designed an approach for reviewing security-related aspects in agile requirements specifications of web applications. Our proposal considers user stories and security specifications as inputs and relates those user stories to security properties via natural language processing. Based on the related security properties, our approach identifies high-level security requirements from the Open Web Application Security Project (OWASP) to be verified and generates a reading technique to support reviewers in detecting defects. We evaluate our approach via three experimental trials conducted with 56 novice software engineers, measuring effectiveness, efficiency, usefulness and ease of use. We compare our approach against using: (1) the OWASP high-level security requirements and (2) a perspective-based approach as proposed in contemporary state of the art. The results strengthen our confidence that using our approach has a positive impact (with large effect size) on the performance of inspectors in terms of effectiveness and efficiency. © 2020, Springer-Verlag London Ltd., part of Springer Nature.</v>
      </c>
      <c r="H742" s="8" t="str">
        <f>IFERROR(__xludf.DUMMYFUNCTION("""COMPUTED_VALUE"""),"Agile requirements; Requirement verification; Software inspection; Software security")</f>
        <v>Agile requirements; Requirement verification; Software inspection; Software security</v>
      </c>
      <c r="I742" s="9" t="b">
        <v>1</v>
      </c>
      <c r="J742" s="9" t="b">
        <v>1</v>
      </c>
      <c r="K742" s="9" t="b">
        <v>1</v>
      </c>
      <c r="L742" s="10" t="b">
        <v>0</v>
      </c>
      <c r="M742" s="10" t="b">
        <v>0</v>
      </c>
      <c r="N742" s="10" t="b">
        <v>0</v>
      </c>
      <c r="O742" s="11" t="b">
        <f t="shared" si="1"/>
        <v>1</v>
      </c>
      <c r="P742" s="16" t="b">
        <v>0</v>
      </c>
      <c r="Q742" s="7"/>
    </row>
    <row r="743">
      <c r="A743" s="5" t="b">
        <v>1</v>
      </c>
      <c r="B743" s="5" t="s">
        <v>787</v>
      </c>
      <c r="C743" s="6" t="str">
        <f>IFERROR(__xludf.DUMMYFUNCTION("""COMPUTED_VALUE"""),"10.1007/s00766-018-0290-5")</f>
        <v>10.1007/s00766-018-0290-5</v>
      </c>
      <c r="D743" s="7" t="str">
        <f>IFERROR(__xludf.DUMMYFUNCTION("""COMPUTED_VALUE"""),"Maier A.; Berry D.M.")</f>
        <v>Maier A.; Berry D.M.</v>
      </c>
      <c r="E743" s="7" t="str">
        <f>IFERROR(__xludf.DUMMYFUNCTION("""COMPUTED_VALUE"""),"Improving the identification of hedonic quality in user requirements: a second controlled experiment")</f>
        <v>Improving the identification of hedonic quality in user requirements: a second controlled experiment</v>
      </c>
      <c r="F743" s="7" t="str">
        <f>IFERROR(__xludf.DUMMYFUNCTION("""COMPUTED_VALUE"""),"REJ")</f>
        <v>REJ</v>
      </c>
      <c r="G743" s="7" t="str">
        <f>IFERROR(__xludf.DUMMYFUNCTION("""COMPUTED_VALUE"""),"Systematically engineering a good user experience (UX) into a computer-based system under development demands that the user requirements of the system reflect all needs, including emotional, of all stakeholders. User requirements address two different typ"&amp;"es of qualities: pragmatic qualities (PQs), that address system functionality and usability, and hedonic qualities (HQs) that address the stakeholder’s psychological well-being. Studies show that users tend to describe such satisfying UXes mainly with PQs"&amp;" and that some users seem to believe that they are describing an HQ when they are actually describing a PQ. The problem is to see if classification of any user requirement as PQ-related or HQ-related is difficult, and if so, why. We conducted two controll"&amp;"ed experiments involving the same twelve requirements-engineering and UX professionals, hereinafter called “analysts.” The first experiment, which had the twelve analysts classifying each of 105 user requirements as PQ-related or HQ-related, shows that ne"&amp;"ither (1) an analyst’s involvement in the project from which the requirements came nor (2) the analyst’s use of a detailed model of the qualities in addition to the standard definitions of “PQ” and “HQ” has a positive effect on the consistency of the anal"&amp;"yst’s classification with that of others. The second experiment, which had the twelve analysts classifying each of a set of 50 user requirements, derived from the 105 of the first experiment, showed that difficulties seem to be caused both by the analyst’"&amp;"s lacking skill in applying the definitions of “PQ” and “HQ” and by poorly written user requirement specifications. The first experiment revealed that classification of user requirements is a lot harder than initially assumed. The second experiment provid"&amp;"ed evidence that the difficulties can be mitigated by the combination of (1) training analysts in applying the definitions of “PQ” and “HQ” and (2) casting user requirement specifications in a new template that forces provision of the information needed f"&amp;"or reliable classification. The experiment shows also that neither training analysts nor casting user requirement specifications in the new template, by itself, mitigates the difficulty in classifying user requirements. © 2018, Springer-Verlag London Ltd."&amp;", part of Springer Nature.")</f>
        <v>Systematically engineering a good user experience (UX) into a computer-based system under development demands that the user requirements of the system reflect all needs, including emotional, of all stakeholders. User requirements address two different types of qualities: pragmatic qualities (PQs), that address system functionality and usability, and hedonic qualities (HQs) that address the stakeholder’s psychological well-being. Studies show that users tend to describe such satisfying UXes mainly with PQs and that some users seem to believe that they are describing an HQ when they are actually describing a PQ. The problem is to see if classification of any user requirement as PQ-related or HQ-related is difficult, and if so, why. We conducted two controlled experiments involving the same twelve requirements-engineering and UX professionals, hereinafter called “analysts.” The first experiment, which had the twelve analysts classifying each of 105 user requirements as PQ-related or HQ-related, shows that neither (1) an analyst’s involvement in the project from which the requirements came nor (2) the analyst’s use of a detailed model of the qualities in addition to the standard definitions of “PQ” and “HQ” has a positive effect on the consistency of the analyst’s classification with that of others. The second experiment, which had the twelve analysts classifying each of a set of 50 user requirements, derived from the 105 of the first experiment, showed that difficulties seem to be caused both by the analyst’s lacking skill in applying the definitions of “PQ” and “HQ” and by poorly written user requirement specifications. The first experiment revealed that classification of user requirements is a lot harder than initially assumed. The second experiment provided evidence that the difficulties can be mitigated by the combination of (1) training analysts in applying the definitions of “PQ” and “HQ” and (2) casting user requirement specifications in a new template that forces provision of the information needed for reliable classification. The experiment shows also that neither training analysts nor casting user requirement specifications in the new template, by itself, mitigates the difficulty in classifying user requirements. © 2018, Springer-Verlag London Ltd., part of Springer Nature.</v>
      </c>
      <c r="H743" s="8" t="str">
        <f>IFERROR(__xludf.DUMMYFUNCTION("""COMPUTED_VALUE"""),"Classifier training; Controlled experiment; Definitions of pragmatic and hedonic qualities; Hedonic quality; Pragmatic quality; Project involvement; Quality model; User experience; User story template")</f>
        <v>Classifier training; Controlled experiment; Definitions of pragmatic and hedonic qualities; Hedonic quality; Pragmatic quality; Project involvement; Quality model; User experience; User story template</v>
      </c>
      <c r="I743" s="9" t="b">
        <v>0</v>
      </c>
      <c r="J743" s="9" t="b">
        <v>1</v>
      </c>
      <c r="K743" s="10" t="b">
        <v>0</v>
      </c>
      <c r="L743" s="10" t="b">
        <v>0</v>
      </c>
      <c r="M743" s="10" t="b">
        <v>0</v>
      </c>
      <c r="N743" s="10" t="b">
        <v>0</v>
      </c>
      <c r="O743" s="11" t="b">
        <f t="shared" si="1"/>
        <v>0</v>
      </c>
      <c r="P743" s="12" t="b">
        <v>0</v>
      </c>
      <c r="Q743" s="13"/>
    </row>
    <row r="744">
      <c r="A744" s="5" t="b">
        <v>1</v>
      </c>
      <c r="B744" s="5" t="s">
        <v>788</v>
      </c>
      <c r="C744" s="6" t="str">
        <f>IFERROR(__xludf.DUMMYFUNCTION("""COMPUTED_VALUE"""),"10.1007/s00766-021-00346-4")</f>
        <v>10.1007/s00766-021-00346-4</v>
      </c>
      <c r="D744" s="7" t="str">
        <f>IFERROR(__xludf.DUMMYFUNCTION("""COMPUTED_VALUE"""),"Wang Y.; Li T.; Zhou Q.; Du J.")</f>
        <v>Wang Y.; Li T.; Zhou Q.; Du J.</v>
      </c>
      <c r="E744" s="7" t="str">
        <f>IFERROR(__xludf.DUMMYFUNCTION("""COMPUTED_VALUE"""),"Toward practical adoption of i* framework: an automatic two-level layout approach")</f>
        <v>Toward practical adoption of i* framework: an automatic two-level layout approach</v>
      </c>
      <c r="F744" s="7" t="str">
        <f>IFERROR(__xludf.DUMMYFUNCTION("""COMPUTED_VALUE"""),"REJ")</f>
        <v>REJ</v>
      </c>
      <c r="G744" s="7" t="str">
        <f>IFERROR(__xludf.DUMMYFUNCTION("""COMPUTED_VALUE"""),"Bridging the gap between academia and industry is an important issue to promote the practicality of i* framework. Researchers have been dealing with this issue from various perspectives, such as simplifying the meta-models or modeling processes of i* fram"&amp;"ework. In this paper, we exclusively focus on the scalability issue in laying out large-scale i* models and propose a two-level layout approach to automatically lay out i* models in an efficient and comprehensible manner, contributing to the adoption of i"&amp;"* framework in the industry. The proposed approach is designed by considering the semantics of i* constructs and layout conventions of i* models in order to produce meaningful layouts and can appropriately handle both the SD (Strategic Dependency) view an"&amp;"d the SR (Strategic Rationale) view of i* models. We have implemented our approach in an open-access prototype tool, which is able to be integrated with existing iStarML-compatible modeling tools. We have conducted a controlled experiment, a case study, a"&amp;"nd performance testing to empirically and comprehensively evaluate the utility of our approach, the results of which show that our proposal can efficiently produce meaningful layouts that are as comprehensible as manually laid out models in most cases. © "&amp;"2021, The Author(s), under exclusive licence to Springer-Verlag London Ltd. part of Springer Nature.")</f>
        <v>Bridging the gap between academia and industry is an important issue to promote the practicality of i* framework. Researchers have been dealing with this issue from various perspectives, such as simplifying the meta-models or modeling processes of i* framework. In this paper, we exclusively focus on the scalability issue in laying out large-scale i* models and propose a two-level layout approach to automatically lay out i* models in an efficient and comprehensible manner, contributing to the adoption of i* framework in the industry. The proposed approach is designed by considering the semantics of i* constructs and layout conventions of i* models in order to produce meaningful layouts and can appropriately handle both the SD (Strategic Dependency) view and the SR (Strategic Rationale) view of i* models. We have implemented our approach in an open-access prototype tool, which is able to be integrated with existing iStarML-compatible modeling tools. We have conducted a controlled experiment, a case study, and performance testing to empirically and comprehensively evaluate the utility of our approach, the results of which show that our proposal can efficiently produce meaningful layouts that are as comprehensible as manually laid out models in most cases. © 2021, The Author(s), under exclusive licence to Springer-Verlag London Ltd. part of Springer Nature.</v>
      </c>
      <c r="H744" s="8" t="str">
        <f>IFERROR(__xludf.DUMMYFUNCTION("""COMPUTED_VALUE"""),"Automatic layout; Empirical study; i* framework; Prototype tool")</f>
        <v>Automatic layout; Empirical study; i* framework; Prototype tool</v>
      </c>
      <c r="I744" s="10" t="b">
        <v>0</v>
      </c>
      <c r="J744" s="10" t="b">
        <v>0</v>
      </c>
      <c r="K744" s="10" t="b">
        <v>0</v>
      </c>
      <c r="L744" s="10" t="b">
        <v>0</v>
      </c>
      <c r="M744" s="10" t="b">
        <v>0</v>
      </c>
      <c r="N744" s="10" t="b">
        <v>0</v>
      </c>
      <c r="O744" s="11" t="b">
        <f t="shared" si="1"/>
        <v>0</v>
      </c>
      <c r="P744" s="16" t="b">
        <v>0</v>
      </c>
      <c r="Q744" s="7"/>
    </row>
    <row r="745">
      <c r="A745" s="5" t="b">
        <v>1</v>
      </c>
      <c r="B745" s="5" t="s">
        <v>789</v>
      </c>
      <c r="C745" s="6" t="str">
        <f>IFERROR(__xludf.DUMMYFUNCTION("""COMPUTED_VALUE"""),"10.1007/s00766-022-00388-2")</f>
        <v>10.1007/s00766-022-00388-2</v>
      </c>
      <c r="D745" s="7" t="str">
        <f>IFERROR(__xludf.DUMMYFUNCTION("""COMPUTED_VALUE"""),"Peixoto M.; Silva C.; Araújo J.; Gorschek T.; Vasconcelos A.; Vilela J.")</f>
        <v>Peixoto M.; Silva C.; Araújo J.; Gorschek T.; Vasconcelos A.; Vilela J.</v>
      </c>
      <c r="E745" s="7" t="str">
        <f>IFERROR(__xludf.DUMMYFUNCTION("""COMPUTED_VALUE"""),"Evaluating a privacy requirements specification method by using a mixed-method approach: results and lessons learned")</f>
        <v>Evaluating a privacy requirements specification method by using a mixed-method approach: results and lessons learned</v>
      </c>
      <c r="F745" s="7" t="str">
        <f>IFERROR(__xludf.DUMMYFUNCTION("""COMPUTED_VALUE"""),"REJ")</f>
        <v>REJ</v>
      </c>
      <c r="G745" s="7" t="str">
        <f>IFERROR(__xludf.DUMMYFUNCTION("""COMPUTED_VALUE"""),"Although agile software development (ASD) has been adopted in the industry, requirements approaches for ASD still neglect non-functional requirements. Privacy has become a concern due to new user demands and data protection laws. Hence, privacy needs to b"&amp;"e properly specified, but agile requirements engineering techniques do not explicitly represent privacy requirements and, therefore, are not able to proper analyze such requirements. In this context, Privacy Criteria Method (PCM), an approach to specify p"&amp;"rivacy in requirements activities, was proposed to produce more complete and detailed privacy requirements. By considering PCM a promising approach to be used in ASD and the importance of empirical evaluation of new methods, we have as objectives: 1 evalu"&amp;"ate the ability of PCM to support systems analysts in specifying privacy requirements when used in conjunction with some agile specification methods; and 2 show our lessons learned in conducting empirical research based on an mix-method approach defined t"&amp;"o empirically evaluate the suitability of a requirements specification in specifying privacy requirements. Mixed-method approach is a controlled experiment as a quantitative evaluation and a feasibility study (questionnaire and task analysis based) study "&amp;"as a qualitative and quantitative evaluation. The requirements specifications following PCM allow to represent privacy aspects, such as user’s personal data and the privacy mechanism that can be used to mitigate a privacy risk scenario. We also observed t"&amp;"hat some extra time is necessary to specify privacy requirements with PCM, but it does not imply a greater perceived effort. Specifications produced with PCM are of good quality and more privacy detailed. Additionally, we attest to the importance of condu"&amp;"cting empirical research to evaluate new methods. PCM assists in specifying more complete and detailed in relation to traditional techniques used in ASD, which facilitates communication between the requirements analysts and developers. © 2022, The Author("&amp;"s), under exclusive licence to Springer-Verlag London Ltd., part of Springer Nature.")</f>
        <v>Although agile software development (ASD) has been adopted in the industry, requirements approaches for ASD still neglect non-functional requirements. Privacy has become a concern due to new user demands and data protection laws. Hence, privacy needs to be properly specified, but agile requirements engineering techniques do not explicitly represent privacy requirements and, therefore, are not able to proper analyze such requirements. In this context, Privacy Criteria Method (PCM), an approach to specify privacy in requirements activities, was proposed to produce more complete and detailed privacy requirements. By considering PCM a promising approach to be used in ASD and the importance of empirical evaluation of new methods, we have as objectives: 1 evaluate the ability of PCM to support systems analysts in specifying privacy requirements when used in conjunction with some agile specification methods; and 2 show our lessons learned in conducting empirical research based on an mix-method approach defined to empirically evaluate the suitability of a requirements specification in specifying privacy requirements. Mixed-method approach is a controlled experiment as a quantitative evaluation and a feasibility study (questionnaire and task analysis based) study as a qualitative and quantitative evaluation. The requirements specifications following PCM allow to represent privacy aspects, such as user’s personal data and the privacy mechanism that can be used to mitigate a privacy risk scenario. We also observed that some extra time is necessary to specify privacy requirements with PCM, but it does not imply a greater perceived effort. Specifications produced with PCM are of good quality and more privacy detailed. Additionally, we attest to the importance of conducting empirical research to evaluate new methods. PCM assists in specifying more complete and detailed in relation to traditional techniques used in ASD, which facilitates communication between the requirements analysts and developers. © 2022, The Author(s), under exclusive licence to Springer-Verlag London Ltd., part of Springer Nature.</v>
      </c>
      <c r="H745" s="8" t="str">
        <f>IFERROR(__xludf.DUMMYFUNCTION("""COMPUTED_VALUE"""),"Agile software development; Empirical study; Privacy criteria method; Privacy requirements specification")</f>
        <v>Agile software development; Empirical study; Privacy criteria method; Privacy requirements specification</v>
      </c>
      <c r="I745" s="10" t="b">
        <v>0</v>
      </c>
      <c r="J745" s="10" t="b">
        <v>0</v>
      </c>
      <c r="K745" s="10" t="b">
        <v>0</v>
      </c>
      <c r="L745" s="10" t="b">
        <v>0</v>
      </c>
      <c r="M745" s="10" t="b">
        <v>0</v>
      </c>
      <c r="N745" s="10" t="b">
        <v>0</v>
      </c>
      <c r="O745" s="11" t="b">
        <f t="shared" si="1"/>
        <v>0</v>
      </c>
      <c r="P745" s="16" t="b">
        <v>0</v>
      </c>
      <c r="Q745" s="7"/>
    </row>
    <row r="746">
      <c r="A746" s="5" t="b">
        <v>1</v>
      </c>
      <c r="B746" s="5" t="s">
        <v>790</v>
      </c>
      <c r="C746" s="6" t="str">
        <f>IFERROR(__xludf.DUMMYFUNCTION("""COMPUTED_VALUE"""),"10.1002/smr.1715")</f>
        <v>10.1002/smr.1715</v>
      </c>
      <c r="D746" s="7" t="str">
        <f>IFERROR(__xludf.DUMMYFUNCTION("""COMPUTED_VALUE"""),"Barabino G.; Concas G.; Corona E.; Grechi D.; Marchesi M.; Tigano D.")</f>
        <v>Barabino G.; Concas G.; Corona E.; Grechi D.; Marchesi M.; Tigano D.</v>
      </c>
      <c r="E746" s="7" t="str">
        <f>IFERROR(__xludf.DUMMYFUNCTION("""COMPUTED_VALUE"""),"Web framework points: An effort estimation methodology for Web application development using a content management framework")</f>
        <v>Web framework points: An effort estimation methodology for Web application development using a content management framework</v>
      </c>
      <c r="F746" s="7" t="str">
        <f>IFERROR(__xludf.DUMMYFUNCTION("""COMPUTED_VALUE"""),"JSEP")</f>
        <v>JSEP</v>
      </c>
      <c r="G746" s="7" t="str">
        <f>IFERROR(__xludf.DUMMYFUNCTION("""COMPUTED_VALUE"""),"This work presents the Web Framework Points (WFP) methodology to estimate the effort of Web applications developed with a content management framework. WFP is composed of a sizing phase, and an effort estimation phase, obtained by applying a cost model to"&amp;" the size model of the project to estimate. The sizing of the project takes into account not only usual functional requirements, but also elements specific for developing a Web application. We present the experimental validation of the proposed methodolog"&amp;"y.; Web applications are among the most popular and relevant kinds of application. Most Web applications are developed using a content management framework (CMF). CMF helps to accelerate the publication of large amounts of information and the development "&amp;"of Web applications. However, developing Web applications through CMF is not exempt from cost and time overruns, as in traditional software projects. Currently, there is no estimation model able to adequately measure the effort of developing a Web applica"&amp;"tion. This work presents a new methodology, called web framework points, to estimate the effort of Web applications developed with CMF. Web framework points is a hybrid methodology, composed of a sizing phase, which follows specific guidelines, and an eff"&amp;"ort estimation phase, obtained by applying a cost model to the size model of the project to estimate. The sizing of the project takes into account not only usual functional requirements, as in function points analysis, but also elements specific for devel"&amp;"oping a Web application through CMF. We also present the experimental validation of the proposed methodology, performed on a dataset of 29 real-world projects, of which 83% show an estimation error of less than 25%. © 2015 John Wiley &amp; Sons, Ltd.")</f>
        <v>This work presents the Web Framework Points (WFP) methodology to estimate the effort of Web applications developed with a content management framework. WFP is composed of a sizing phase, and an effort estimation phase, obtained by applying a cost model to the size model of the project to estimate. The sizing of the project takes into account not only usual functional requirements, but also elements specific for developing a Web application. We present the experimental validation of the proposed methodology.; Web applications are among the most popular and relevant kinds of application. Most Web applications are developed using a content management framework (CMF). CMF helps to accelerate the publication of large amounts of information and the development of Web applications. However, developing Web applications through CMF is not exempt from cost and time overruns, as in traditional software projects. Currently, there is no estimation model able to adequately measure the effort of developing a Web application. This work presents a new methodology, called web framework points, to estimate the effort of Web applications developed with CMF. Web framework points is a hybrid methodology, composed of a sizing phase, which follows specific guidelines, and an effort estimation phase, obtained by applying a cost model to the size model of the project to estimate. The sizing of the project takes into account not only usual functional requirements, as in function points analysis, but also elements specific for developing a Web application through CMF. We also present the experimental validation of the proposed methodology, performed on a dataset of 29 real-world projects, of which 83% show an estimation error of less than 25%. © 2015 John Wiley &amp; Sons, Ltd.</v>
      </c>
      <c r="H746" s="8" t="str">
        <f>IFERROR(__xludf.DUMMYFUNCTION("""COMPUTED_VALUE"""),"content management framework; function points; software effort estimation; Web applications; Web objects")</f>
        <v>content management framework; function points; software effort estimation; Web applications; Web objects</v>
      </c>
      <c r="I746" s="10" t="b">
        <v>0</v>
      </c>
      <c r="J746" s="10" t="b">
        <v>0</v>
      </c>
      <c r="K746" s="10" t="b">
        <v>0</v>
      </c>
      <c r="L746" s="10" t="b">
        <v>0</v>
      </c>
      <c r="M746" s="10" t="b">
        <v>0</v>
      </c>
      <c r="N746" s="10" t="b">
        <v>0</v>
      </c>
      <c r="O746" s="11" t="b">
        <f t="shared" si="1"/>
        <v>0</v>
      </c>
      <c r="P746" s="16" t="b">
        <v>0</v>
      </c>
      <c r="Q746" s="7"/>
    </row>
    <row r="747">
      <c r="A747" s="5" t="b">
        <v>1</v>
      </c>
      <c r="B747" s="5" t="s">
        <v>791</v>
      </c>
      <c r="C747" s="6" t="str">
        <f>IFERROR(__xludf.DUMMYFUNCTION("""COMPUTED_VALUE"""),"10.1002/smr.2336")</f>
        <v>10.1002/smr.2336</v>
      </c>
      <c r="D747" s="7" t="str">
        <f>IFERROR(__xludf.DUMMYFUNCTION("""COMPUTED_VALUE"""),"Paul T.K.; Chowdhury M.J.M.; Lau M.F.")</f>
        <v>Paul T.K.; Chowdhury M.J.M.; Lau M.F.</v>
      </c>
      <c r="E747" s="7" t="str">
        <f>IFERROR(__xludf.DUMMYFUNCTION("""COMPUTED_VALUE"""),"A new disjunctive literal insertion fault detection strategy in boolean specifications")</f>
        <v>A new disjunctive literal insertion fault detection strategy in boolean specifications</v>
      </c>
      <c r="F747" s="7" t="str">
        <f>IFERROR(__xludf.DUMMYFUNCTION("""COMPUTED_VALUE"""),"JSEP")</f>
        <v>JSEP</v>
      </c>
      <c r="G747" s="7" t="str">
        <f>IFERROR(__xludf.DUMMYFUNCTION("""COMPUTED_VALUE"""),"In fault-based Boolean expression testing, the main challenge is to generate effective test cases that can detect faults within expressions. Previous studies show that it is hard to detect literal insertion faults, more specifically Disjunctive literal in"&amp;"sertion fault (LIF[+]) compared with other faults in Boolean expressions. Researchers have been using different strategies such as multiple near false point coverage (MNFP) and modified condition decision coverage (MCDC) to detect LIF[+] faults. However, "&amp;"these strategies have their own limitations. For example, MNFP can only be applied when the expression is in irredundant disjunctive normal form (IDNF), and MCDC detects a low percentage of LIF[+] faults. In this paper, we propose an abstract syntax tree "&amp;"(AST)-based test case generation strategy for LIF[+] fault detection that overcomes these limitations. Furthermore, our experimental results indicate that, on average, the test suites satisfying the proposed strategy can detect approximately 97.3% of LIF["&amp;"+] faults for general form expressions and 89.7% of LIF[+] faults for IDNF expressions, which are 15.6% and 13.8% improvement, respectively, compared to the MCDC test suites. Moreover, the size of the required test suite is smaller than that of MCDC test "&amp;"suite. © 2021 John Wiley &amp; Sons, Ltd.")</f>
        <v>In fault-based Boolean expression testing, the main challenge is to generate effective test cases that can detect faults within expressions. Previous studies show that it is hard to detect literal insertion faults, more specifically Disjunctive literal insertion fault (LIF[+]) compared with other faults in Boolean expressions. Researchers have been using different strategies such as multiple near false point coverage (MNFP) and modified condition decision coverage (MCDC) to detect LIF[+] faults. However, these strategies have their own limitations. For example, MNFP can only be applied when the expression is in irredundant disjunctive normal form (IDNF), and MCDC detects a low percentage of LIF[+] faults. In this paper, we propose an abstract syntax tree (AST)-based test case generation strategy for LIF[+] fault detection that overcomes these limitations. Furthermore, our experimental results indicate that, on average, the test suites satisfying the proposed strategy can detect approximately 97.3% of LIF[+] faults for general form expressions and 89.7% of LIF[+] faults for IDNF expressions, which are 15.6% and 13.8% improvement, respectively, compared to the MCDC test suites. Moreover, the size of the required test suite is smaller than that of MCDC test suite. © 2021 John Wiley &amp; Sons, Ltd.</v>
      </c>
      <c r="H747" s="8" t="str">
        <f>IFERROR(__xludf.DUMMYFUNCTION("""COMPUTED_VALUE"""),"Boolean expressions; disjunctive literal insertion fault; fault-based testing; software testing")</f>
        <v>Boolean expressions; disjunctive literal insertion fault; fault-based testing; software testing</v>
      </c>
      <c r="I747" s="10" t="b">
        <v>0</v>
      </c>
      <c r="J747" s="10" t="b">
        <v>0</v>
      </c>
      <c r="K747" s="10" t="b">
        <v>0</v>
      </c>
      <c r="L747" s="10" t="b">
        <v>0</v>
      </c>
      <c r="M747" s="10" t="b">
        <v>0</v>
      </c>
      <c r="N747" s="10" t="b">
        <v>0</v>
      </c>
      <c r="O747" s="11" t="b">
        <f t="shared" si="1"/>
        <v>0</v>
      </c>
      <c r="P747" s="16" t="b">
        <v>0</v>
      </c>
      <c r="Q747" s="7"/>
    </row>
    <row r="748">
      <c r="A748" s="5" t="b">
        <v>1</v>
      </c>
      <c r="B748" s="5" t="s">
        <v>792</v>
      </c>
      <c r="C748" s="6" t="str">
        <f>IFERROR(__xludf.DUMMYFUNCTION("""COMPUTED_VALUE"""),"10.1002/smr.2327")</f>
        <v>10.1002/smr.2327</v>
      </c>
      <c r="D748" s="7" t="str">
        <f>IFERROR(__xludf.DUMMYFUNCTION("""COMPUTED_VALUE"""),"Santos A.C.M.; Júnior M.C.; de Carvalho Andrade E.")</f>
        <v>Santos A.C.M.; Júnior M.C.; de Carvalho Andrade E.</v>
      </c>
      <c r="E748" s="7" t="str">
        <f>IFERROR(__xludf.DUMMYFUNCTION("""COMPUTED_VALUE"""),"Multimedia resources as a support for requirements engineering and software maintenance")</f>
        <v>Multimedia resources as a support for requirements engineering and software maintenance</v>
      </c>
      <c r="F748" s="7" t="str">
        <f>IFERROR(__xludf.DUMMYFUNCTION("""COMPUTED_VALUE"""),"JSEP")</f>
        <v>JSEP</v>
      </c>
      <c r="G748" s="7" t="str">
        <f>IFERROR(__xludf.DUMMYFUNCTION("""COMPUTED_VALUE"""),"Textual documentations are frequently used in the software development process to outline features and behaviors of an application. For some people, textual descriptions may not be enough to understand what is being developed. In this scenario, multimedia"&amp;" resources appear as an option for software documentation, providing other ways to observe and interpret information. Objective: To identify and characterize the approaches and techniques which promote the use of multimedia in requirements engineering (RE"&amp;") to support software development and maintenance. Method: A systematic mapping was conducted to find the primary studies in the literature and collect evidence for directing future research. Results: Only 27.66% of the approaches found validated their so"&amp;"lutions through controlled experiments, showing the need to increase the use of scientific method in this area, with replications of studies that will allow to evaluating if other researchers independently will come up with the same results. In this conte"&amp;"xt, the approaches/techniques identified were TRECE, MURMER, Wiki System Multimedia, Storytelling, Virtual World Environment, VisionCatcher, PRESTO4U, ReqVidA, CrowdRE, AVW, The Software Cinema Technique, Dolli Project, UTOPIA, and approaches without expl"&amp;"icit names, which, as a rule, use multimedia resources as an additional support. Conclusions: There was a favorable consensus regarding the use of multimedia in RE. The selected studies demonstrated to be favorable to the adoption of media to persist and "&amp;"store the requirements of a system. Moreover, multimedia resources can improve the process of understanding the code and decrease evolution and maintenance costs. General terms are design, documentation, experimentation, human factors, multimedia, reliabi"&amp;"lity, software engineering, verification, and security. © 2020 John Wiley &amp; Sons, Ltd.")</f>
        <v>Textual documentations are frequently used in the software development process to outline features and behaviors of an application. For some people, textual descriptions may not be enough to understand what is being developed. In this scenario, multimedia resources appear as an option for software documentation, providing other ways to observe and interpret information. Objective: To identify and characterize the approaches and techniques which promote the use of multimedia in requirements engineering (RE) to support software development and maintenance. Method: A systematic mapping was conducted to find the primary studies in the literature and collect evidence for directing future research. Results: Only 27.66% of the approaches found validated their solutions through controlled experiments, showing the need to increase the use of scientific method in this area, with replications of studies that will allow to evaluating if other researchers independently will come up with the same results. In this context, the approaches/techniques identified were TRECE, MURMER, Wiki System Multimedia, Storytelling, Virtual World Environment, VisionCatcher, PRESTO4U, ReqVidA, CrowdRE, AVW, The Software Cinema Technique, Dolli Project, UTOPIA, and approaches without explicit names, which, as a rule, use multimedia resources as an additional support. Conclusions: There was a favorable consensus regarding the use of multimedia in RE. The selected studies demonstrated to be favorable to the adoption of media to persist and store the requirements of a system. Moreover, multimedia resources can improve the process of understanding the code and decrease evolution and maintenance costs. General terms are design, documentation, experimentation, human factors, multimedia, reliability, software engineering, verification, and security. © 2020 John Wiley &amp; Sons, Ltd.</v>
      </c>
      <c r="H748" s="8" t="str">
        <f>IFERROR(__xludf.DUMMYFUNCTION("""COMPUTED_VALUE"""),"multimedia resources; requirements engineering; software documentation; software evolution and software comprehension")</f>
        <v>multimedia resources; requirements engineering; software documentation; software evolution and software comprehension</v>
      </c>
      <c r="I748" s="10" t="b">
        <v>0</v>
      </c>
      <c r="J748" s="10" t="b">
        <v>0</v>
      </c>
      <c r="K748" s="10" t="b">
        <v>0</v>
      </c>
      <c r="L748" s="10" t="b">
        <v>0</v>
      </c>
      <c r="M748" s="10" t="b">
        <v>0</v>
      </c>
      <c r="N748" s="10" t="b">
        <v>0</v>
      </c>
      <c r="O748" s="11" t="b">
        <f t="shared" si="1"/>
        <v>0</v>
      </c>
      <c r="P748" s="16" t="b">
        <v>0</v>
      </c>
      <c r="Q748" s="7"/>
    </row>
    <row r="749">
      <c r="A749" s="5" t="b">
        <v>1</v>
      </c>
      <c r="B749" s="5" t="s">
        <v>793</v>
      </c>
      <c r="C749" s="6" t="str">
        <f>IFERROR(__xludf.DUMMYFUNCTION("""COMPUTED_VALUE"""),"10.1002/smr.2396")</f>
        <v>10.1002/smr.2396</v>
      </c>
      <c r="D749" s="7" t="str">
        <f>IFERROR(__xludf.DUMMYFUNCTION("""COMPUTED_VALUE"""),"Cerioli M.; Lagorio G.; Leotta M.; Ricca F.")</f>
        <v>Cerioli M.; Lagorio G.; Leotta M.; Ricca F.</v>
      </c>
      <c r="E749" s="7" t="str">
        <f>IFERROR(__xludf.DUMMYFUNCTION("""COMPUTED_VALUE"""),"Fight silent horror unit test methods by consulting a TestWizard")</f>
        <v>Fight silent horror unit test methods by consulting a TestWizard</v>
      </c>
      <c r="F749" s="7" t="str">
        <f>IFERROR(__xludf.DUMMYFUNCTION("""COMPUTED_VALUE"""),"JSEP")</f>
        <v>JSEP</v>
      </c>
      <c r="G749" s="7" t="str">
        <f>IFERROR(__xludf.DUMMYFUNCTION("""COMPUTED_VALUE"""),"Tests, when not correctly implemented, can pass on incorrect system implementations rather than fail. In this case, they are named silent horrors or false-negative tests. They make releasing low-quality (buggy) versions of the software system more probabl"&amp;"e. Furthermore, faithfully implementing test specifications is crucial when they play the role of documentation, like when documenting components or services or driving legacy systems' re-engineering. This paper presents TestWizard, a novel approach and t"&amp;"ool for automatically assessing individual tests' quality from the point of view of their coherence to specifications. TestWizard automatically assesses the quality of each individual test case w.r.t. its specification, providing detailed reports on why a"&amp;" single test is a false negative, hence helping testers fix them. Thus, TestWizard can help to automate the test code review process, which is still mainly manual today. The analysis of 1012 test implementations, developed by 123 students in three experim"&amp;"ents, shows that TestWizard is (1) by far more accurate than code review performed by multiple students, (2) slightly better than code review performed by three senior experts, and (3) always able to detect a significant percentage of false-negative test "&amp;"methods (up to 21.22%). © 2021 The Authors. Journal of Software: Evolution and Process published by John Wiley &amp; Sons Ltd.")</f>
        <v>Tests, when not correctly implemented, can pass on incorrect system implementations rather than fail. In this case, they are named silent horrors or false-negative tests. They make releasing low-quality (buggy) versions of the software system more probable. Furthermore, faithfully implementing test specifications is crucial when they play the role of documentation, like when documenting components or services or driving legacy systems' re-engineering. This paper presents TestWizard, a novel approach and tool for automatically assessing individual tests' quality from the point of view of their coherence to specifications. TestWizard automatically assesses the quality of each individual test case w.r.t. its specification, providing detailed reports on why a single test is a false negative, hence helping testers fix them. Thus, TestWizard can help to automate the test code review process, which is still mainly manual today. The analysis of 1012 test implementations, developed by 123 students in three experiments, shows that TestWizard is (1) by far more accurate than code review performed by multiple students, (2) slightly better than code review performed by three senior experts, and (3) always able to detect a significant percentage of false-negative test methods (up to 21.22%). © 2021 The Authors. Journal of Software: Evolution and Process published by John Wiley &amp; Sons Ltd.</v>
      </c>
      <c r="H749" s="8" t="str">
        <f>IFERROR(__xludf.DUMMYFUNCTION("""COMPUTED_VALUE"""),"automated testing; code review; false-negative unit tests; test code; test quality; test specifications")</f>
        <v>automated testing; code review; false-negative unit tests; test code; test quality; test specifications</v>
      </c>
      <c r="I749" s="10" t="b">
        <v>0</v>
      </c>
      <c r="J749" s="10" t="b">
        <v>0</v>
      </c>
      <c r="K749" s="10" t="b">
        <v>0</v>
      </c>
      <c r="L749" s="10" t="b">
        <v>0</v>
      </c>
      <c r="M749" s="10" t="b">
        <v>0</v>
      </c>
      <c r="N749" s="10" t="b">
        <v>0</v>
      </c>
      <c r="O749" s="11" t="b">
        <f t="shared" si="1"/>
        <v>0</v>
      </c>
      <c r="P749" s="16" t="b">
        <v>0</v>
      </c>
      <c r="Q749" s="7"/>
    </row>
    <row r="750">
      <c r="A750" s="5" t="b">
        <v>1</v>
      </c>
      <c r="B750" s="5" t="s">
        <v>794</v>
      </c>
      <c r="C750" s="6" t="str">
        <f>IFERROR(__xludf.DUMMYFUNCTION("""COMPUTED_VALUE"""),"10.1002/smr.2209")</f>
        <v>10.1002/smr.2209</v>
      </c>
      <c r="D750" s="7" t="str">
        <f>IFERROR(__xludf.DUMMYFUNCTION("""COMPUTED_VALUE"""),"Benyagoub S.; Aït-Ameur Y.; Ouederni M.; Mashkoor A.; Medeghri A.")</f>
        <v>Benyagoub S.; Aït-Ameur Y.; Ouederni M.; Mashkoor A.; Medeghri A.</v>
      </c>
      <c r="E750" s="7" t="str">
        <f>IFERROR(__xludf.DUMMYFUNCTION("""COMPUTED_VALUE"""),"Formal design of scalable conversation protocols using Event-B: Validation, experiments, and benchmarks")</f>
        <v>Formal design of scalable conversation protocols using Event-B: Validation, experiments, and benchmarks</v>
      </c>
      <c r="F750" s="7" t="str">
        <f>IFERROR(__xludf.DUMMYFUNCTION("""COMPUTED_VALUE"""),"JSEP")</f>
        <v>JSEP</v>
      </c>
      <c r="G750" s="7" t="str">
        <f>IFERROR(__xludf.DUMMYFUNCTION("""COMPUTED_VALUE"""),"Contemporary interaction-based complex systems are often built by reusing existing distributed peers, which have to coordinate with each other to fulfill the client, system, and environment requirements. In this paper, we address the design of distributed"&amp;" systems composed of peers (state-transitions systems) communicating through message exchanges. We consider choreographies as the formal model, allowing a developer to describe and specify peers coordination as a set of conversations; ie, all sequences of"&amp;" messages exchanged between the communicating peers. Proceeding this way requires building neither the individual peers nor their composition as they may be obtained by the choreography projection. The correctness of the preservation of such messages exch"&amp;"anges by each peer obtained after projection is a key issue, known as the realizability problem. Checking choreography realizability is mandatory to build third-party applications with no coordination error, eg, absence of deadlocks, missing messages, and"&amp;" erroneous messaging order. In our previous work, we have proposed a set of composition operators, allowing designers to build realizable choreographies that are represented by conversation protocols (CPs). In this work, realizability is guaranteed by con"&amp;"struction. We rely on the correct-by-construction Event-B method to prove that each CP constructed using our operators is realizable. In this paper, we show how our approach applies and scales to a set of use cases borrowed from the literature and used by"&amp;" the research community. We also show that our approach allows to detect failures and failure recovery in case realizability does not hold. © 2019 John Wiley &amp; Sons, Ltd.")</f>
        <v>Contemporary interaction-based complex systems are often built by reusing existing distributed peers, which have to coordinate with each other to fulfill the client, system, and environment requirements. In this paper, we address the design of distributed systems composed of peers (state-transitions systems) communicating through message exchanges. We consider choreographies as the formal model, allowing a developer to describe and specify peers coordination as a set of conversations; ie, all sequences of messages exchanged between the communicating peers. Proceeding this way requires building neither the individual peers nor their composition as they may be obtained by the choreography projection. The correctness of the preservation of such messages exchanges by each peer obtained after projection is a key issue, known as the realizability problem. Checking choreography realizability is mandatory to build third-party applications with no coordination error, eg, absence of deadlocks, missing messages, and erroneous messaging order. In our previous work, we have proposed a set of composition operators, allowing designers to build realizable choreographies that are represented by conversation protocols (CPs). In this work, realizability is guaranteed by construction. We rely on the correct-by-construction Event-B method to prove that each CP constructed using our operators is realizable. In this paper, we show how our approach applies and scales to a set of use cases borrowed from the literature and used by the research community. We also show that our approach allows to detect failures and failure recovery in case realizability does not hold. © 2019 John Wiley &amp; Sons, Ltd.</v>
      </c>
      <c r="H750" s="8" t="str">
        <f>IFERROR(__xludf.DUMMYFUNCTION("""COMPUTED_VALUE"""),"choreography realizability; conversation protocols; correct by construction; distributed systems; Event-B; proof and refinement-based methods")</f>
        <v>choreography realizability; conversation protocols; correct by construction; distributed systems; Event-B; proof and refinement-based methods</v>
      </c>
      <c r="I750" s="10" t="b">
        <v>0</v>
      </c>
      <c r="J750" s="10" t="b">
        <v>0</v>
      </c>
      <c r="K750" s="10" t="b">
        <v>0</v>
      </c>
      <c r="L750" s="10" t="b">
        <v>0</v>
      </c>
      <c r="M750" s="10" t="b">
        <v>0</v>
      </c>
      <c r="N750" s="10" t="b">
        <v>0</v>
      </c>
      <c r="O750" s="11" t="b">
        <f t="shared" si="1"/>
        <v>0</v>
      </c>
      <c r="P750" s="16" t="b">
        <v>0</v>
      </c>
      <c r="Q750" s="7"/>
    </row>
    <row r="751">
      <c r="A751" s="5" t="b">
        <v>1</v>
      </c>
      <c r="B751" s="5" t="s">
        <v>795</v>
      </c>
      <c r="C751" s="6" t="str">
        <f>IFERROR(__xludf.DUMMYFUNCTION("""COMPUTED_VALUE"""),"10.1002/smr.2617")</f>
        <v>10.1002/smr.2617</v>
      </c>
      <c r="D751" s="7" t="str">
        <f>IFERROR(__xludf.DUMMYFUNCTION("""COMPUTED_VALUE"""),"Yasin A.; Fatima R.; JiangBin Z.; Ali Khan J.; Ali Khan A.")</f>
        <v>Yasin A.; Fatima R.; JiangBin Z.; Ali Khan J.; Ali Khan A.</v>
      </c>
      <c r="E751" s="7" t="str">
        <f>IFERROR(__xludf.DUMMYFUNCTION("""COMPUTED_VALUE"""),"Gamifying requirements: An empirical analysis of game-based technique for novices")</f>
        <v>Gamifying requirements: An empirical analysis of game-based technique for novices</v>
      </c>
      <c r="F751" s="7" t="str">
        <f>IFERROR(__xludf.DUMMYFUNCTION("""COMPUTED_VALUE"""),"JSEP")</f>
        <v>JSEP</v>
      </c>
      <c r="G751" s="7" t="str">
        <f>IFERROR(__xludf.DUMMYFUNCTION("""COMPUTED_VALUE"""),"Requirements elicitation is a process that involves gathering requirements for a given project. Several studies have been published suggesting strategies to improve the requirements gathering process. Using game-based and crowd-based approaches, researche"&amp;"rs are extracting requirements that are useful for product development today. This study follows the same line of research. This research study aims to improve the understanding of the requirements gathering process by novices or students through differen"&amp;"t activities: (I) knowledge of requirements gathering method and (II) techniques or activities viable for software requirements (education). Important methods used to address the above objectives are as follows: (I) a comprehensive review of the literatur"&amp;"e to understand requirements gathering; (II) designing an activity to embed RE challenges and RE sub-activities; and (III) experiment, survey, and observation to collect data and to assess the proposed methods' effectiveness. The suggested activity for re"&amp;"quirement gathering is based on the game tic-tac-toe. The participants suggest that the design of the activity is helpful in brainstorming and is also valuable for identifying requirements; moreover, a post questionnaire has been designed to determine the"&amp;" learning of the participants regarding the proposed activity. We can observe simply from the coefficients that both skills and challenges (as perceived by the participants) have positive impacts on engagement, immersion, and perceived learning. The propo"&amp;"sed activity helps novices or students gain (basic) knowledge of the requirements gathering process/technique; the outlined activity can be a way of learning requirements and gathering knowledge (basic). From this study, we conclude that the proposed acti"&amp;"vity has positive results and is helpful for participants to get a better understanding of the requirements engineering method(s). © 2023 John Wiley &amp; Sons Ltd.")</f>
        <v>Requirements elicitation is a process that involves gathering requirements for a given project. Several studies have been published suggesting strategies to improve the requirements gathering process. Using game-based and crowd-based approaches, researchers are extracting requirements that are useful for product development today. This study follows the same line of research. This research study aims to improve the understanding of the requirements gathering process by novices or students through different activities: (I) knowledge of requirements gathering method and (II) techniques or activities viable for software requirements (education). Important methods used to address the above objectives are as follows: (I) a comprehensive review of the literature to understand requirements gathering; (II) designing an activity to embed RE challenges and RE sub-activities; and (III) experiment, survey, and observation to collect data and to assess the proposed methods' effectiveness. The suggested activity for requirement gathering is based on the game tic-tac-toe. The participants suggest that the design of the activity is helpful in brainstorming and is also valuable for identifying requirements; moreover, a post questionnaire has been designed to determine the learning of the participants regarding the proposed activity. We can observe simply from the coefficients that both skills and challenges (as perceived by the participants) have positive impacts on engagement, immersion, and perceived learning. The proposed activity helps novices or students gain (basic) knowledge of the requirements gathering process/technique; the outlined activity can be a way of learning requirements and gathering knowledge (basic). From this study, we conclude that the proposed activity has positive results and is helpful for participants to get a better understanding of the requirements engineering method(s). © 2023 John Wiley &amp; Sons Ltd.</v>
      </c>
      <c r="H751" s="8" t="str">
        <f>IFERROR(__xludf.DUMMYFUNCTION("""COMPUTED_VALUE"""),"activity based learning; novices; requirements engineering; software requirements gathering")</f>
        <v>activity based learning; novices; requirements engineering; software requirements gathering</v>
      </c>
      <c r="I751" s="10" t="b">
        <v>0</v>
      </c>
      <c r="J751" s="9" t="b">
        <v>1</v>
      </c>
      <c r="K751" s="10" t="b">
        <v>0</v>
      </c>
      <c r="L751" s="10" t="b">
        <v>0</v>
      </c>
      <c r="M751" s="10" t="b">
        <v>0</v>
      </c>
      <c r="N751" s="10" t="b">
        <v>0</v>
      </c>
      <c r="O751" s="11" t="b">
        <f t="shared" si="1"/>
        <v>0</v>
      </c>
      <c r="P751" s="12" t="b">
        <v>0</v>
      </c>
      <c r="Q751" s="7"/>
    </row>
    <row r="752">
      <c r="A752" s="5" t="b">
        <v>1</v>
      </c>
      <c r="B752" s="5" t="s">
        <v>796</v>
      </c>
      <c r="C752" s="6" t="str">
        <f>IFERROR(__xludf.DUMMYFUNCTION("""COMPUTED_VALUE"""),"10.1002/smr.2399")</f>
        <v>10.1002/smr.2399</v>
      </c>
      <c r="D752" s="7" t="str">
        <f>IFERROR(__xludf.DUMMYFUNCTION("""COMPUTED_VALUE"""),"Paschali M.-E.; Volioti C.; Ampatzoglou A.; Gkagkas A.; Stamelos I.; Chatzigeorgiou A.")</f>
        <v>Paschali M.-E.; Volioti C.; Ampatzoglou A.; Gkagkas A.; Stamelos I.; Chatzigeorgiou A.</v>
      </c>
      <c r="E752" s="7" t="str">
        <f>IFERROR(__xludf.DUMMYFUNCTION("""COMPUTED_VALUE"""),"Implementing game requirements using design patterns")</f>
        <v>Implementing game requirements using design patterns</v>
      </c>
      <c r="F752" s="7" t="str">
        <f>IFERROR(__xludf.DUMMYFUNCTION("""COMPUTED_VALUE"""),"JSEP")</f>
        <v>JSEP</v>
      </c>
      <c r="G752" s="7" t="str">
        <f>IFERROR(__xludf.DUMMYFUNCTION("""COMPUTED_VALUE"""),"Game mechanics are high-level descriptions of common game requirements; however, they do not provide any guidance on their code implementation. Nevertheless, their implementation involves high volumes of essential complexity, which in turn leads to the in"&amp;"troduction of accidental complexity (long methods, code repetition, etc.). A possible solution to this problem is to map game mechanics to design patterns, in order to provide template instantiations that handle structural complexity. The aim of this stud"&amp;"y is twofold: (a) introduce template instantiations of game mechanics with Gang of Four (GoF) patterns and (b) evaluate such mappings in terms of extendibility and reusability. To achieve these objectives, we developed an online repository of mappings bet"&amp;"ween GoF patterns and game mechanics and conducted an experiment to explore the benefits of the mapping. The results of the study suggest that the implementation of game mechanics with GoF patterns is beneficial, because the time to extent the current imp"&amp;"lementation or reuse code chunks is not prolonged, whereas the implementations are less faulty. Finally, the suggested mapping will equip game mechanics with sample implementations (that adhere to good design principles—ensuring extendibility) that can be"&amp;" reused, acting as a starting point for source code development. © 2021 John Wiley &amp; Sons, Ltd.")</f>
        <v>Game mechanics are high-level descriptions of common game requirements; however, they do not provide any guidance on their code implementation. Nevertheless, their implementation involves high volumes of essential complexity, which in turn leads to the introduction of accidental complexity (long methods, code repetition, etc.). A possible solution to this problem is to map game mechanics to design patterns, in order to provide template instantiations that handle structural complexity. The aim of this study is twofold: (a) introduce template instantiations of game mechanics with Gang of Four (GoF) patterns and (b) evaluate such mappings in terms of extendibility and reusability. To achieve these objectives, we developed an online repository of mappings between GoF patterns and game mechanics and conducted an experiment to explore the benefits of the mapping. The results of the study suggest that the implementation of game mechanics with GoF patterns is beneficial, because the time to extent the current implementation or reuse code chunks is not prolonged, whereas the implementations are less faulty. Finally, the suggested mapping will equip game mechanics with sample implementations (that adhere to good design principles—ensuring extendibility) that can be reused, acting as a starting point for source code development. © 2021 John Wiley &amp; Sons, Ltd.</v>
      </c>
      <c r="H752" s="8" t="str">
        <f>IFERROR(__xludf.DUMMYFUNCTION("""COMPUTED_VALUE"""),"design patterns; game mechanics; maintainability; reusability")</f>
        <v>design patterns; game mechanics; maintainability; reusability</v>
      </c>
      <c r="I752" s="10" t="b">
        <v>0</v>
      </c>
      <c r="J752" s="10" t="b">
        <v>0</v>
      </c>
      <c r="K752" s="10" t="b">
        <v>0</v>
      </c>
      <c r="L752" s="10" t="b">
        <v>0</v>
      </c>
      <c r="M752" s="10" t="b">
        <v>0</v>
      </c>
      <c r="N752" s="10" t="b">
        <v>0</v>
      </c>
      <c r="O752" s="11" t="b">
        <f t="shared" si="1"/>
        <v>0</v>
      </c>
      <c r="P752" s="16" t="b">
        <v>0</v>
      </c>
      <c r="Q752" s="7"/>
    </row>
    <row r="753">
      <c r="A753" s="5" t="b">
        <v>1</v>
      </c>
      <c r="B753" s="5" t="s">
        <v>797</v>
      </c>
      <c r="C753" s="6" t="str">
        <f>IFERROR(__xludf.DUMMYFUNCTION("""COMPUTED_VALUE"""),"10.1002/smr.1870")</f>
        <v>10.1002/smr.1870</v>
      </c>
      <c r="D753" s="7" t="str">
        <f>IFERROR(__xludf.DUMMYFUNCTION("""COMPUTED_VALUE"""),"Noorian M.; Bagheri E.; Du W.")</f>
        <v>Noorian M.; Bagheri E.; Du W.</v>
      </c>
      <c r="E753" s="7" t="str">
        <f>IFERROR(__xludf.DUMMYFUNCTION("""COMPUTED_VALUE"""),"Toward automated quality-centric product line configuration using intentional variability")</f>
        <v>Toward automated quality-centric product line configuration using intentional variability</v>
      </c>
      <c r="F753" s="7" t="str">
        <f>IFERROR(__xludf.DUMMYFUNCTION("""COMPUTED_VALUE"""),"JSEP")</f>
        <v>JSEP</v>
      </c>
      <c r="G753" s="7" t="str">
        <f>IFERROR(__xludf.DUMMYFUNCTION("""COMPUTED_VALUE"""),"Software product line engineering is a discipline that facilitates a systematic reuse-based approach by formally representing commonalities and variabilities between the applications of a target domain. As one of the main artifacts of the software product"&amp;" line, a feature model represents the possible configuration space and can be customized based on the stakeholders' needs. Considering the complexity of the variabilities represented by feature models and the diversity of the stakeholders' expectations, t"&amp;"he configuration process can be viewed as a complex optimization problem. In previous research, researchers have bridged the gap between requirement and product line engineering by integrating feature models and goal models. In this paper, we propose an a"&amp;"pproach for the configuration process that seeks to satisfy the stakeholders' requirements as well as the feature models' structural and integrity constraints. We model stakeholders' functional and nonfunctional needs and their preferences using requireme"&amp;"nt engineering goal models. We formalize the structure of the feature model, the stakeholders' objectives, and their preferences in the form of an integer linear program to conduct a semi-automated feature model configuration process. Our experimental res"&amp;"ults show that the proposed configuration framework is scalable when considering both functional and nonfunctional requirements of stakeholders. Copyright © 2017 John Wiley &amp; Sons, Ltd.")</f>
        <v>Software product line engineering is a discipline that facilitates a systematic reuse-based approach by formally representing commonalities and variabilities between the applications of a target domain. As one of the main artifacts of the software product line, a feature model represents the possible configuration space and can be customized based on the stakeholders' needs. Considering the complexity of the variabilities represented by feature models and the diversity of the stakeholders' expectations, the configuration process can be viewed as a complex optimization problem. In previous research, researchers have bridged the gap between requirement and product line engineering by integrating feature models and goal models. In this paper, we propose an approach for the configuration process that seeks to satisfy the stakeholders' requirements as well as the feature models' structural and integrity constraints. We model stakeholders' functional and nonfunctional needs and their preferences using requirement engineering goal models. We formalize the structure of the feature model, the stakeholders' objectives, and their preferences in the form of an integer linear program to conduct a semi-automated feature model configuration process. Our experimental results show that the proposed configuration framework is scalable when considering both functional and nonfunctional requirements of stakeholders. Copyright © 2017 John Wiley &amp; Sons, Ltd.</v>
      </c>
      <c r="H753" s="8" t="str">
        <f>IFERROR(__xludf.DUMMYFUNCTION("""COMPUTED_VALUE"""),"configuration process; feature model; goal model; software product line")</f>
        <v>configuration process; feature model; goal model; software product line</v>
      </c>
      <c r="I753" s="10" t="b">
        <v>0</v>
      </c>
      <c r="J753" s="10" t="b">
        <v>0</v>
      </c>
      <c r="K753" s="10" t="b">
        <v>0</v>
      </c>
      <c r="L753" s="10" t="b">
        <v>0</v>
      </c>
      <c r="M753" s="10" t="b">
        <v>0</v>
      </c>
      <c r="N753" s="10" t="b">
        <v>0</v>
      </c>
      <c r="O753" s="11" t="b">
        <f t="shared" si="1"/>
        <v>0</v>
      </c>
      <c r="P753" s="16" t="b">
        <v>0</v>
      </c>
      <c r="Q753" s="7"/>
    </row>
    <row r="754">
      <c r="A754" s="5" t="b">
        <v>1</v>
      </c>
      <c r="B754" s="5" t="s">
        <v>798</v>
      </c>
      <c r="C754" s="6" t="str">
        <f>IFERROR(__xludf.DUMMYFUNCTION("""COMPUTED_VALUE"""),"10.1002/smr.2495")</f>
        <v>10.1002/smr.2495</v>
      </c>
      <c r="D754" s="7" t="str">
        <f>IFERROR(__xludf.DUMMYFUNCTION("""COMPUTED_VALUE"""),"Dou H.; Mei J.; Zhang Y.; Chen P.; Zheng Z.")</f>
        <v>Dou H.; Mei J.; Zhang Y.; Chen P.; Zheng Z.</v>
      </c>
      <c r="E754" s="7" t="str">
        <f>IFERROR(__xludf.DUMMYFUNCTION("""COMPUTED_VALUE"""),"JointConf: Jointly autotuning configuration parameters for modularized graph databases")</f>
        <v>JointConf: Jointly autotuning configuration parameters for modularized graph databases</v>
      </c>
      <c r="F754" s="7" t="str">
        <f>IFERROR(__xludf.DUMMYFUNCTION("""COMPUTED_VALUE"""),"JSEP")</f>
        <v>JSEP</v>
      </c>
      <c r="G754" s="7" t="str">
        <f>IFERROR(__xludf.DUMMYFUNCTION("""COMPUTED_VALUE"""),"To support different application scenarios, graph databases (GDBs) usually provide a large number of performance-related parameters for developers. Since manually configuring is both time-consuming and cost-intensive, automatically tuning configurations p"&amp;"arameters to achieve a better performance has been an urgent need. Besides, considering various graph management requirements, GDBs begin to utilize the modular architecture to interoperate with a wide range of storage and index backends. Due to the compl"&amp;"icated interactions among different modules, sequentially tuning each software with previous solutions may fall into a local optimal and it is necessary to jointly autotune the cross-module configuration parameters. Toward this challenging target, we prop"&amp;"ose JointConf—a new black-box approach of jointly autotuning configuration parameters for modularized GDBs. To address the formulated high-dimensional black-box optimization problem, JointConf utilizes the recently proposed BO_dropout algorithm. Inspired "&amp;"by the dropout algorithm in neural networks, BO_dropout explores efficient dimension dropout to achieve a high-dimensional Bayesian optimization. We evaluate the effectiveness of JointConf on a local distributed JanusGraph cluster with three different gra"&amp;"ph query benchmark applications and experimental results show its advantages over the four baseline search-based approaches. The necessity of jointly tuning for modularized GDBs is also verified in our experiments. © 2022 John Wiley &amp; Sons Ltd.")</f>
        <v>To support different application scenarios, graph databases (GDBs) usually provide a large number of performance-related parameters for developers. Since manually configuring is both time-consuming and cost-intensive, automatically tuning configurations parameters to achieve a better performance has been an urgent need. Besides, considering various graph management requirements, GDBs begin to utilize the modular architecture to interoperate with a wide range of storage and index backends. Due to the complicated interactions among different modules, sequentially tuning each software with previous solutions may fall into a local optimal and it is necessary to jointly autotune the cross-module configuration parameters. Toward this challenging target, we propose JointConf—a new black-box approach of jointly autotuning configuration parameters for modularized GDBs. To address the formulated high-dimensional black-box optimization problem, JointConf utilizes the recently proposed BO_dropout algorithm. Inspired by the dropout algorithm in neural networks, BO_dropout explores efficient dimension dropout to achieve a high-dimensional Bayesian optimization. We evaluate the effectiveness of JointConf on a local distributed JanusGraph cluster with three different graph query benchmark applications and experimental results show its advantages over the four baseline search-based approaches. The necessity of jointly tuning for modularized GDBs is also verified in our experiments. © 2022 John Wiley &amp; Sons Ltd.</v>
      </c>
      <c r="H754" s="8" t="str">
        <f>IFERROR(__xludf.DUMMYFUNCTION("""COMPUTED_VALUE"""),"Bayesian optimization; configuration parameters; dropout; modularized graph databases")</f>
        <v>Bayesian optimization; configuration parameters; dropout; modularized graph databases</v>
      </c>
      <c r="I754" s="10" t="b">
        <v>0</v>
      </c>
      <c r="J754" s="10" t="b">
        <v>0</v>
      </c>
      <c r="K754" s="10" t="b">
        <v>0</v>
      </c>
      <c r="L754" s="10" t="b">
        <v>0</v>
      </c>
      <c r="M754" s="10" t="b">
        <v>0</v>
      </c>
      <c r="N754" s="10" t="b">
        <v>0</v>
      </c>
      <c r="O754" s="11" t="b">
        <f t="shared" si="1"/>
        <v>0</v>
      </c>
      <c r="P754" s="16" t="b">
        <v>0</v>
      </c>
      <c r="Q754" s="7"/>
    </row>
    <row r="755">
      <c r="A755" s="5" t="b">
        <v>1</v>
      </c>
      <c r="B755" s="5" t="s">
        <v>799</v>
      </c>
      <c r="C755" s="6" t="str">
        <f>IFERROR(__xludf.DUMMYFUNCTION("""COMPUTED_VALUE"""),"10.1002/smr.2210")</f>
        <v>10.1002/smr.2210</v>
      </c>
      <c r="D755" s="7" t="str">
        <f>IFERROR(__xludf.DUMMYFUNCTION("""COMPUTED_VALUE"""),"Anurag A.; Iyer K.")</f>
        <v>Anurag A.; Iyer K.</v>
      </c>
      <c r="E755" s="7" t="str">
        <f>IFERROR(__xludf.DUMMYFUNCTION("""COMPUTED_VALUE"""),"Designing a “software quality model” based on RCCA of defects and validating based on “quality algorithm”")</f>
        <v>Designing a “software quality model” based on RCCA of defects and validating based on “quality algorithm”</v>
      </c>
      <c r="F755" s="7" t="str">
        <f>IFERROR(__xludf.DUMMYFUNCTION("""COMPUTED_VALUE"""),"JSEP")</f>
        <v>JSEP</v>
      </c>
      <c r="G755" s="7" t="str">
        <f>IFERROR(__xludf.DUMMYFUNCTION("""COMPUTED_VALUE"""),"Software systems are very complex, and its complexity has grown exponentially as users' requirements and their usage have grown significantly. Users' requirements and the environment in which they use the software system keep changing, so maintaining its "&amp;"quality is very challenging. If the requirements of users are not met as per their expectations, they encounter defects that cause degradation of the quality of the software system. Such defects are analyzed to understand their impact, and they are fixed "&amp;"to help improve quality. In this research, a defect analysis technique called root cause and corrective actions (RCCA) is followed to analyzes different defect attributes, their interdependencies, and how they help in improving software system quality. Th"&amp;"e methodologies followed here are defining a hypothesis, finding a causal relationship between quality attributes, and testing the hypothesis. This research is based on quantitative or experimental research to understand the impact of theindependent varia"&amp;"bles on the dependent variable, which is software quality. This research identifies the “legacy quality score”, designs a new software system quality model, and quality algorithm to calculate the “new quality score”. The results indicate that the newly de"&amp;"signed quality model helps improve the quality of the software system. © 2019 John Wiley &amp; Sons, Ltd.")</f>
        <v>Software systems are very complex, and its complexity has grown exponentially as users' requirements and their usage have grown significantly. Users' requirements and the environment in which they use the software system keep changing, so maintaining its quality is very challenging. If the requirements of users are not met as per their expectations, they encounter defects that cause degradation of the quality of the software system. Such defects are analyzed to understand their impact, and they are fixed to help improve quality. In this research, a defect analysis technique called root cause and corrective actions (RCCA) is followed to analyzes different defect attributes, their interdependencies, and how they help in improving software system quality. The methodologies followed here are defining a hypothesis, finding a causal relationship between quality attributes, and testing the hypothesis. This research is based on quantitative or experimental research to understand the impact of theindependent variables on the dependent variable, which is software quality. This research identifies the “legacy quality score”, designs a new software system quality model, and quality algorithm to calculate the “new quality score”. The results indicate that the newly designed quality model helps improve the quality of the software system. © 2019 John Wiley &amp; Sons, Ltd.</v>
      </c>
      <c r="H755" s="8" t="str">
        <f>IFERROR(__xludf.DUMMYFUNCTION("""COMPUTED_VALUE"""),"corrective actions; defect attributes; quality algorithm; root cause analysis; software quality; software quality model")</f>
        <v>corrective actions; defect attributes; quality algorithm; root cause analysis; software quality; software quality model</v>
      </c>
      <c r="I755" s="10" t="b">
        <v>0</v>
      </c>
      <c r="J755" s="10" t="b">
        <v>0</v>
      </c>
      <c r="K755" s="10" t="b">
        <v>0</v>
      </c>
      <c r="L755" s="10" t="b">
        <v>0</v>
      </c>
      <c r="M755" s="10" t="b">
        <v>0</v>
      </c>
      <c r="N755" s="10" t="b">
        <v>0</v>
      </c>
      <c r="O755" s="11" t="b">
        <f t="shared" si="1"/>
        <v>0</v>
      </c>
      <c r="P755" s="16" t="b">
        <v>0</v>
      </c>
      <c r="Q755" s="7"/>
    </row>
    <row r="756">
      <c r="A756" s="5" t="b">
        <v>1</v>
      </c>
      <c r="B756" s="5" t="s">
        <v>800</v>
      </c>
      <c r="C756" s="6" t="str">
        <f>IFERROR(__xludf.DUMMYFUNCTION("""COMPUTED_VALUE"""),"10.1002/smr.1620")</f>
        <v>10.1002/smr.1620</v>
      </c>
      <c r="D756" s="7" t="str">
        <f>IFERROR(__xludf.DUMMYFUNCTION("""COMPUTED_VALUE"""),"Wilcox C.; Strout M.M.; Bieman J.M.")</f>
        <v>Wilcox C.; Strout M.M.; Bieman J.M.</v>
      </c>
      <c r="E756" s="7" t="str">
        <f>IFERROR(__xludf.DUMMYFUNCTION("""COMPUTED_VALUE"""),"An optimization-based approach to lookup table program transformations")</f>
        <v>An optimization-based approach to lookup table program transformations</v>
      </c>
      <c r="F756" s="7" t="str">
        <f>IFERROR(__xludf.DUMMYFUNCTION("""COMPUTED_VALUE"""),"JSEP")</f>
        <v>JSEP</v>
      </c>
      <c r="G756" s="7" t="str">
        <f>IFERROR(__xludf.DUMMYFUNCTION("""COMPUTED_VALUE"""),"Scientific programmers can improve the performance of function evaluation by precomputing and storing results in a lookup table (LUT), thereby replacing costly evaluation code with an inexpensive memory access. A code transformation that replaces computat"&amp;"ion with LUT code can improve performance; however, accuracy is reduced because of error inherent in reconstructing values from LUT data. LUTs are commonly used to approximate expensive elementary functions. The current practice is for software developers"&amp;" to: (i) manually identify expressions that can benefit from an LUT; (ii) modify the code by hand to implement the LUT transformation; and (iii) run experiments to determine if the resulting error is within application requirements. This approach reduces "&amp;"productivity, obfuscates code, and limits programmer control over accuracy and performance. We propose source code analysis and program transformation to substantially automate LUT transformations. Our approach uses a novel optimization algorithm that sel"&amp;"ects Pareto optimal sets of expressions that benefit most from an LUT, on the basis of the error and performance estimates. We demonstrate our methodology with the Mesa tool, which achieves speedups of 1.4-6.8× on scientific codes with an acceptable loss "&amp;"of accuracy. Our tool makes the programmer more productive and facilitates finding effective LUT transformations. Copyright © 2013 John Wiley &amp; Sons, Ltd.")</f>
        <v>Scientific programmers can improve the performance of function evaluation by precomputing and storing results in a lookup table (LUT), thereby replacing costly evaluation code with an inexpensive memory access. A code transformation that replaces computation with LUT code can improve performance; however, accuracy is reduced because of error inherent in reconstructing values from LUT data. LUTs are commonly used to approximate expensive elementary functions. The current practice is for software developers to: (i) manually identify expressions that can benefit from an LUT; (ii) modify the code by hand to implement the LUT transformation; and (iii) run experiments to determine if the resulting error is within application requirements. This approach reduces productivity, obfuscates code, and limits programmer control over accuracy and performance. We propose source code analysis and program transformation to substantially automate LUT transformations. Our approach uses a novel optimization algorithm that selects Pareto optimal sets of expressions that benefit most from an LUT, on the basis of the error and performance estimates. We demonstrate our methodology with the Mesa tool, which achieves speedups of 1.4-6.8× on scientific codes with an acceptable loss of accuracy. Our tool makes the programmer more productive and facilitates finding effective LUT transformations. Copyright © 2013 John Wiley &amp; Sons, Ltd.</v>
      </c>
      <c r="H756" s="8" t="str">
        <f>IFERROR(__xludf.DUMMYFUNCTION("""COMPUTED_VALUE"""),"code generation; error analysis; lookup table; memoization; performance optimization; scientific computing")</f>
        <v>code generation; error analysis; lookup table; memoization; performance optimization; scientific computing</v>
      </c>
      <c r="I756" s="10" t="b">
        <v>0</v>
      </c>
      <c r="J756" s="10" t="b">
        <v>0</v>
      </c>
      <c r="K756" s="10" t="b">
        <v>0</v>
      </c>
      <c r="L756" s="10" t="b">
        <v>0</v>
      </c>
      <c r="M756" s="10" t="b">
        <v>0</v>
      </c>
      <c r="N756" s="10" t="b">
        <v>0</v>
      </c>
      <c r="O756" s="11" t="b">
        <f t="shared" si="1"/>
        <v>0</v>
      </c>
      <c r="P756" s="16" t="b">
        <v>0</v>
      </c>
      <c r="Q756" s="7"/>
    </row>
    <row r="757">
      <c r="A757" s="5" t="b">
        <v>1</v>
      </c>
      <c r="B757" s="5" t="s">
        <v>801</v>
      </c>
      <c r="C757" s="6" t="str">
        <f>IFERROR(__xludf.DUMMYFUNCTION("""COMPUTED_VALUE"""),"10.1002/smr.2405")</f>
        <v>10.1002/smr.2405</v>
      </c>
      <c r="D757" s="7" t="str">
        <f>IFERROR(__xludf.DUMMYFUNCTION("""COMPUTED_VALUE"""),"Forti S.; Lera I.; Guerrero C.; Brogi A.")</f>
        <v>Forti S.; Lera I.; Guerrero C.; Brogi A.</v>
      </c>
      <c r="E757" s="7" t="str">
        <f>IFERROR(__xludf.DUMMYFUNCTION("""COMPUTED_VALUE"""),"Osmotic management of distributed complex systems: A declarative decentralised approach")</f>
        <v>Osmotic management of distributed complex systems: A declarative decentralised approach</v>
      </c>
      <c r="F757" s="7" t="str">
        <f>IFERROR(__xludf.DUMMYFUNCTION("""COMPUTED_VALUE"""),"JSEP")</f>
        <v>JSEP</v>
      </c>
      <c r="G757" s="7" t="str">
        <f>IFERROR(__xludf.DUMMYFUNCTION("""COMPUTED_VALUE"""),"Osmotic computing encompasses emerging Cloud-Internet of Things (IoT) computing paradigms, by featuring the possibility for application services to adapt into different functionally equivalent flavours, depending on the contextually available resources an"&amp;"d on specific requirements of running applications. This article proposes a fully decentralised declarative framework that enables both application and infrastructure operators to declare management policies for the service instances and the nodes they ma"&amp;"nage, respectively. Policies are composed of a simple and well-defined set of management operations, declared in Prolog, which trigger based on locally available contextual information on application requests and infrastructure resources. A prototype impl"&amp;"ementation of the framework is showcased and assessed via simulation over a lifelike Smart Campus use case with multiple applications, at increasing infrastructure sizes and number of mobile users. Experimental results show that the proposed management fr"&amp;"amework scales to large infrastructure sizes and suits the needs of multiflavoured Osmotic applications in dynamic deployment conditions, by improving the trade-off between their response times and suitable service usage. © 2021 The Authors. Journal of So"&amp;"ftware: Evolution and Process published by John Wiley &amp; Sons Ltd.")</f>
        <v>Osmotic computing encompasses emerging Cloud-Internet of Things (IoT) computing paradigms, by featuring the possibility for application services to adapt into different functionally equivalent flavours, depending on the contextually available resources and on specific requirements of running applications. This article proposes a fully decentralised declarative framework that enables both application and infrastructure operators to declare management policies for the service instances and the nodes they manage, respectively. Policies are composed of a simple and well-defined set of management operations, declared in Prolog, which trigger based on locally available contextual information on application requests and infrastructure resources. A prototype implementation of the framework is showcased and assessed via simulation over a lifelike Smart Campus use case with multiple applications, at increasing infrastructure sizes and number of mobile users. Experimental results show that the proposed management framework scales to large infrastructure sizes and suits the needs of multiflavoured Osmotic applications in dynamic deployment conditions, by improving the trade-off between their response times and suitable service usage. © 2021 The Authors. Journal of Software: Evolution and Process published by John Wiley &amp; Sons Ltd.</v>
      </c>
      <c r="H757" s="8" t="str">
        <f>IFERROR(__xludf.DUMMYFUNCTION("""COMPUTED_VALUE"""),"decentralised management; declarative programming; fog computing; osmotic computing")</f>
        <v>decentralised management; declarative programming; fog computing; osmotic computing</v>
      </c>
      <c r="I757" s="10" t="b">
        <v>0</v>
      </c>
      <c r="J757" s="10" t="b">
        <v>0</v>
      </c>
      <c r="K757" s="10" t="b">
        <v>0</v>
      </c>
      <c r="L757" s="10" t="b">
        <v>0</v>
      </c>
      <c r="M757" s="10" t="b">
        <v>0</v>
      </c>
      <c r="N757" s="10" t="b">
        <v>0</v>
      </c>
      <c r="O757" s="11" t="b">
        <f t="shared" si="1"/>
        <v>0</v>
      </c>
      <c r="P757" s="16" t="b">
        <v>0</v>
      </c>
      <c r="Q757" s="7"/>
    </row>
    <row r="758">
      <c r="A758" s="5" t="b">
        <v>1</v>
      </c>
      <c r="B758" s="5" t="s">
        <v>802</v>
      </c>
      <c r="C758" s="6" t="str">
        <f>IFERROR(__xludf.DUMMYFUNCTION("""COMPUTED_VALUE"""),"10.1002/smr.1558")</f>
        <v>10.1002/smr.1558</v>
      </c>
      <c r="D758" s="7" t="str">
        <f>IFERROR(__xludf.DUMMYFUNCTION("""COMPUTED_VALUE"""),"Mordal K.; Anquetil N.; Laval J.; Serebrenik A.; Vasilescu B.; Ducasse S.")</f>
        <v>Mordal K.; Anquetil N.; Laval J.; Serebrenik A.; Vasilescu B.; Ducasse S.</v>
      </c>
      <c r="E758" s="7" t="str">
        <f>IFERROR(__xludf.DUMMYFUNCTION("""COMPUTED_VALUE"""),"Software quality metrics aggregation in industry")</f>
        <v>Software quality metrics aggregation in industry</v>
      </c>
      <c r="F758" s="7" t="str">
        <f>IFERROR(__xludf.DUMMYFUNCTION("""COMPUTED_VALUE"""),"JSEP")</f>
        <v>JSEP</v>
      </c>
      <c r="G758" s="7" t="str">
        <f>IFERROR(__xludf.DUMMYFUNCTION("""COMPUTED_VALUE"""),"SUMMARY With the growing need for quality assessment of entire software systems in the industry, new issues are emerging. First, because most software quality metrics are defined at the level of individual software components, there is a need for aggregat"&amp;"ion methods to summarize the results at the system level. Second, because a software evaluation requires the use of different metrics, with possibly widely varying output ranges, there is a need to combine these results into a unified quality assessment. "&amp;"In this paper we derive, from our experience on real industrial cases and from the scientific literature, requirements for an aggregation method. We then present a solution through the Squale model for metric aggregation, a model specifically designed to "&amp;"address the needs of practitioners. We empirically validate the adequacy of Squale through experiments on Eclipse. Additionally, we compare the Squale model to both traditional aggregation techniques (e.g., the arithmetic mean), and to econometric inequal"&amp;"ity indices (e.g., the Gini or the Theil indices), recently applied to aggregation of software metrics. Copyright © 2012 John Wiley &amp; Sons, Ltd.")</f>
        <v>SUMMARY With the growing need for quality assessment of entire software systems in the industry, new issues are emerging. First, because most software quality metrics are defined at the level of individual software components, there is a need for aggregation methods to summarize the results at the system level. Second, because a software evaluation requires the use of different metrics, with possibly widely varying output ranges, there is a need to combine these results into a unified quality assessment. In this paper we derive, from our experience on real industrial cases and from the scientific literature, requirements for an aggregation method. We then present a solution through the Squale model for metric aggregation, a model specifically designed to address the needs of practitioners. We empirically validate the adequacy of Squale through experiments on Eclipse. Additionally, we compare the Squale model to both traditional aggregation techniques (e.g., the arithmetic mean), and to econometric inequality indices (e.g., the Gini or the Theil indices), recently applied to aggregation of software metrics. Copyright © 2012 John Wiley &amp; Sons, Ltd.</v>
      </c>
      <c r="H758" s="8" t="str">
        <f>IFERROR(__xludf.DUMMYFUNCTION("""COMPUTED_VALUE"""),"Aggregation; Inequality indices; Software metrics; Software quality")</f>
        <v>Aggregation; Inequality indices; Software metrics; Software quality</v>
      </c>
      <c r="I758" s="10" t="b">
        <v>0</v>
      </c>
      <c r="J758" s="10" t="b">
        <v>0</v>
      </c>
      <c r="K758" s="10" t="b">
        <v>0</v>
      </c>
      <c r="L758" s="10" t="b">
        <v>0</v>
      </c>
      <c r="M758" s="10" t="b">
        <v>0</v>
      </c>
      <c r="N758" s="10" t="b">
        <v>0</v>
      </c>
      <c r="O758" s="11" t="b">
        <f t="shared" si="1"/>
        <v>0</v>
      </c>
      <c r="P758" s="16" t="b">
        <v>0</v>
      </c>
      <c r="Q758" s="7"/>
    </row>
    <row r="759">
      <c r="A759" s="5" t="b">
        <v>1</v>
      </c>
      <c r="B759" s="5" t="s">
        <v>803</v>
      </c>
      <c r="C759" s="6" t="str">
        <f>IFERROR(__xludf.DUMMYFUNCTION("""COMPUTED_VALUE"""),"10.1002/smr.2144")</f>
        <v>10.1002/smr.2144</v>
      </c>
      <c r="D759" s="7" t="str">
        <f>IFERROR(__xludf.DUMMYFUNCTION("""COMPUTED_VALUE"""),"Rosenberg D.; Boehm B.W.; Wang B.; Qi K.")</f>
        <v>Rosenberg D.; Boehm B.W.; Wang B.; Qi K.</v>
      </c>
      <c r="E759" s="7" t="str">
        <f>IFERROR(__xludf.DUMMYFUNCTION("""COMPUTED_VALUE"""),"The parallel agile process: Applying parallel processing techniques to software engineering")</f>
        <v>The parallel agile process: Applying parallel processing techniques to software engineering</v>
      </c>
      <c r="F759" s="7" t="str">
        <f>IFERROR(__xludf.DUMMYFUNCTION("""COMPUTED_VALUE"""),"JSEP")</f>
        <v>JSEP</v>
      </c>
      <c r="G759" s="7" t="str">
        <f>IFERROR(__xludf.DUMMYFUNCTION("""COMPUTED_VALUE"""),"For the last 4 years, we have been experimenting with the parallel agile (PA) approach. PA achieves significant schedule compression by leveraging parallelism; large teams of developers can independently and concurrently develop scenarios from initial con"&amp;"cept through code. This paper summarizes our experience in defining and evolving PA by applying it to four representative emergent-technology applications: location-based advertising, picture sharing, bad driver reporting, and a VR/AR game project. In com"&amp;"parison with the mainstream architected agile process that we had been using on similar systems, the PA process has consistently achieved significant speedups in system development while simultaneously reducing defects. PA uses storyboards and prototypes "&amp;"to define both sunny-day and rainy-day scenarios, defines requirements for each use case, and decomposes each use case into a conceptual model-view-controller (MVC) pattern. PA also uses code generation from UML models to rapidly construct a domain-driven"&amp;" microservice architecture at the inception of a project. This microservice architecture is then used to enable prototype code to interact with a live database during requirements definition. PA then uses automatic test case generation from the same UML m"&amp;"odel. The paper summarizes the overall challenge of software schedule compression, identifies managed parallel development as generally the most powerful but least-practiced strategy for schedule compression, and summarizes the key elements required to su"&amp;"pport parallelism. It then summarizes the key techniques for scaling up PA, using a previous million-line command and control project as an example. We have used MS-degree graduate student projects to gather productivity data because the university enviro"&amp;"nment has afforded us the opportunity to explore massively parallel development over an extended time period. We are now working with a large company to modernize their main legacy system using the PA methods. The prospective looks good as many of the tec"&amp;"hniques used (eg, domain models, use case analysis, and MVC decomposition) have been proven to be effective in industry on a wide range of projects for multiple decades. The new techniques (eg, executable domain models, and visual modeling of sprint plans"&amp;") should also serve to make integration and project management work better on large development efforts. © 2018 John Wiley &amp; Sons, Ltd.")</f>
        <v>For the last 4 years, we have been experimenting with the parallel agile (PA) approach. PA achieves significant schedule compression by leveraging parallelism; large teams of developers can independently and concurrently develop scenarios from initial concept through code. This paper summarizes our experience in defining and evolving PA by applying it to four representative emergent-technology applications: location-based advertising, picture sharing, bad driver reporting, and a VR/AR game project. In comparison with the mainstream architected agile process that we had been using on similar systems, the PA process has consistently achieved significant speedups in system development while simultaneously reducing defects. PA uses storyboards and prototypes to define both sunny-day and rainy-day scenarios, defines requirements for each use case, and decomposes each use case into a conceptual model-view-controller (MVC) pattern. PA also uses code generation from UML models to rapidly construct a domain-driven microservice architecture at the inception of a project. This microservice architecture is then used to enable prototype code to interact with a live database during requirements definition. PA then uses automatic test case generation from the same UML model. The paper summarizes the overall challenge of software schedule compression, identifies managed parallel development as generally the most powerful but least-practiced strategy for schedule compression, and summarizes the key elements required to support parallelism. It then summarizes the key techniques for scaling up PA, using a previous million-line command and control project as an example. We have used MS-degree graduate student projects to gather productivity data because the university environment has afforded us the opportunity to explore massively parallel development over an extended time period. We are now working with a large company to modernize their main legacy system using the PA methods. The prospective looks good as many of the techniques used (eg, domain models, use case analysis, and MVC decomposition) have been proven to be effective in industry on a wide range of projects for multiple decades. The new techniques (eg, executable domain models, and visual modeling of sprint plans) should also serve to make integration and project management work better on large development efforts. © 2018 John Wiley &amp; Sons, Ltd.</v>
      </c>
      <c r="H759" s="8" t="str">
        <f>IFERROR(__xludf.DUMMYFUNCTION("""COMPUTED_VALUE"""),"agile development; code generation; microservice architecture; MVC; parallel development; schedule compression")</f>
        <v>agile development; code generation; microservice architecture; MVC; parallel development; schedule compression</v>
      </c>
      <c r="I759" s="10" t="b">
        <v>0</v>
      </c>
      <c r="J759" s="10" t="b">
        <v>0</v>
      </c>
      <c r="K759" s="10" t="b">
        <v>0</v>
      </c>
      <c r="L759" s="10" t="b">
        <v>0</v>
      </c>
      <c r="M759" s="10" t="b">
        <v>0</v>
      </c>
      <c r="N759" s="10" t="b">
        <v>0</v>
      </c>
      <c r="O759" s="11" t="b">
        <f t="shared" si="1"/>
        <v>0</v>
      </c>
      <c r="P759" s="16" t="b">
        <v>0</v>
      </c>
      <c r="Q759" s="7"/>
    </row>
    <row r="760">
      <c r="A760" s="5" t="b">
        <v>1</v>
      </c>
      <c r="B760" s="5" t="s">
        <v>804</v>
      </c>
      <c r="C760" s="6" t="str">
        <f>IFERROR(__xludf.DUMMYFUNCTION("""COMPUTED_VALUE"""),"10.1002/smr.1772")</f>
        <v>10.1002/smr.1772</v>
      </c>
      <c r="D760" s="7" t="str">
        <f>IFERROR(__xludf.DUMMYFUNCTION("""COMPUTED_VALUE"""),"Carrillo De Gea J.M.; Nicolás J.; Fernández Alemán J.L.; Toval A.; Ouhbi S.; Idri A.")</f>
        <v>Carrillo De Gea J.M.; Nicolás J.; Fernández Alemán J.L.; Toval A.; Ouhbi S.; Idri A.</v>
      </c>
      <c r="E760" s="7" t="str">
        <f>IFERROR(__xludf.DUMMYFUNCTION("""COMPUTED_VALUE"""),"Co-located and distributed natural-language requirements specification: Traditional versus reuse-based techniques")</f>
        <v>Co-located and distributed natural-language requirements specification: Traditional versus reuse-based techniques</v>
      </c>
      <c r="F760" s="7" t="str">
        <f>IFERROR(__xludf.DUMMYFUNCTION("""COMPUTED_VALUE"""),"JSEP")</f>
        <v>JSEP</v>
      </c>
      <c r="G760" s="7" t="str">
        <f>IFERROR(__xludf.DUMMYFUNCTION("""COMPUTED_VALUE"""),"Requirements Engineering (RE) includes processes intended to elicit, analyse, specify and validate systems and software requirements throughout the software life cycle. Mastering the principles of RE is key to achieving the goals of better, cheaper and qu"&amp;"icker systems and software development projects. It is also important to be prepared to work with remote teammates, as distributed and global projects are becoming more common. This paper presents an experiment with a total of 31 students from two univers"&amp;"ities in Spain and Morocco who were assigned to either a co-located or a distributed team. Both traditional and reuse-based requirements specification techniques were applied by the participants to produce requirements documents. Their outcomes were then "&amp;"analysed, and the approaches were compared from the point of view of their effect on a set of performance-based and perception-based variables in co-located and distributed settings. We found significant differences in only productivity (Z = -2.320, p = 0"&amp;".020) and difficulty (Z = -2.124, p = 0.034) as regards the scores attained for non-reuse and reuse conditions, both in the co-located modality. Our findings show that, in general, the participants attained similar results for requirements specification w"&amp;"hen using the two strategies in both distributed and non-distributed environments. Copyright © 2016 John Wiley &amp; Sons, Ltd.")</f>
        <v>Requirements Engineering (RE) includes processes intended to elicit, analyse, specify and validate systems and software requirements throughout the software life cycle. Mastering the principles of RE is key to achieving the goals of better, cheaper and quicker systems and software development projects. It is also important to be prepared to work with remote teammates, as distributed and global projects are becoming more common. This paper presents an experiment with a total of 31 students from two universities in Spain and Morocco who were assigned to either a co-located or a distributed team. Both traditional and reuse-based requirements specification techniques were applied by the participants to produce requirements documents. Their outcomes were then analysed, and the approaches were compared from the point of view of their effect on a set of performance-based and perception-based variables in co-located and distributed settings. We found significant differences in only productivity (Z = -2.320, p = 0.020) and difficulty (Z = -2.124, p = 0.034) as regards the scores attained for non-reuse and reuse conditions, both in the co-located modality. Our findings show that, in general, the participants attained similar results for requirements specification when using the two strategies in both distributed and non-distributed environments. Copyright © 2016 John Wiley &amp; Sons, Ltd.</v>
      </c>
      <c r="H760" s="8" t="str">
        <f>IFERROR(__xludf.DUMMYFUNCTION("""COMPUTED_VALUE"""),"experiment; global software development; internationalisation; requirements reuse; requirements specification; software engineering education")</f>
        <v>experiment; global software development; internationalisation; requirements reuse; requirements specification; software engineering education</v>
      </c>
      <c r="I760" s="9" t="b">
        <v>1</v>
      </c>
      <c r="J760" s="9" t="b">
        <v>1</v>
      </c>
      <c r="K760" s="10" t="b">
        <v>0</v>
      </c>
      <c r="L760" s="10" t="b">
        <v>0</v>
      </c>
      <c r="M760" s="10" t="b">
        <v>0</v>
      </c>
      <c r="N760" s="10" t="b">
        <v>0</v>
      </c>
      <c r="O760" s="11" t="b">
        <f t="shared" si="1"/>
        <v>0</v>
      </c>
      <c r="P760" s="16" t="b">
        <v>0</v>
      </c>
      <c r="Q760" s="7"/>
    </row>
    <row r="761">
      <c r="A761" s="5" t="b">
        <v>1</v>
      </c>
      <c r="B761" s="5" t="s">
        <v>805</v>
      </c>
      <c r="C761" s="6" t="str">
        <f>IFERROR(__xludf.DUMMYFUNCTION("""COMPUTED_VALUE"""),"10.1002/smr.2392")</f>
        <v>10.1002/smr.2392</v>
      </c>
      <c r="D761" s="7" t="str">
        <f>IFERROR(__xludf.DUMMYFUNCTION("""COMPUTED_VALUE"""),"Daun M.; Brings J.; Weyer T.")</f>
        <v>Daun M.; Brings J.; Weyer T.</v>
      </c>
      <c r="E761" s="7" t="str">
        <f>IFERROR(__xludf.DUMMYFUNCTION("""COMPUTED_VALUE"""),"Model inspections in the engineering of collaborative cyber-physical systems with instance-level review diagrams")</f>
        <v>Model inspections in the engineering of collaborative cyber-physical systems with instance-level review diagrams</v>
      </c>
      <c r="F761" s="7" t="str">
        <f>IFERROR(__xludf.DUMMYFUNCTION("""COMPUTED_VALUE"""),"JSEP")</f>
        <v>JSEP</v>
      </c>
      <c r="G761" s="7" t="str">
        <f>IFERROR(__xludf.DUMMYFUNCTION("""COMPUTED_VALUE"""),"Model inspections are important to ensure high-quality software and to satisfy legal obligations in model-based engineering processes. As model-based specifications are typically documented on type-level, errors concerning the interactions between multipl"&amp;"e system instances can go unnoticed. For collaborative cyber-physical systems (CPS), a plethora of possible instance-level configurations need to be taken into account. Therefore, we propose the definition of instance-level review diagrams that show repre"&amp;"sentative interactions of instance-level configurations that help detect defects in the system specification. To evaluate the approach, we conducted a controlled experiment whose results indicate that instance-level review diagrams have—compared with type"&amp;"-level diagrams—important positive effects on reviewing processes for behavioral specifications of CPS. Specifically, the experiment provides empirical evidence that instance-level review diagrams are significantly more expressive and effective than type-"&amp;"level diagrams. © 2021 The Authors. Journal of Software: Evolution and Process published by John Wiley &amp; Sons Ltd.")</f>
        <v>Model inspections are important to ensure high-quality software and to satisfy legal obligations in model-based engineering processes. As model-based specifications are typically documented on type-level, errors concerning the interactions between multiple system instances can go unnoticed. For collaborative cyber-physical systems (CPS), a plethora of possible instance-level configurations need to be taken into account. Therefore, we propose the definition of instance-level review diagrams that show representative interactions of instance-level configurations that help detect defects in the system specification. To evaluate the approach, we conducted a controlled experiment whose results indicate that instance-level review diagrams have—compared with type-level diagrams—important positive effects on reviewing processes for behavioral specifications of CPS. Specifically, the experiment provides empirical evidence that instance-level review diagrams are significantly more expressive and effective than type-level diagrams. © 2021 The Authors. Journal of Software: Evolution and Process published by John Wiley &amp; Sons Ltd.</v>
      </c>
      <c r="H761" s="8" t="str">
        <f>IFERROR(__xludf.DUMMYFUNCTION("""COMPUTED_VALUE"""),"controlled experiment; cyber-physical systems; message sequence charts; review model; validation")</f>
        <v>controlled experiment; cyber-physical systems; message sequence charts; review model; validation</v>
      </c>
      <c r="I761" s="9" t="b">
        <v>1</v>
      </c>
      <c r="J761" s="9" t="b">
        <v>1</v>
      </c>
      <c r="K761" s="9" t="b">
        <v>1</v>
      </c>
      <c r="L761" s="10" t="b">
        <v>0</v>
      </c>
      <c r="M761" s="10" t="b">
        <v>0</v>
      </c>
      <c r="N761" s="10" t="b">
        <v>0</v>
      </c>
      <c r="O761" s="11" t="b">
        <f t="shared" si="1"/>
        <v>1</v>
      </c>
      <c r="P761" s="12" t="b">
        <v>0</v>
      </c>
      <c r="Q761" s="13"/>
    </row>
    <row r="762">
      <c r="A762" s="5" t="b">
        <v>1</v>
      </c>
      <c r="B762" s="5" t="s">
        <v>806</v>
      </c>
      <c r="C762" s="6" t="str">
        <f>IFERROR(__xludf.DUMMYFUNCTION("""COMPUTED_VALUE"""),"10.1002/smr.2257")</f>
        <v>10.1002/smr.2257</v>
      </c>
      <c r="D762" s="7" t="str">
        <f>IFERROR(__xludf.DUMMYFUNCTION("""COMPUTED_VALUE"""),"Gao S.; Liu L.; Liu Y.; Liu H.; Wang Y.")</f>
        <v>Gao S.; Liu L.; Liu Y.; Liu H.; Wang Y.</v>
      </c>
      <c r="E762" s="7" t="str">
        <f>IFERROR(__xludf.DUMMYFUNCTION("""COMPUTED_VALUE"""),"Updating the goal model with user reviews for the evolution of an app")</f>
        <v>Updating the goal model with user reviews for the evolution of an app</v>
      </c>
      <c r="F762" s="7" t="str">
        <f>IFERROR(__xludf.DUMMYFUNCTION("""COMPUTED_VALUE"""),"JSEP")</f>
        <v>JSEP</v>
      </c>
      <c r="G762" s="7" t="str">
        <f>IFERROR(__xludf.DUMMYFUNCTION("""COMPUTED_VALUE"""),"Goal model is an important model in requirements engineering, and it can describe features and their relationships for supporting the development of apps. Since an app evolves continually, the goal model also needs to be updated with new requirements to g"&amp;"uide the whole process. As the feedback of users, reviews provide an abundant resource of user requirements for updating the goal model. In this paper, we propose an approach to help developers (a) analyze reviews to gain the information of user requireme"&amp;"nts by training a classifier and defining keyword-based linguistic rules as well as grammar-based rules and (b) update the goal model with the extracted information, including improving existing goals and extending the model with new goals. In addition, w"&amp;"e design a framework to represent results so that they can be understood by developers easily. According to our experiments based on the data in Google Play, the F-measure of classifier on reviews can reach 75.76%, and the average precision for extracting"&amp;" requirements-related information from reviews is 84.04%, then we can map the information to goals with the F-measure of 70.21%. Furthermore, the survey on 22 developers shows that the information provided by us is useful for updating the goal model. © 20"&amp;"20 John Wiley &amp; Sons, Ltd.")</f>
        <v>Goal model is an important model in requirements engineering, and it can describe features and their relationships for supporting the development of apps. Since an app evolves continually, the goal model also needs to be updated with new requirements to guide the whole process. As the feedback of users, reviews provide an abundant resource of user requirements for updating the goal model. In this paper, we propose an approach to help developers (a) analyze reviews to gain the information of user requirements by training a classifier and defining keyword-based linguistic rules as well as grammar-based rules and (b) update the goal model with the extracted information, including improving existing goals and extending the model with new goals. In addition, we design a framework to represent results so that they can be understood by developers easily. According to our experiments based on the data in Google Play, the F-measure of classifier on reviews can reach 75.76%, and the average precision for extracting requirements-related information from reviews is 84.04%, then we can map the information to goals with the F-measure of 70.21%. Furthermore, the survey on 22 developers shows that the information provided by us is useful for updating the goal model. © 2020 John Wiley &amp; Sons, Ltd.</v>
      </c>
      <c r="H762" s="8" t="str">
        <f>IFERROR(__xludf.DUMMYFUNCTION("""COMPUTED_VALUE"""),"app evolution; goal model; review mining")</f>
        <v>app evolution; goal model; review mining</v>
      </c>
      <c r="I762" s="10" t="b">
        <v>0</v>
      </c>
      <c r="J762" s="10" t="b">
        <v>0</v>
      </c>
      <c r="K762" s="10" t="b">
        <v>0</v>
      </c>
      <c r="L762" s="10" t="b">
        <v>0</v>
      </c>
      <c r="M762" s="10" t="b">
        <v>0</v>
      </c>
      <c r="N762" s="10" t="b">
        <v>0</v>
      </c>
      <c r="O762" s="11" t="b">
        <f t="shared" si="1"/>
        <v>0</v>
      </c>
      <c r="P762" s="16" t="b">
        <v>0</v>
      </c>
      <c r="Q762" s="7"/>
    </row>
    <row r="763">
      <c r="A763" s="5" t="b">
        <v>1</v>
      </c>
      <c r="B763" s="5" t="s">
        <v>807</v>
      </c>
      <c r="C763" s="6" t="str">
        <f>IFERROR(__xludf.DUMMYFUNCTION("""COMPUTED_VALUE"""),"10.1002/smr.1830")</f>
        <v>10.1002/smr.1830</v>
      </c>
      <c r="D763" s="7" t="str">
        <f>IFERROR(__xludf.DUMMYFUNCTION("""COMPUTED_VALUE"""),"Ali N.; Lai R.")</f>
        <v>Ali N.; Lai R.</v>
      </c>
      <c r="E763" s="7" t="str">
        <f>IFERROR(__xludf.DUMMYFUNCTION("""COMPUTED_VALUE"""),"A method of requirements elicitation and analysis for Global Software Development")</f>
        <v>A method of requirements elicitation and analysis for Global Software Development</v>
      </c>
      <c r="F763" s="7" t="str">
        <f>IFERROR(__xludf.DUMMYFUNCTION("""COMPUTED_VALUE"""),"JSEP")</f>
        <v>JSEP</v>
      </c>
      <c r="G763" s="7" t="str">
        <f>IFERROR(__xludf.DUMMYFUNCTION("""COMPUTED_VALUE"""),"To perform requirements elicitation and analysis, effective communication and collaboration between stakeholders are necessary. Global Software Development (GSD), where software teams are located in different parts of the world, has become increasingly po"&amp;"pular. However, geographical distance, cultural diversity, differences in time zones, and language barriers create difficulties for GSD stakeholders in engaging in effective communication. Taking into consideration the factors involved in GSD, previous re"&amp;"search showed that the ways by which requirements are gathered and analyzed for collocated software development cannot be used effectively for GSD. Thus, in this paper, we present a method of requirements elicitation and analysis for GSD. The method consi"&amp;"sts of 4 stages: (1) data collection; (2) educating stakeholders about GSD issues; (3) post-education assessment; and (4) requirements elicitation and analysis. Past researchers used student groups in a university environment to play the roles of stakehol"&amp;"ders in experiments in GSD studies. Likewise, we preliminarily validate our method by applying it to a case study of an online shopping system, where the roles of client, requirements engineer, project analyst, and designers were played by a group of stud"&amp;"ents. Copyright © 2016 John Wiley &amp; Sons, Ltd.")</f>
        <v>To perform requirements elicitation and analysis, effective communication and collaboration between stakeholders are necessary. Global Software Development (GSD), where software teams are located in different parts of the world, has become increasingly popular. However, geographical distance, cultural diversity, differences in time zones, and language barriers create difficulties for GSD stakeholders in engaging in effective communication. Taking into consideration the factors involved in GSD, previous research showed that the ways by which requirements are gathered and analyzed for collocated software development cannot be used effectively for GSD. Thus, in this paper, we present a method of requirements elicitation and analysis for GSD. The method consists of 4 stages: (1) data collection; (2) educating stakeholders about GSD issues; (3) post-education assessment; and (4) requirements elicitation and analysis. Past researchers used student groups in a university environment to play the roles of stakeholders in experiments in GSD studies. Likewise, we preliminarily validate our method by applying it to a case study of an online shopping system, where the roles of client, requirements engineer, project analyst, and designers were played by a group of students. Copyright © 2016 John Wiley &amp; Sons, Ltd.</v>
      </c>
      <c r="H763" s="8" t="str">
        <f>IFERROR(__xludf.DUMMYFUNCTION("""COMPUTED_VALUE"""),"distributed teams; Global Software Development; requirements analysis; requirements elicitation")</f>
        <v>distributed teams; Global Software Development; requirements analysis; requirements elicitation</v>
      </c>
      <c r="I763" s="10" t="b">
        <v>0</v>
      </c>
      <c r="J763" s="9" t="b">
        <v>1</v>
      </c>
      <c r="K763" s="10" t="b">
        <v>0</v>
      </c>
      <c r="L763" s="10" t="b">
        <v>0</v>
      </c>
      <c r="M763" s="10" t="b">
        <v>0</v>
      </c>
      <c r="N763" s="10" t="b">
        <v>0</v>
      </c>
      <c r="O763" s="11" t="b">
        <f t="shared" si="1"/>
        <v>0</v>
      </c>
      <c r="P763" s="12" t="b">
        <v>0</v>
      </c>
      <c r="Q763" s="13"/>
    </row>
    <row r="764">
      <c r="A764" s="5" t="b">
        <v>1</v>
      </c>
      <c r="B764" s="5" t="s">
        <v>808</v>
      </c>
      <c r="C764" s="6" t="str">
        <f>IFERROR(__xludf.DUMMYFUNCTION("""COMPUTED_VALUE"""),"10.1109/ASE.2003.1240293")</f>
        <v>10.1109/ASE.2003.1240293</v>
      </c>
      <c r="D764" s="7" t="str">
        <f>IFERROR(__xludf.DUMMYFUNCTION("""COMPUTED_VALUE"""),"Xie T.; Notkin D.")</f>
        <v>Xie T.; Notkin D.</v>
      </c>
      <c r="E764" s="7" t="str">
        <f>IFERROR(__xludf.DUMMYFUNCTION("""COMPUTED_VALUE"""),"Tool-assisted unit test selection based on operational violations")</f>
        <v>Tool-assisted unit test selection based on operational violations</v>
      </c>
      <c r="F764" s="7" t="str">
        <f>IFERROR(__xludf.DUMMYFUNCTION("""COMPUTED_VALUE"""),"ASE")</f>
        <v>ASE</v>
      </c>
      <c r="G764" s="7" t="str">
        <f>IFERROR(__xludf.DUMMYFUNCTION("""COMPUTED_VALUE"""),"Unit testing, a common step in software development, presents a challenge. When produced manually, unit test suites are often insufficient to identify defects. The main alternative is to use one of a variety of automatic unit test generation tools: these "&amp;"are able to produce and execute a large number of test inputs that extensively exercise the unit under test. However, without a priori specifications, developers need to manually verify the outputs of these test executions, which is generally impractical."&amp;" To reduce this cost, unit test selection techniques may be used to help select a subset of automatically generated test inputs. Then developers can verify their outputs, equip them with test oracles, and put them into the existing test suite. In this pap"&amp;"er, we present the operational violation approach for unit test selection, a black-box approach without requiring a priori specifications. The approach dynamically generates operational abstractions from executions of the existing unit test suite. Any aut"&amp;"omatically generated tests violating the operational abstractions are identified as candidates for selection. In addition, these operational abstractions can guide test generation tools to produce better tests. To experiment with this approach, we integra"&amp;"ted the use of Daikon (a dynamic invariant detection tool) and Jtest (a commercial Java unit testing tool). An experiment is conducted to assess this approach. © 2003 IEEE")</f>
        <v>Unit testing, a common step in software development, presents a challenge. When produced manually, unit test suites are often insufficient to identify defects. The main alternative is to use one of a variety of automatic unit test generation tools: these are able to produce and execute a large number of test inputs that extensively exercise the unit under test. However, without a priori specifications, developers need to manually verify the outputs of these test executions, which is generally impractical. To reduce this cost, unit test selection techniques may be used to help select a subset of automatically generated test inputs. Then developers can verify their outputs, equip them with test oracles, and put them into the existing test suite. In this paper, we present the operational violation approach for unit test selection, a black-box approach without requiring a priori specifications. The approach dynamically generates operational abstractions from executions of the existing unit test suite. Any automatically generated tests violating the operational abstractions are identified as candidates for selection. In addition, these operational abstractions can guide test generation tools to produce better tests. To experiment with this approach, we integrated the use of Daikon (a dynamic invariant detection tool) and Jtest (a commercial Java unit testing tool). An experiment is conducted to assess this approach. © 2003 IEEE</v>
      </c>
      <c r="H764" s="8"/>
      <c r="I764" s="10" t="b">
        <v>0</v>
      </c>
      <c r="J764" s="10" t="b">
        <v>0</v>
      </c>
      <c r="K764" s="10" t="b">
        <v>0</v>
      </c>
      <c r="L764" s="10" t="b">
        <v>0</v>
      </c>
      <c r="M764" s="10" t="b">
        <v>0</v>
      </c>
      <c r="N764" s="10" t="b">
        <v>0</v>
      </c>
      <c r="O764" s="11" t="b">
        <f t="shared" si="1"/>
        <v>0</v>
      </c>
      <c r="P764" s="16" t="b">
        <v>0</v>
      </c>
      <c r="Q764" s="7"/>
    </row>
    <row r="765">
      <c r="A765" s="5" t="b">
        <v>1</v>
      </c>
      <c r="B765" s="5" t="s">
        <v>809</v>
      </c>
      <c r="C765" s="6" t="str">
        <f>IFERROR(__xludf.DUMMYFUNCTION("""COMPUTED_VALUE"""),"10.1109/ASE51524.2021.9678902")</f>
        <v>10.1109/ASE51524.2021.9678902</v>
      </c>
      <c r="D765" s="7" t="str">
        <f>IFERROR(__xludf.DUMMYFUNCTION("""COMPUTED_VALUE"""),"Sartaj H.")</f>
        <v>Sartaj H.</v>
      </c>
      <c r="E765" s="7" t="str">
        <f>IFERROR(__xludf.DUMMYFUNCTION("""COMPUTED_VALUE"""),"Automated Approach for System-level Testing of Unmanned Aerial Systems")</f>
        <v>Automated Approach for System-level Testing of Unmanned Aerial Systems</v>
      </c>
      <c r="F765" s="7" t="str">
        <f>IFERROR(__xludf.DUMMYFUNCTION("""COMPUTED_VALUE"""),"ASE")</f>
        <v>ASE</v>
      </c>
      <c r="G765" s="7" t="str">
        <f>IFERROR(__xludf.DUMMYFUNCTION("""COMPUTED_VALUE"""),"Unmanned aerial systems (UAS) have a large number of applications in civil and military domains. UAS rely on various avionics systems that are safety-critical and mission-critical. A major requirement of international safety standards is to perform rigoro"&amp;"us system-level testing of avionics systems, including software systems. The current industrial practice is to manually create test scenarios, manually or automatically execute these scenarios using simulators, and manual evaluation of the outcomes. A fun"&amp;"damental part of system-level testing of such systems is the simulation of environmental context. The test scenarios typically consist of setting certain environment conditions and testing the system under test in these settings. The state-of-the-art appr"&amp;"oaches available for this purpose also require manual test scenario development and manual test evaluation. In this research work, we propose an approach to automate the system-level testing of the UAS. The proposed approach (AITester) utilizes model-base"&amp;"d testing and artificial intelligence (AI) techniques to automatically generate, execute, and evaluate various test scenarios. The test scenarios are generated on the fly, i.e., during test execution based on the environmental context at runtime. We devel"&amp;"op a toolset to support automation. We perform a pilot experiment using a widely-used open-source autopilot, ArduPilot. The preliminary results show that the AITester is effective and efficient in violating autopilot expected behavior.  © 2021 IEEE.")</f>
        <v>Unmanned aerial systems (UAS) have a large number of applications in civil and military domains. UAS rely on various avionics systems that are safety-critical and mission-critical. A major requirement of international safety standards is to perform rigorous system-level testing of avionics systems, including software systems. The current industrial practice is to manually create test scenarios, manually or automatically execute these scenarios using simulators, and manual evaluation of the outcomes. A fundamental part of system-level testing of such systems is the simulation of environmental context. The test scenarios typically consist of setting certain environment conditions and testing the system under test in these settings. The state-of-the-art approaches available for this purpose also require manual test scenario development and manual test evaluation. In this research work, we propose an approach to automate the system-level testing of the UAS. The proposed approach (AITester) utilizes model-based testing and artificial intelligence (AI) techniques to automatically generate, execute, and evaluate various test scenarios. The test scenarios are generated on the fly, i.e., during test execution based on the environmental context at runtime. We develop a toolset to support automation. We perform a pilot experiment using a widely-used open-source autopilot, ArduPilot. The preliminary results show that the AITester is effective and efficient in violating autopilot expected behavior.  © 2021 IEEE.</v>
      </c>
      <c r="H765" s="8" t="str">
        <f>IFERROR(__xludf.DUMMYFUNCTION("""COMPUTED_VALUE"""),"Artificial Intelligence; Autopilot; Model-based Testing; Reinforcement Learning; Unmanned Aerial Systems")</f>
        <v>Artificial Intelligence; Autopilot; Model-based Testing; Reinforcement Learning; Unmanned Aerial Systems</v>
      </c>
      <c r="I765" s="10" t="b">
        <v>0</v>
      </c>
      <c r="J765" s="10" t="b">
        <v>0</v>
      </c>
      <c r="K765" s="10" t="b">
        <v>0</v>
      </c>
      <c r="L765" s="10" t="b">
        <v>0</v>
      </c>
      <c r="M765" s="10" t="b">
        <v>0</v>
      </c>
      <c r="N765" s="10" t="b">
        <v>0</v>
      </c>
      <c r="O765" s="11" t="b">
        <f t="shared" si="1"/>
        <v>0</v>
      </c>
      <c r="P765" s="16" t="b">
        <v>0</v>
      </c>
      <c r="Q765" s="7"/>
    </row>
    <row r="766">
      <c r="A766" s="5" t="b">
        <v>1</v>
      </c>
      <c r="B766" s="5" t="s">
        <v>810</v>
      </c>
      <c r="C766" s="6" t="str">
        <f>IFERROR(__xludf.DUMMYFUNCTION("""COMPUTED_VALUE"""),"10.1145/1858996.1859084")</f>
        <v>10.1145/1858996.1859084</v>
      </c>
      <c r="D766" s="7" t="str">
        <f>IFERROR(__xludf.DUMMYFUNCTION("""COMPUTED_VALUE"""),"Holzer A.; Tautschnig M.; Veith H.; Schallhart C.")</f>
        <v>Holzer A.; Tautschnig M.; Veith H.; Schallhart C.</v>
      </c>
      <c r="E766" s="7" t="str">
        <f>IFERROR(__xludf.DUMMYFUNCTION("""COMPUTED_VALUE"""),"How did you specify your test suite?")</f>
        <v>How did you specify your test suite?</v>
      </c>
      <c r="F766" s="7" t="str">
        <f>IFERROR(__xludf.DUMMYFUNCTION("""COMPUTED_VALUE"""),"ASE")</f>
        <v>ASE</v>
      </c>
      <c r="G766" s="7" t="str">
        <f>IFERROR(__xludf.DUMMYFUNCTION("""COMPUTED_VALUE"""),"Although testing is central to debugging and software certification, there is no adequate language to specify test suites over source code. Such a language should be simple and concise in daily use, feature a precise semantics, and of course, it has to fa"&amp;"cilitate suitable engines to compute test suites and assess the coverage achieved by a test suite. This paper introduces the language FQL designed to fit these purposes. We achieve the necessary expressive power by a natural extension of regular expressio"&amp;"ns which matches test suites rather than individual executions. To evaluate the language, we show for a list of informal requirements how to express them in FQL. Moreover, we present a test case generation engine for C programs and perform practical exper"&amp;"iments with the sample specifications. © 2010 ACM.")</f>
        <v>Although testing is central to debugging and software certification, there is no adequate language to specify test suites over source code. Such a language should be simple and concise in daily use, feature a precise semantics, and of course, it has to facilitate suitable engines to compute test suites and assess the coverage achieved by a test suite. This paper introduces the language FQL designed to fit these purposes. We achieve the necessary expressive power by a natural extension of regular expressions which matches test suites rather than individual executions. To evaluate the language, we show for a list of informal requirements how to express them in FQL. Moreover, we present a test case generation engine for C programs and perform practical experiments with the sample specifications. © 2010 ACM.</v>
      </c>
      <c r="H766" s="8" t="str">
        <f>IFERROR(__xludf.DUMMYFUNCTION("""COMPUTED_VALUE"""),"Languages; Verification")</f>
        <v>Languages; Verification</v>
      </c>
      <c r="I766" s="10" t="b">
        <v>0</v>
      </c>
      <c r="J766" s="10" t="b">
        <v>0</v>
      </c>
      <c r="K766" s="10" t="b">
        <v>0</v>
      </c>
      <c r="L766" s="10" t="b">
        <v>0</v>
      </c>
      <c r="M766" s="10" t="b">
        <v>0</v>
      </c>
      <c r="N766" s="10" t="b">
        <v>0</v>
      </c>
      <c r="O766" s="11" t="b">
        <f t="shared" si="1"/>
        <v>0</v>
      </c>
      <c r="P766" s="16" t="b">
        <v>0</v>
      </c>
      <c r="Q766" s="7"/>
    </row>
    <row r="767">
      <c r="A767" s="5" t="b">
        <v>1</v>
      </c>
      <c r="B767" s="5" t="s">
        <v>811</v>
      </c>
      <c r="C767" s="6" t="str">
        <f>IFERROR(__xludf.DUMMYFUNCTION("""COMPUTED_VALUE"""),"10.1145/2642937.2643007")</f>
        <v>10.1145/2642937.2643007</v>
      </c>
      <c r="D767" s="7" t="str">
        <f>IFERROR(__xludf.DUMMYFUNCTION("""COMPUTED_VALUE"""),"Ellis S.J.; Henderson E.R.; Klinge T.H.; Lathrop J.I.; Lutz J.H.; Lutz R.R.; Mathur D.; Miner A.S.")</f>
        <v>Ellis S.J.; Henderson E.R.; Klinge T.H.; Lathrop J.I.; Lutz J.H.; Lutz R.R.; Mathur D.; Miner A.S.</v>
      </c>
      <c r="E767" s="7" t="str">
        <f>IFERROR(__xludf.DUMMYFUNCTION("""COMPUTED_VALUE"""),"Automated requirements analysis for a molecular watchdog timer")</f>
        <v>Automated requirements analysis for a molecular watchdog timer</v>
      </c>
      <c r="F767" s="7" t="str">
        <f>IFERROR(__xludf.DUMMYFUNCTION("""COMPUTED_VALUE"""),"ASE")</f>
        <v>ASE</v>
      </c>
      <c r="G767" s="7" t="str">
        <f>IFERROR(__xludf.DUMMYFUNCTION("""COMPUTED_VALUE"""),"Dynamic systems in DNA nanotechnology are often programmed using a chemical reaction network (CRN) model as an intermediate level of abstraction. In this paper, we design and analyze a CRN model of a watchdog timer, a device commonly used to monitor the h"&amp;"ealth of a safety critical system. Our process uses incremental design practices with goal-oriented requirements engineering, software verification tools, and custom software to help automate the software engineering process. The watchdog timer is compris"&amp;"ed of three components: an absence detector, a threshold filter, and a signal amplifier. These components are separately designed and verified, and only then composed to create the molecular watchdog timer. During the requirements-design iterations, simul"&amp;"ation, model checking, and analysis are used to verify the system. Using this methodology several incomplete requirements and design flaws were found, and the final verified model helped determine specific parameters for biological experiments. © 2014 ACM"&amp;".")</f>
        <v>Dynamic systems in DNA nanotechnology are often programmed using a chemical reaction network (CRN) model as an intermediate level of abstraction. In this paper, we design and analyze a CRN model of a watchdog timer, a device commonly used to monitor the health of a safety critical system. Our process uses incremental design practices with goal-oriented requirements engineering, software verification tools, and custom software to help automate the software engineering process. The watchdog timer is comprised of three components: an absence detector, a threshold filter, and a signal amplifier. These components are separately designed and verified, and only then composed to create the molecular watchdog timer. During the requirements-design iterations, simulation, model checking, and analysis are used to verify the system. Using this methodology several incomplete requirements and design flaws were found, and the final verified model helped determine specific parameters for biological experiments. © 2014 ACM.</v>
      </c>
      <c r="H767" s="8" t="str">
        <f>IFERROR(__xludf.DUMMYFUNCTION("""COMPUTED_VALUE"""),"Chemical reaction networks; Molecular programming; Probabilistic model checking; Requirements engineering")</f>
        <v>Chemical reaction networks; Molecular programming; Probabilistic model checking; Requirements engineering</v>
      </c>
      <c r="I767" s="10" t="b">
        <v>0</v>
      </c>
      <c r="J767" s="10" t="b">
        <v>0</v>
      </c>
      <c r="K767" s="10" t="b">
        <v>0</v>
      </c>
      <c r="L767" s="10" t="b">
        <v>0</v>
      </c>
      <c r="M767" s="10" t="b">
        <v>0</v>
      </c>
      <c r="N767" s="10" t="b">
        <v>0</v>
      </c>
      <c r="O767" s="11" t="b">
        <f t="shared" si="1"/>
        <v>0</v>
      </c>
      <c r="P767" s="16" t="b">
        <v>0</v>
      </c>
      <c r="Q767" s="7"/>
    </row>
    <row r="768">
      <c r="A768" s="5" t="b">
        <v>1</v>
      </c>
      <c r="B768" s="5" t="s">
        <v>812</v>
      </c>
      <c r="C768" s="6"/>
      <c r="D768" s="7" t="str">
        <f>IFERROR(__xludf.DUMMYFUNCTION("""COMPUTED_VALUE"""),"Ambriola Vincenzo; Gervasi Vincenzo")</f>
        <v>Ambriola Vincenzo; Gervasi Vincenzo</v>
      </c>
      <c r="E768" s="7" t="str">
        <f>IFERROR(__xludf.DUMMYFUNCTION("""COMPUTED_VALUE"""),"Processing natural language requirements")</f>
        <v>Processing natural language requirements</v>
      </c>
      <c r="F768" s="7" t="str">
        <f>IFERROR(__xludf.DUMMYFUNCTION("""COMPUTED_VALUE"""),"ASE")</f>
        <v>ASE</v>
      </c>
      <c r="G768" s="7" t="str">
        <f>IFERROR(__xludf.DUMMYFUNCTION("""COMPUTED_VALUE"""),"The importance of requirements, which in practice often means natural language requirements, for a successful software project cannot be underestimated. Although requirement analysis has been traditionally reserved to the experience of professionals, ther"&amp;"e is no reason not to use various automatic techniques to the same end. In this paper we present Circe, a Web-based environment for aiding in natural language requirements gathering, elicitation, selection, and validation and the tools it integrates. Thes"&amp;"e tools have been used in several experiments both in academic and in industrial environments. Among other features, Circe can extract abstractions from natural language texts, build various models of the system described by the requirements, check the va"&amp;"lidity of such models, and produce functional metric reports. The environment can be easily extended to enhance its natural language recognition power, or to add new models and views on them.")</f>
        <v>The importance of requirements, which in practice often means natural language requirements, for a successful software project cannot be underestimated. Although requirement analysis has been traditionally reserved to the experience of professionals, there is no reason not to use various automatic techniques to the same end. In this paper we present Circe, a Web-based environment for aiding in natural language requirements gathering, elicitation, selection, and validation and the tools it integrates. These tools have been used in several experiments both in academic and in industrial environments. Among other features, Circe can extract abstractions from natural language texts, build various models of the system described by the requirements, check the validity of such models, and produce functional metric reports. The environment can be easily extended to enhance its natural language recognition power, or to add new models and views on them.</v>
      </c>
      <c r="H768" s="8"/>
      <c r="I768" s="10" t="b">
        <v>0</v>
      </c>
      <c r="J768" s="10" t="b">
        <v>0</v>
      </c>
      <c r="K768" s="10" t="b">
        <v>0</v>
      </c>
      <c r="L768" s="10" t="b">
        <v>0</v>
      </c>
      <c r="M768" s="10" t="b">
        <v>0</v>
      </c>
      <c r="N768" s="10" t="b">
        <v>0</v>
      </c>
      <c r="O768" s="11" t="b">
        <f t="shared" si="1"/>
        <v>0</v>
      </c>
      <c r="P768" s="16" t="b">
        <v>0</v>
      </c>
      <c r="Q768" s="7"/>
    </row>
    <row r="769">
      <c r="A769" s="5" t="b">
        <v>1</v>
      </c>
      <c r="B769" s="5" t="s">
        <v>813</v>
      </c>
      <c r="C769" s="6" t="str">
        <f>IFERROR(__xludf.DUMMYFUNCTION("""COMPUTED_VALUE"""),"10.1109/ASE.2000.873653")</f>
        <v>10.1109/ASE.2000.873653</v>
      </c>
      <c r="D769" s="7" t="str">
        <f>IFERROR(__xludf.DUMMYFUNCTION("""COMPUTED_VALUE"""),"Black P.E.; Okun V.; Yesha Y.")</f>
        <v>Black P.E.; Okun V.; Yesha Y.</v>
      </c>
      <c r="E769" s="7" t="str">
        <f>IFERROR(__xludf.DUMMYFUNCTION("""COMPUTED_VALUE"""),"Mutation operators for specifications")</f>
        <v>Mutation operators for specifications</v>
      </c>
      <c r="F769" s="7" t="str">
        <f>IFERROR(__xludf.DUMMYFUNCTION("""COMPUTED_VALUE"""),"ASE")</f>
        <v>ASE</v>
      </c>
      <c r="G769" s="7" t="str">
        <f>IFERROR(__xludf.DUMMYFUNCTION("""COMPUTED_VALUE"""),"Testing has a vital support role in the software engineering process, but developing tests often takes significant resources. A formal specification is a repository of knowledge about a system, and a recent method uses such specifications to automatically"&amp;" generate complete test suites via mutation analysis. We define an extensive set of mutation operators for use with this method. We report the results of our theoretical and experimental investigation of the relationships between the classes of faults det"&amp;"ected by the various operators. Finally, we recommend sets of mutation operators which yield good test coverage at a reduced cost compared to using all proposed operators. © 2000 IEEE.")</f>
        <v>Testing has a vital support role in the software engineering process, but developing tests often takes significant resources. A formal specification is a repository of knowledge about a system, and a recent method uses such specifications to automatically generate complete test suites via mutation analysis. We define an extensive set of mutation operators for use with this method. We report the results of our theoretical and experimental investigation of the relationships between the classes of faults detected by the various operators. Finally, we recommend sets of mutation operators which yield good test coverage at a reduced cost compared to using all proposed operators. © 2000 IEEE.</v>
      </c>
      <c r="H769" s="8"/>
      <c r="I769" s="10" t="b">
        <v>0</v>
      </c>
      <c r="J769" s="10" t="b">
        <v>0</v>
      </c>
      <c r="K769" s="10" t="b">
        <v>0</v>
      </c>
      <c r="L769" s="10" t="b">
        <v>0</v>
      </c>
      <c r="M769" s="10" t="b">
        <v>0</v>
      </c>
      <c r="N769" s="10" t="b">
        <v>0</v>
      </c>
      <c r="O769" s="11" t="b">
        <f t="shared" si="1"/>
        <v>0</v>
      </c>
      <c r="P769" s="16" t="b">
        <v>0</v>
      </c>
      <c r="Q769" s="7"/>
    </row>
    <row r="770">
      <c r="A770" s="5" t="b">
        <v>1</v>
      </c>
      <c r="B770" s="5" t="s">
        <v>814</v>
      </c>
      <c r="C770" s="6" t="str">
        <f>IFERROR(__xludf.DUMMYFUNCTION("""COMPUTED_VALUE"""),"10.1145/2970276.2970309")</f>
        <v>10.1145/2970276.2970309</v>
      </c>
      <c r="D770" s="7" t="str">
        <f>IFERROR(__xludf.DUMMYFUNCTION("""COMPUTED_VALUE"""),"Kroening D.; Poetzl D.; Schrammel P.; Wachter B.")</f>
        <v>Kroening D.; Poetzl D.; Schrammel P.; Wachter B.</v>
      </c>
      <c r="E770" s="7" t="str">
        <f>IFERROR(__xludf.DUMMYFUNCTION("""COMPUTED_VALUE"""),"Sound static deadlock analysis for C/Pthreads")</f>
        <v>Sound static deadlock analysis for C/Pthreads</v>
      </c>
      <c r="F770" s="7" t="str">
        <f>IFERROR(__xludf.DUMMYFUNCTION("""COMPUTED_VALUE"""),"ASE")</f>
        <v>ASE</v>
      </c>
      <c r="G770" s="7" t="str">
        <f>IFERROR(__xludf.DUMMYFUNCTION("""COMPUTED_VALUE"""),"We present a static deadlock analysis for C/Pthreads. The design of our method has been guided by the requirement to analyse real-world code. Our approach is sound (i.e., misses no deadlocks) for programs that have defined behaviour according to the C sta"&amp;"ndard and the Pthreads specification, and is precise enough to prove deadlock-freedom for a large number of such programs. The method consists of a pipeline of several analyses that build on a new contextand thread-sensitive abstract interpretation framew"&amp;"ork. We further present a lightweight dependency analysis to identify statements relevant to deadlock analysis and thus speed up the overall analysis. In our experimental evaluation, we succeeded to prove deadlock-freedom for 292 programs from the Debian "&amp;"GNU/Linux distribution with in total 2.3MLOC in 4 hours. © 2016 ACM.")</f>
        <v>We present a static deadlock analysis for C/Pthreads. The design of our method has been guided by the requirement to analyse real-world code. Our approach is sound (i.e., misses no deadlocks) for programs that have defined behaviour according to the C standard and the Pthreads specification, and is precise enough to prove deadlock-freedom for a large number of such programs. The method consists of a pipeline of several analyses that build on a new contextand thread-sensitive abstract interpretation framework. We further present a lightweight dependency analysis to identify statements relevant to deadlock analysis and thus speed up the overall analysis. In our experimental evaluation, we succeeded to prove deadlock-freedom for 292 programs from the Debian GNU/Linux distribution with in total 2.3MLOC in 4 hours. © 2016 ACM.</v>
      </c>
      <c r="H770" s="8" t="str">
        <f>IFERROR(__xludf.DUMMYFUNCTION("""COMPUTED_VALUE"""),"Abstract interpretation; Deadlock analysis; Static analysis")</f>
        <v>Abstract interpretation; Deadlock analysis; Static analysis</v>
      </c>
      <c r="I770" s="10" t="b">
        <v>0</v>
      </c>
      <c r="J770" s="10" t="b">
        <v>0</v>
      </c>
      <c r="K770" s="10" t="b">
        <v>0</v>
      </c>
      <c r="L770" s="10" t="b">
        <v>0</v>
      </c>
      <c r="M770" s="10" t="b">
        <v>0</v>
      </c>
      <c r="N770" s="10" t="b">
        <v>0</v>
      </c>
      <c r="O770" s="11" t="b">
        <f t="shared" si="1"/>
        <v>0</v>
      </c>
      <c r="P770" s="16" t="b">
        <v>0</v>
      </c>
      <c r="Q770" s="7"/>
    </row>
    <row r="771">
      <c r="A771" s="5" t="b">
        <v>1</v>
      </c>
      <c r="B771" s="5" t="s">
        <v>815</v>
      </c>
      <c r="C771" s="6" t="str">
        <f>IFERROR(__xludf.DUMMYFUNCTION("""COMPUTED_VALUE"""),"10.1145/3238147.3238223")</f>
        <v>10.1145/3238147.3238223</v>
      </c>
      <c r="D771" s="7" t="str">
        <f>IFERROR(__xludf.DUMMYFUNCTION("""COMPUTED_VALUE"""),"Yin L.; Liu W.; Dong W.; Wang J.")</f>
        <v>Yin L.; Liu W.; Dong W.; Wang J.</v>
      </c>
      <c r="E771" s="7" t="str">
        <f>IFERROR(__xludf.DUMMYFUNCTION("""COMPUTED_VALUE"""),"Scheduling constraint based abstraction refinement for weak memory models")</f>
        <v>Scheduling constraint based abstraction refinement for weak memory models</v>
      </c>
      <c r="F771" s="7" t="str">
        <f>IFERROR(__xludf.DUMMYFUNCTION("""COMPUTED_VALUE"""),"ASE")</f>
        <v>ASE</v>
      </c>
      <c r="G771" s="7" t="str">
        <f>IFERROR(__xludf.DUMMYFUNCTION("""COMPUTED_VALUE"""),"Scheduling constraint based abstraction refinement (SCAR) is one of the most efficient methods for verifying programs under sequential consistency (SC). However, most multi-processor architectures implement weak memory models (WMMs) in order to improve th"&amp;"e performance of a program. Due to the nondeterministic execution of those memory operations by the same thread, the behavior of a program under WMMs is much more complex than that under SC, which significantly increases the verification complexity. This "&amp;"paper elegantly extends the SCAR method to WMMs such as TSO and PSO. To capture the order requirements of an abstraction counterexample under WMMs, we have enriched the event order graph (EOG) of a counterexample such that it is competent for both SC and "&amp;"WMMs. We have also proposed a unified EOG generation method which can always obtain a minimal EOG efficiently. Experimental results on a large set of multi-threaded C programs show promising results of our method. It significantly outperforms state-of-the"&amp;"-art tools, and the time and memory it required to verify a program under TSO and PSO are roughly comparable to that under SC. © 2018 Association for Computing Machinery.")</f>
        <v>Scheduling constraint based abstraction refinement (SCAR) is one of the most efficient methods for verifying programs under sequential consistency (SC). However, most multi-processor architectures implement weak memory models (WMMs) in order to improve the performance of a program. Due to the nondeterministic execution of those memory operations by the same thread, the behavior of a program under WMMs is much more complex than that under SC, which significantly increases the verification complexity. This paper elegantly extends the SCAR method to WMMs such as TSO and PSO. To capture the order requirements of an abstraction counterexample under WMMs, we have enriched the event order graph (EOG) of a counterexample such that it is competent for both SC and WMMs. We have also proposed a unified EOG generation method which can always obtain a minimal EOG efficiently. Experimental results on a large set of multi-threaded C programs show promising results of our method. It significantly outperforms state-of-the-art tools, and the time and memory it required to verify a program under TSO and PSO are roughly comparable to that under SC. © 2018 Association for Computing Machinery.</v>
      </c>
      <c r="H771" s="8" t="str">
        <f>IFERROR(__xludf.DUMMYFUNCTION("""COMPUTED_VALUE"""),"Concurrent program verification; Event order graph; Scheduling constraint; Weak memory model")</f>
        <v>Concurrent program verification; Event order graph; Scheduling constraint; Weak memory model</v>
      </c>
      <c r="I771" s="10" t="b">
        <v>0</v>
      </c>
      <c r="J771" s="10" t="b">
        <v>0</v>
      </c>
      <c r="K771" s="10" t="b">
        <v>0</v>
      </c>
      <c r="L771" s="10" t="b">
        <v>0</v>
      </c>
      <c r="M771" s="10" t="b">
        <v>0</v>
      </c>
      <c r="N771" s="10" t="b">
        <v>0</v>
      </c>
      <c r="O771" s="11" t="b">
        <f t="shared" si="1"/>
        <v>0</v>
      </c>
      <c r="P771" s="16" t="b">
        <v>0</v>
      </c>
      <c r="Q771" s="7"/>
    </row>
    <row r="772">
      <c r="A772" s="5" t="b">
        <v>1</v>
      </c>
      <c r="B772" s="5" t="s">
        <v>816</v>
      </c>
      <c r="C772" s="6" t="str">
        <f>IFERROR(__xludf.DUMMYFUNCTION("""COMPUTED_VALUE"""),"10.1109/ASE.2004.1342735")</f>
        <v>10.1109/ASE.2004.1342735</v>
      </c>
      <c r="D772" s="7" t="str">
        <f>IFERROR(__xludf.DUMMYFUNCTION("""COMPUTED_VALUE"""),"Heimdahl M.P.E.; George D.")</f>
        <v>Heimdahl M.P.E.; George D.</v>
      </c>
      <c r="E772" s="7" t="str">
        <f>IFERROR(__xludf.DUMMYFUNCTION("""COMPUTED_VALUE"""),"Test-suite reduction for model based tests: Effects on test quality and implications for testing")</f>
        <v>Test-suite reduction for model based tests: Effects on test quality and implications for testing</v>
      </c>
      <c r="F772" s="7" t="str">
        <f>IFERROR(__xludf.DUMMYFUNCTION("""COMPUTED_VALUE"""),"ASE")</f>
        <v>ASE</v>
      </c>
      <c r="G772" s="7" t="str">
        <f>IFERROR(__xludf.DUMMYFUNCTION("""COMPUTED_VALUE"""),"Model checking techniques can be successfully employed as a test case generation technique to generate tests from formal models. The number of tests cases produced, however, is typically large for complex coverage criteria such as MCDC. Test-suite reducti"&amp;"on can provide us with a smaller set of test cases that preserve the original coverage - often a dramatically smaller set. One potential drawback with test-suite reduction is that this might affect the quality of the test-suite in terms of fault finding. "&amp;"Previous empirical studies provide conflicting evidence on this issue. To further investigate the problem and determine its effect when testing formal models of software, we performed an experiment using a large case example of a Flight Guidance System, g"&amp;"enerated reduced test-suites for a variety of structural coverage criteria while preserving coverage, and recorded their fault finding effectiveness. Our results show that the size of the specification based test-suites can be dramatically reduced and tha"&amp;"t the fault detection of the reduced test-suites is adversely affected. In this report we describe our experiment, analyze the results, and discuss the implications for testing based on formal specifications. © 2004 IEEE.")</f>
        <v>Model checking techniques can be successfully employed as a test case generation technique to generate tests from formal models. The number of tests cases produced, however, is typically large for complex coverage criteria such as MCDC. Test-suite reduction can provide us with a smaller set of test cases that preserve the original coverage - often a dramatically smaller set. One potential drawback with test-suite reduction is that this might affect the quality of the test-suite in terms of fault finding. Previous empirical studies provide conflicting evidence on this issue. To further investigate the problem and determine its effect when testing formal models of software, we performed an experiment using a large case example of a Flight Guidance System, generated reduced test-suites for a variety of structural coverage criteria while preserving coverage, and recorded their fault finding effectiveness. Our results show that the size of the specification based test-suites can be dramatically reduced and that the fault detection of the reduced test-suites is adversely affected. In this report we describe our experiment, analyze the results, and discuss the implications for testing based on formal specifications. © 2004 IEEE.</v>
      </c>
      <c r="H772" s="8" t="str">
        <f>IFERROR(__xludf.DUMMYFUNCTION("""COMPUTED_VALUE"""),"Automated test generation; Fault finding; Model checkers; Specification-based testing; Test reduction")</f>
        <v>Automated test generation; Fault finding; Model checkers; Specification-based testing; Test reduction</v>
      </c>
      <c r="I772" s="10" t="b">
        <v>0</v>
      </c>
      <c r="J772" s="10" t="b">
        <v>0</v>
      </c>
      <c r="K772" s="10" t="b">
        <v>0</v>
      </c>
      <c r="L772" s="10" t="b">
        <v>0</v>
      </c>
      <c r="M772" s="10" t="b">
        <v>0</v>
      </c>
      <c r="N772" s="10" t="b">
        <v>0</v>
      </c>
      <c r="O772" s="11" t="b">
        <f t="shared" si="1"/>
        <v>0</v>
      </c>
      <c r="P772" s="16" t="b">
        <v>0</v>
      </c>
      <c r="Q772" s="7"/>
    </row>
    <row r="773">
      <c r="A773" s="5" t="b">
        <v>1</v>
      </c>
      <c r="B773" s="5" t="s">
        <v>817</v>
      </c>
      <c r="C773" s="6" t="str">
        <f>IFERROR(__xludf.DUMMYFUNCTION("""COMPUTED_VALUE"""),"10.1109/ASE.2011.6100090")</f>
        <v>10.1109/ASE.2011.6100090</v>
      </c>
      <c r="D773" s="7" t="str">
        <f>IFERROR(__xludf.DUMMYFUNCTION("""COMPUTED_VALUE"""),"Vakili A.; Day N.A.")</f>
        <v>Vakili A.; Day N.A.</v>
      </c>
      <c r="E773" s="7" t="str">
        <f>IFERROR(__xludf.DUMMYFUNCTION("""COMPUTED_VALUE"""),"Using model checking to analyze static properties of declarative models")</f>
        <v>Using model checking to analyze static properties of declarative models</v>
      </c>
      <c r="F773" s="7" t="str">
        <f>IFERROR(__xludf.DUMMYFUNCTION("""COMPUTED_VALUE"""),"ASE")</f>
        <v>ASE</v>
      </c>
      <c r="G773" s="7" t="str">
        <f>IFERROR(__xludf.DUMMYFUNCTION("""COMPUTED_VALUE"""),"We show how static properties of declarative models can be efficiently analyzed in a symbolic model checker; in particular, we use Cadence SMV to analyze Alloy models by translating Alloy to SMV. The computational paths of the SMV models represent interpr"&amp;"etations of the Alloy models. The produced SMV model satisfies its LTL specifications if and only if the original Alloy model is inconsistent with respect to its finite scopes; counterexamples produced by the model checker are valid instances of the Alloy"&amp;" model. Our experiments show that the translation of many frequently used constructs of Alloy to SMV results in optimized models such that their analysis in SMV is much faster than in the Alloy Analyzer. Model checking is faster than SAT solving for stati"&amp;"c problems when an interpretation can be eliminated by early decisions in the model checking search. © 2011 IEEE.")</f>
        <v>We show how static properties of declarative models can be efficiently analyzed in a symbolic model checker; in particular, we use Cadence SMV to analyze Alloy models by translating Alloy to SMV. The computational paths of the SMV models represent interpretations of the Alloy models. The produced SMV model satisfies its LTL specifications if and only if the original Alloy model is inconsistent with respect to its finite scopes; counterexamples produced by the model checker are valid instances of the Alloy model. Our experiments show that the translation of many frequently used constructs of Alloy to SMV results in optimized models such that their analysis in SMV is much faster than in the Alloy Analyzer. Model checking is faster than SAT solving for static problems when an interpretation can be eliminated by early decisions in the model checking search. © 2011 IEEE.</v>
      </c>
      <c r="H773" s="8"/>
      <c r="I773" s="10" t="b">
        <v>0</v>
      </c>
      <c r="J773" s="10" t="b">
        <v>0</v>
      </c>
      <c r="K773" s="10" t="b">
        <v>0</v>
      </c>
      <c r="L773" s="10" t="b">
        <v>0</v>
      </c>
      <c r="M773" s="10" t="b">
        <v>0</v>
      </c>
      <c r="N773" s="10" t="b">
        <v>0</v>
      </c>
      <c r="O773" s="11" t="b">
        <f t="shared" si="1"/>
        <v>0</v>
      </c>
      <c r="P773" s="16" t="b">
        <v>0</v>
      </c>
      <c r="Q773" s="7"/>
    </row>
    <row r="774">
      <c r="A774" s="5" t="b">
        <v>1</v>
      </c>
      <c r="B774" s="5" t="s">
        <v>818</v>
      </c>
      <c r="C774" s="6" t="str">
        <f>IFERROR(__xludf.DUMMYFUNCTION("""COMPUTED_VALUE"""),"10.1109/ASE.2009.66")</f>
        <v>10.1109/ASE.2009.66</v>
      </c>
      <c r="D774" s="7" t="str">
        <f>IFERROR(__xludf.DUMMYFUNCTION("""COMPUTED_VALUE"""),"Wang Y.; Mylopoulos J.")</f>
        <v>Wang Y.; Mylopoulos J.</v>
      </c>
      <c r="E774" s="7" t="str">
        <f>IFERROR(__xludf.DUMMYFUNCTION("""COMPUTED_VALUE"""),"Self-repair through reconfiguration: A requirements engineering approach")</f>
        <v>Self-repair through reconfiguration: A requirements engineering approach</v>
      </c>
      <c r="F774" s="7" t="str">
        <f>IFERROR(__xludf.DUMMYFUNCTION("""COMPUTED_VALUE"""),"ASE")</f>
        <v>ASE</v>
      </c>
      <c r="G774" s="7" t="str">
        <f>IFERROR(__xludf.DUMMYFUNCTION("""COMPUTED_VALUE"""),"High variability software systems can deliver their functionalities in multiple ways by reconfiguring their components. High variability has become important because of current trends towards software systems that come in product families, offer high leve"&amp;"ls of personalization, and fit well within a service-oriented architecture. The purpose of our research is to propose a framework that exploits such variability to allow a software system to self-repair in cases of failure. We propose an autonomic archite"&amp;"cture that consists of monitoring, diagnosis, reconfiguration and execution components. This architecture uses requirements models as a basis for monitoring, diagnosis, and reconfiguration. We illustrate our proposal with a medium-sized publicly available"&amp;" case study (an Automated Teller Machine (ATM) simulation), and evaluate its performance through a series of experiments. Our experimental results demonstrate that it is feasible to scale our approach to software systems with medium-size requirements. © 2"&amp;"009 IEEE.")</f>
        <v>High variability software systems can deliver their functionalities in multiple ways by reconfiguring their components. High variability has become important because of current trends towards software systems that come in product families, offer high levels of personalization, and fit well within a service-oriented architecture. The purpose of our research is to propose a framework that exploits such variability to allow a software system to self-repair in cases of failure. We propose an autonomic architecture that consists of monitoring, diagnosis, reconfiguration and execution components. This architecture uses requirements models as a basis for monitoring, diagnosis, and reconfiguration. We illustrate our proposal with a medium-sized publicly available case study (an Automated Teller Machine (ATM) simulation), and evaluate its performance through a series of experiments. Our experimental results demonstrate that it is feasible to scale our approach to software systems with medium-size requirements. © 2009 IEEE.</v>
      </c>
      <c r="H774" s="8" t="str">
        <f>IFERROR(__xludf.DUMMYFUNCTION("""COMPUTED_VALUE"""),"Adaptive systems; Autonomic computing; Requirement Monitoring and Diagnosis; Self-reconfiguration")</f>
        <v>Adaptive systems; Autonomic computing; Requirement Monitoring and Diagnosis; Self-reconfiguration</v>
      </c>
      <c r="I774" s="10" t="b">
        <v>0</v>
      </c>
      <c r="J774" s="10" t="b">
        <v>0</v>
      </c>
      <c r="K774" s="10" t="b">
        <v>0</v>
      </c>
      <c r="L774" s="10" t="b">
        <v>0</v>
      </c>
      <c r="M774" s="10" t="b">
        <v>0</v>
      </c>
      <c r="N774" s="10" t="b">
        <v>0</v>
      </c>
      <c r="O774" s="11" t="b">
        <f t="shared" si="1"/>
        <v>0</v>
      </c>
      <c r="P774" s="16" t="b">
        <v>0</v>
      </c>
      <c r="Q774" s="7"/>
    </row>
    <row r="775">
      <c r="A775" s="5" t="b">
        <v>1</v>
      </c>
      <c r="B775" s="5" t="s">
        <v>819</v>
      </c>
      <c r="C775" s="6" t="str">
        <f>IFERROR(__xludf.DUMMYFUNCTION("""COMPUTED_VALUE"""),"10.1109/ASE.2013.6693073")</f>
        <v>10.1109/ASE.2013.6693073</v>
      </c>
      <c r="D775" s="7" t="str">
        <f>IFERROR(__xludf.DUMMYFUNCTION("""COMPUTED_VALUE"""),"Cotroneo D.; Di Leo D.; Fucci F.; Natella R.")</f>
        <v>Cotroneo D.; Di Leo D.; Fucci F.; Natella R.</v>
      </c>
      <c r="E775" s="7" t="str">
        <f>IFERROR(__xludf.DUMMYFUNCTION("""COMPUTED_VALUE"""),"SABRINE: State-based robustness testing of operating systems")</f>
        <v>SABRINE: State-based robustness testing of operating systems</v>
      </c>
      <c r="F775" s="7" t="str">
        <f>IFERROR(__xludf.DUMMYFUNCTION("""COMPUTED_VALUE"""),"ASE")</f>
        <v>ASE</v>
      </c>
      <c r="G775" s="7" t="str">
        <f>IFERROR(__xludf.DUMMYFUNCTION("""COMPUTED_VALUE"""),"The assessment of operating systems robustness with respect to unexpected or anomalous events is a fundamental requirement for mission-critical systems. Robustness can be tested by deliberately exposing the system to erroneous events during its execution,"&amp;" and then analyzing the OS behavior to evaluate its ability to gracefully handle these events. Since OSs are complex and stateful systems, robustness testing needs to account for the timing of erroneous events, in order to evaluate the robust behavior of "&amp;"the OS under different states. This paper presents SABRINE (StAte-Based Robustness testIng of operatiNg systEms), an approach for state-aware robustness testing of OSs. SABRINE automatically extracts state models from execution traces, and generates a set"&amp;" of test cases that cover different OS states. We evaluate the approach on a Linux-based Real-Time Operating System adopted in the avionic domain. Experimental results show that SABRINE can automatically identify relevant OS states, and find robustness vu"&amp;"lnerabilities while keeping low the number of test cases. © 2013 IEEE.")</f>
        <v>The assessment of operating systems robustness with respect to unexpected or anomalous events is a fundamental requirement for mission-critical systems. Robustness can be tested by deliberately exposing the system to erroneous events during its execution, and then analyzing the OS behavior to evaluate its ability to gracefully handle these events. Since OSs are complex and stateful systems, robustness testing needs to account for the timing of erroneous events, in order to evaluate the robust behavior of the OS under different states. This paper presents SABRINE (StAte-Based Robustness testIng of operatiNg systEms), an approach for state-aware robustness testing of OSs. SABRINE automatically extracts state models from execution traces, and generates a set of test cases that cover different OS states. We evaluate the approach on a Linux-based Real-Time Operating System adopted in the avionic domain. Experimental results show that SABRINE can automatically identify relevant OS states, and find robustness vulnerabilities while keeping low the number of test cases. © 2013 IEEE.</v>
      </c>
      <c r="H775" s="8" t="str">
        <f>IFERROR(__xludf.DUMMYFUNCTION("""COMPUTED_VALUE"""),"Dependability Benchmarking; Fault Injection; Fault Tolerance; Linux kernel; Operating Systems; Robustness Testing")</f>
        <v>Dependability Benchmarking; Fault Injection; Fault Tolerance; Linux kernel; Operating Systems; Robustness Testing</v>
      </c>
      <c r="I775" s="10" t="b">
        <v>0</v>
      </c>
      <c r="J775" s="10" t="b">
        <v>0</v>
      </c>
      <c r="K775" s="10" t="b">
        <v>0</v>
      </c>
      <c r="L775" s="10" t="b">
        <v>0</v>
      </c>
      <c r="M775" s="10" t="b">
        <v>0</v>
      </c>
      <c r="N775" s="10" t="b">
        <v>0</v>
      </c>
      <c r="O775" s="11" t="b">
        <f t="shared" si="1"/>
        <v>0</v>
      </c>
      <c r="P775" s="16" t="b">
        <v>0</v>
      </c>
      <c r="Q775" s="7"/>
    </row>
    <row r="776">
      <c r="A776" s="5" t="b">
        <v>1</v>
      </c>
      <c r="B776" s="5" t="s">
        <v>820</v>
      </c>
      <c r="C776" s="6" t="str">
        <f>IFERROR(__xludf.DUMMYFUNCTION("""COMPUTED_VALUE"""),"10.1145/1858996.1859007")</f>
        <v>10.1145/1858996.1859007</v>
      </c>
      <c r="D776" s="7" t="str">
        <f>IFERROR(__xludf.DUMMYFUNCTION("""COMPUTED_VALUE"""),"Yang H.; Willis A.; De Roeck A.; Nuseibeh B.")</f>
        <v>Yang H.; Willis A.; De Roeck A.; Nuseibeh B.</v>
      </c>
      <c r="E776" s="7" t="str">
        <f>IFERROR(__xludf.DUMMYFUNCTION("""COMPUTED_VALUE"""),"Ambiguities in natural language requirements")</f>
        <v>Ambiguities in natural language requirements</v>
      </c>
      <c r="F776" s="7" t="str">
        <f>IFERROR(__xludf.DUMMYFUNCTION("""COMPUTED_VALUE"""),"ASE")</f>
        <v>ASE</v>
      </c>
      <c r="G776" s="7" t="str">
        <f>IFERROR(__xludf.DUMMYFUNCTION("""COMPUTED_VALUE"""),"Natural language is prevalent in requirements documents. However, ambiguity is an intrinsic phenomenon of natural language, and is therefore present in all such documents. Ambiguity occurs when a sentence can be interpreted differently by different reader"&amp;"s. In this paper, we describe an automated approach for characterizing and detecting so-called nocuous ambiguities, which carry a high risk of misunderstanding among different readers. Given a natural language requirements document, sentences that contain"&amp;" specific types of ambiguity are first extracted automatically from the text. A machine learning algorithm is then used to determine whether an ambiguous sentence is nocuous or innocuous, based on a set of heuristics that draw on human judgments, which we"&amp;" collected as training data. We implemented a prototype tool for Nocuous Ambiguity Identification (NAI), in order to illustrate and evaluate our approach. The tool focuses on coordination ambiguity. We report on the results of a set of experiments to asse"&amp;"ss the performance and usefulness of the approach. © 2010 ACM.")</f>
        <v>Natural language is prevalent in requirements documents. However, ambiguity is an intrinsic phenomenon of natural language, and is therefore present in all such documents. Ambiguity occurs when a sentence can be interpreted differently by different readers. In this paper, we describe an automated approach for characterizing and detecting so-called nocuous ambiguities, which carry a high risk of misunderstanding among different readers. Given a natural language requirements document, sentences that contain specific types of ambiguity are first extracted automatically from the text. A machine learning algorithm is then used to determine whether an ambiguous sentence is nocuous or innocuous, based on a set of heuristics that draw on human judgments, which we collected as training data. We implemented a prototype tool for Nocuous Ambiguity Identification (NAI), in order to illustrate and evaluate our approach. The tool focuses on coordination ambiguity. We report on the results of a set of experiments to assess the performance and usefulness of the approach. © 2010 ACM.</v>
      </c>
      <c r="H776" s="8" t="str">
        <f>IFERROR(__xludf.DUMMYFUNCTION("""COMPUTED_VALUE"""),"Coordination ambiguity; Human judgments; Machine learning; Natural language requirements; Nocuous ambiguity")</f>
        <v>Coordination ambiguity; Human judgments; Machine learning; Natural language requirements; Nocuous ambiguity</v>
      </c>
      <c r="I776" s="10" t="b">
        <v>0</v>
      </c>
      <c r="J776" s="10" t="b">
        <v>0</v>
      </c>
      <c r="K776" s="10" t="b">
        <v>0</v>
      </c>
      <c r="L776" s="10" t="b">
        <v>0</v>
      </c>
      <c r="M776" s="10" t="b">
        <v>0</v>
      </c>
      <c r="N776" s="10" t="b">
        <v>0</v>
      </c>
      <c r="O776" s="11" t="b">
        <f t="shared" si="1"/>
        <v>0</v>
      </c>
      <c r="P776" s="16" t="b">
        <v>0</v>
      </c>
      <c r="Q776" s="7"/>
    </row>
    <row r="777">
      <c r="A777" s="5" t="b">
        <v>1</v>
      </c>
      <c r="B777" s="5" t="s">
        <v>821</v>
      </c>
      <c r="C777" s="6" t="str">
        <f>IFERROR(__xludf.DUMMYFUNCTION("""COMPUTED_VALUE"""),"10.1109/ASE51524.2021.9678813")</f>
        <v>10.1109/ASE51524.2021.9678813</v>
      </c>
      <c r="D777" s="7" t="str">
        <f>IFERROR(__xludf.DUMMYFUNCTION("""COMPUTED_VALUE"""),"Jiang J.; Xu H.; Zhou Y.")</f>
        <v>Jiang J.; Xu H.; Zhou Y.</v>
      </c>
      <c r="E777" s="7" t="str">
        <f>IFERROR(__xludf.DUMMYFUNCTION("""COMPUTED_VALUE"""),"RULF: Rust Library Fuzzing via API Dependency Graph Traversal")</f>
        <v>RULF: Rust Library Fuzzing via API Dependency Graph Traversal</v>
      </c>
      <c r="F777" s="7" t="str">
        <f>IFERROR(__xludf.DUMMYFUNCTION("""COMPUTED_VALUE"""),"ASE")</f>
        <v>ASE</v>
      </c>
      <c r="G777" s="7" t="str">
        <f>IFERROR(__xludf.DUMMYFUNCTION("""COMPUTED_VALUE"""),"Robustness is a key concern for Rust library development because Rust promises no risks of undefined behaviors if developers use safe APIs only. Fuzzing is a practical approach for examining the robustness of programs. However, existing fuzzing tools are "&amp;"not directly applicable to library APIs due to the absence of fuzz targets. It mainly relies on human efforts to design fuzz targets case by case which is labor-intensive. To address this problem, this paper proposes a novel automated fuzz target generati"&amp;"on approach for fuzzing Rust libraries via API dependency graph traversal. We identify several essential requirements for library fuzzing, including validity and effectiveness of fuzz targets, high API coverage, and efficiency. To meet these requirements,"&amp;" we first employ breadth-first search with pruning to find API sequences under a length threshold, then we backward search longer sequences for uncovered APIs, and finally we optimize the sequence set as a set covering problem. We implement our fuzz targe"&amp;"t generator and conduct fuzzing experiments with AFL++ on several real-world popular Rust projects. Our tool finally generates 7 to 118 fuzz targets for each library with API coverage up to 0.92. We exercise each target with a threshold of 24 hours and fi"&amp;"nd 30 previously-unknown bugs from seven libraries.  © 2021 IEEE.")</f>
        <v>Robustness is a key concern for Rust library development because Rust promises no risks of undefined behaviors if developers use safe APIs only. Fuzzing is a practical approach for examining the robustness of programs. However, existing fuzzing tools are not directly applicable to library APIs due to the absence of fuzz targets. It mainly relies on human efforts to design fuzz targets case by case which is labor-intensive. To address this problem, this paper proposes a novel automated fuzz target generation approach for fuzzing Rust libraries via API dependency graph traversal. We identify several essential requirements for library fuzzing, including validity and effectiveness of fuzz targets, high API coverage, and efficiency. To meet these requirements, we first employ breadth-first search with pruning to find API sequences under a length threshold, then we backward search longer sequences for uncovered APIs, and finally we optimize the sequence set as a set covering problem. We implement our fuzz target generator and conduct fuzzing experiments with AFL++ on several real-world popular Rust projects. Our tool finally generates 7 to 118 fuzz targets for each library with API coverage up to 0.92. We exercise each target with a threshold of 24 hours and find 30 previously-unknown bugs from seven libraries.  © 2021 IEEE.</v>
      </c>
      <c r="H777" s="8" t="str">
        <f>IFERROR(__xludf.DUMMYFUNCTION("""COMPUTED_VALUE"""),"Fuzzing; Program Synthesis; Rust")</f>
        <v>Fuzzing; Program Synthesis; Rust</v>
      </c>
      <c r="I777" s="10" t="b">
        <v>0</v>
      </c>
      <c r="J777" s="10" t="b">
        <v>0</v>
      </c>
      <c r="K777" s="10" t="b">
        <v>0</v>
      </c>
      <c r="L777" s="10" t="b">
        <v>0</v>
      </c>
      <c r="M777" s="10" t="b">
        <v>0</v>
      </c>
      <c r="N777" s="10" t="b">
        <v>0</v>
      </c>
      <c r="O777" s="11" t="b">
        <f t="shared" si="1"/>
        <v>0</v>
      </c>
      <c r="P777" s="16" t="b">
        <v>0</v>
      </c>
      <c r="Q777" s="7"/>
    </row>
    <row r="778">
      <c r="A778" s="5" t="b">
        <v>1</v>
      </c>
      <c r="B778" s="5" t="s">
        <v>822</v>
      </c>
      <c r="C778" s="6" t="str">
        <f>IFERROR(__xludf.DUMMYFUNCTION("""COMPUTED_VALUE"""),"10.1145/1321631.1321675")</f>
        <v>10.1145/1321631.1321675</v>
      </c>
      <c r="D778" s="7" t="str">
        <f>IFERROR(__xludf.DUMMYFUNCTION("""COMPUTED_VALUE"""),"Wang Y.; McIlraith S.A.; Yu Y.; Mylopoulos J.")</f>
        <v>Wang Y.; McIlraith S.A.; Yu Y.; Mylopoulos J.</v>
      </c>
      <c r="E778" s="7" t="str">
        <f>IFERROR(__xludf.DUMMYFUNCTION("""COMPUTED_VALUE"""),"An automated approach to monitoring and diagnosing requirements")</f>
        <v>An automated approach to monitoring and diagnosing requirements</v>
      </c>
      <c r="F778" s="7" t="str">
        <f>IFERROR(__xludf.DUMMYFUNCTION("""COMPUTED_VALUE"""),"ASE")</f>
        <v>ASE</v>
      </c>
      <c r="G778" s="7" t="str">
        <f>IFERROR(__xludf.DUMMYFUNCTION("""COMPUTED_VALUE"""),"Monitoring the satisfaction of software requirements and diagnosing what went wrong in case of failure is a hard problem that has received little attention in the Software and Requirement Engineering literature. To address this problem, we propose a frame"&amp;"work adapted from artificial intelligence theories of action and diagnosis. Specifically, the framework monitors the satisfaction of software requirements and generates log data at a level of granularity that can be tuned adaptively at runtime depending o"&amp;"n monitored feedback. When errors are found, the framework diagnoses the denial of the requirements and identifies problematic components. To support diagnostic reasoning, we transform the diagnostic problem into apropositional satisfiability (SAT) proble"&amp;"m that can be solved by existing SAT solvers. We preprocess log data into a compact propositional encoding that better scales with problem size. The proposed theoretical framework has been implemented as a diagnosing component that will return sound and c"&amp;"omplete diagnoses accounting for observed aberrant system behaviors. Our solution is illustrated with two medium-sized publicly available case studies: a Web-based email client and an ATM simulation. Our experimental results demonstrate the feasibility of"&amp;" scaling our approach to medium-size software systems. Copyright 2007 ACM.")</f>
        <v>Monitoring the satisfaction of software requirements and diagnosing what went wrong in case of failure is a hard problem that has received little attention in the Software and Requirement Engineering literature. To address this problem, we propose a framework adapted from artificial intelligence theories of action and diagnosis. Specifically, the framework monitors the satisfaction of software requirements and generates log data at a level of granularity that can be tuned adaptively at runtime depending on monitored feedback. When errors are found, the framework diagnoses the denial of the requirements and identifies problematic components. To support diagnostic reasoning, we transform the diagnostic problem into apropositional satisfiability (SAT) problem that can be solved by existing SAT solvers. We preprocess log data into a compact propositional encoding that better scales with problem size. The proposed theoretical framework has been implemented as a diagnosing component that will return sound and complete diagnoses accounting for observed aberrant system behaviors. Our solution is illustrated with two medium-sized publicly available case studies: a Web-based email client and an ATM simulation. Our experimental results demonstrate the feasibility of scaling our approach to medium-size software systems. Copyright 2007 ACM.</v>
      </c>
      <c r="H778" s="8" t="str">
        <f>IFERROR(__xludf.DUMMYFUNCTION("""COMPUTED_VALUE"""),"diagnostics; requirements monitoring")</f>
        <v>diagnostics; requirements monitoring</v>
      </c>
      <c r="I778" s="10" t="b">
        <v>0</v>
      </c>
      <c r="J778" s="10" t="b">
        <v>0</v>
      </c>
      <c r="K778" s="10" t="b">
        <v>0</v>
      </c>
      <c r="L778" s="10" t="b">
        <v>0</v>
      </c>
      <c r="M778" s="10" t="b">
        <v>0</v>
      </c>
      <c r="N778" s="10" t="b">
        <v>0</v>
      </c>
      <c r="O778" s="11" t="b">
        <f t="shared" si="1"/>
        <v>0</v>
      </c>
      <c r="P778" s="16" t="b">
        <v>0</v>
      </c>
      <c r="Q778" s="7"/>
    </row>
    <row r="779">
      <c r="A779" s="5" t="b">
        <v>1</v>
      </c>
      <c r="B779" s="5" t="s">
        <v>823</v>
      </c>
      <c r="C779" s="6" t="str">
        <f>IFERROR(__xludf.DUMMYFUNCTION("""COMPUTED_VALUE"""),"10.1109/ASE.1998.732577")</f>
        <v>10.1109/ASE.1998.732577</v>
      </c>
      <c r="D779" s="7" t="str">
        <f>IFERROR(__xludf.DUMMYFUNCTION("""COMPUTED_VALUE"""),"Fischer B.")</f>
        <v>Fischer B.</v>
      </c>
      <c r="E779" s="7" t="str">
        <f>IFERROR(__xludf.DUMMYFUNCTION("""COMPUTED_VALUE"""),"Specification-based browsing of software component libraries")</f>
        <v>Specification-based browsing of software component libraries</v>
      </c>
      <c r="F779" s="7" t="str">
        <f>IFERROR(__xludf.DUMMYFUNCTION("""COMPUTED_VALUE"""),"ASE")</f>
        <v>ASE</v>
      </c>
      <c r="G779" s="7" t="str">
        <f>IFERROR(__xludf.DUMMYFUNCTION("""COMPUTED_VALUE"""),"Specification-based retrieval provides exact content-oriented access to component libraries but requires too much deductive power. Specification-based browsing evades this bottleneck by moving any deduction into an off-line indexing phase. In this paper, "&amp;"we show how match relations are used to build an appropriate index and how formal concept analysis is used to build a suitable navigation structure. This structure has the single-focus property (i.e. any sensible subset of a library is represented by a si"&amp;"ngle node) and supports attribute-based (via explicit component properties) and object-based (via implicit component similarities) navigation styles. It thus combines the exact semantics of formal methods with the interactive navigation possibilities of i"&amp;"nformal methods. Experiments show that current theorem provers can solve enough of the emerging proof problems to make browsing feasible. The navigation structure also indicates situations where additional abstractions are required to build a better index"&amp;" and thus helps to understand and to re-engineer component libraries. © 1998 IEEE.")</f>
        <v>Specification-based retrieval provides exact content-oriented access to component libraries but requires too much deductive power. Specification-based browsing evades this bottleneck by moving any deduction into an off-line indexing phase. In this paper, we show how match relations are used to build an appropriate index and how formal concept analysis is used to build a suitable navigation structure. This structure has the single-focus property (i.e. any sensible subset of a library is represented by a single node) and supports attribute-based (via explicit component properties) and object-based (via implicit component similarities) navigation styles. It thus combines the exact semantics of formal methods with the interactive navigation possibilities of informal methods. Experiments show that current theorem provers can solve enough of the emerging proof problems to make browsing feasible. The navigation structure also indicates situations where additional abstractions are required to build a better index and thus helps to understand and to re-engineer component libraries. © 1998 IEEE.</v>
      </c>
      <c r="H779" s="8"/>
      <c r="I779" s="10" t="b">
        <v>0</v>
      </c>
      <c r="J779" s="10" t="b">
        <v>0</v>
      </c>
      <c r="K779" s="10" t="b">
        <v>0</v>
      </c>
      <c r="L779" s="10" t="b">
        <v>0</v>
      </c>
      <c r="M779" s="10" t="b">
        <v>0</v>
      </c>
      <c r="N779" s="10" t="b">
        <v>0</v>
      </c>
      <c r="O779" s="11" t="b">
        <f t="shared" si="1"/>
        <v>0</v>
      </c>
      <c r="P779" s="16" t="b">
        <v>0</v>
      </c>
      <c r="Q779" s="7"/>
    </row>
    <row r="780">
      <c r="A780" s="5" t="b">
        <v>1</v>
      </c>
      <c r="B780" s="5" t="s">
        <v>824</v>
      </c>
      <c r="C780" s="6" t="str">
        <f>IFERROR(__xludf.DUMMYFUNCTION("""COMPUTED_VALUE"""),"10.1145/2642937.2642944")</f>
        <v>10.1145/2642937.2642944</v>
      </c>
      <c r="D780" s="7" t="str">
        <f>IFERROR(__xludf.DUMMYFUNCTION("""COMPUTED_VALUE"""),"Cohen H.; Maoz S.")</f>
        <v>Cohen H.; Maoz S.</v>
      </c>
      <c r="E780" s="7" t="str">
        <f>IFERROR(__xludf.DUMMYFUNCTION("""COMPUTED_VALUE"""),"The confidence in our k-Tails")</f>
        <v>The confidence in our k-Tails</v>
      </c>
      <c r="F780" s="7" t="str">
        <f>IFERROR(__xludf.DUMMYFUNCTION("""COMPUTED_VALUE"""),"ASE")</f>
        <v>ASE</v>
      </c>
      <c r="G780" s="7" t="str">
        <f>IFERROR(__xludf.DUMMYFUNCTION("""COMPUTED_VALUE"""),"K-Tails is a popular algorithm for extracting a candidate behavioral model from a log of execution traces. The usefulness of k-Tails depends on the quality of its input log, which may include too few traces to build a representative model, or too many tra"&amp;"ces, whose analysis is a waste of resources. Given a set of traces, how can one be confident that it includes enough, but not too many, traces? While many have used the k-Tails algorithm, no previous work has yet investigated this question. In this paper "&amp;"we address this question by proposing a novel notion of log completeness. Roughly, a log of traces, extracted from a given system, is k-complete, iff adding any new trace to the log will not change the resulting model k-Tails would build for it. Since the"&amp;" system and its full set of traces is unknown, we cannot know whether a given log is k-complete. However, we can estimate its k-completeness. We call this estimation k-confidence. We formalize the notion of k-confidence and implement its computation. Prel"&amp;"iminary experiments show that k-confidence can be efficiently computed and is a highly reliable estimator for k-completeness. © 2014 ACM.")</f>
        <v>K-Tails is a popular algorithm for extracting a candidate behavioral model from a log of execution traces. The usefulness of k-Tails depends on the quality of its input log, which may include too few traces to build a representative model, or too many traces, whose analysis is a waste of resources. Given a set of traces, how can one be confident that it includes enough, but not too many, traces? While many have used the k-Tails algorithm, no previous work has yet investigated this question. In this paper we address this question by proposing a novel notion of log completeness. Roughly, a log of traces, extracted from a given system, is k-complete, iff adding any new trace to the log will not change the resulting model k-Tails would build for it. Since the system and its full set of traces is unknown, we cannot know whether a given log is k-complete. However, we can estimate its k-completeness. We call this estimation k-confidence. We formalize the notion of k-confidence and implement its computation. Preliminary experiments show that k-confidence can be efficiently computed and is a highly reliable estimator for k-completeness. © 2014 ACM.</v>
      </c>
      <c r="H780" s="8" t="str">
        <f>IFERROR(__xludf.DUMMYFUNCTION("""COMPUTED_VALUE"""),"Dynamic specification mining; Probabilistic approach")</f>
        <v>Dynamic specification mining; Probabilistic approach</v>
      </c>
      <c r="I780" s="10" t="b">
        <v>0</v>
      </c>
      <c r="J780" s="10" t="b">
        <v>0</v>
      </c>
      <c r="K780" s="10" t="b">
        <v>0</v>
      </c>
      <c r="L780" s="10" t="b">
        <v>0</v>
      </c>
      <c r="M780" s="10" t="b">
        <v>0</v>
      </c>
      <c r="N780" s="10" t="b">
        <v>0</v>
      </c>
      <c r="O780" s="11" t="b">
        <f t="shared" si="1"/>
        <v>0</v>
      </c>
      <c r="P780" s="16" t="b">
        <v>0</v>
      </c>
      <c r="Q780" s="7"/>
    </row>
    <row r="781">
      <c r="A781" s="5" t="b">
        <v>1</v>
      </c>
      <c r="B781" s="5" t="s">
        <v>825</v>
      </c>
      <c r="C781" s="6" t="str">
        <f>IFERROR(__xludf.DUMMYFUNCTION("""COMPUTED_VALUE"""),"10.1145/2642937.2642969")</f>
        <v>10.1145/2642937.2642969</v>
      </c>
      <c r="D781" s="7" t="str">
        <f>IFERROR(__xludf.DUMMYFUNCTION("""COMPUTED_VALUE"""),"Liu S.; Sun J.; Liu Y.; Zhang Y.; Wadhwa B.; Dong J.S.; Wang X.")</f>
        <v>Liu S.; Sun J.; Liu Y.; Zhang Y.; Wadhwa B.; Dong J.S.; Wang X.</v>
      </c>
      <c r="E781" s="7" t="str">
        <f>IFERROR(__xludf.DUMMYFUNCTION("""COMPUTED_VALUE"""),"Automatic early defects detection in use case documents")</f>
        <v>Automatic early defects detection in use case documents</v>
      </c>
      <c r="F781" s="7" t="str">
        <f>IFERROR(__xludf.DUMMYFUNCTION("""COMPUTED_VALUE"""),"ASE")</f>
        <v>ASE</v>
      </c>
      <c r="G781" s="7" t="str">
        <f>IFERROR(__xludf.DUMMYFUNCTION("""COMPUTED_VALUE"""),"Use cases, as the primary techniques in the user requirement analysis, have been widely adopted in the requirement engineering practice. As developed early, use cases also serve as the basis for function requirement development, system design and testing."&amp;" Errors in the use cases could potentially lead to problems in the system design or implementation. It is thus highly desirable to detect errors in use cases. Automatically analyzing use case documents is challenging primarily because they are written in "&amp;"natural languages. In this work, we aim to achieve automatic defect detection in use case documents by leveraging on advanced parsing techniques. In our approach, we first parse the use case document using dependency parsing techniques. The parsing result"&amp;"s of each use case are further processed to form an activity diagram. Lastly, we perform defect detection on the activity diagrams. To evaluate our approach, we have conducted experiments on 200+ real-world as well as academic use cases. The results show "&amp;"the effectiveness of our method. © 2014 ACM.")</f>
        <v>Use cases, as the primary techniques in the user requirement analysis, have been widely adopted in the requirement engineering practice. As developed early, use cases also serve as the basis for function requirement development, system design and testing. Errors in the use cases could potentially lead to problems in the system design or implementation. It is thus highly desirable to detect errors in use cases. Automatically analyzing use case documents is challenging primarily because they are written in natural languages. In this work, we aim to achieve automatic defect detection in use case documents by leveraging on advanced parsing techniques. In our approach, we first parse the use case document using dependency parsing techniques. The parsing results of each use case are further processed to form an activity diagram. Lastly, we perform defect detection on the activity diagrams. To evaluate our approach, we have conducted experiments on 200+ real-world as well as academic use cases. The results show the effectiveness of our method. © 2014 ACM.</v>
      </c>
      <c r="H781" s="8" t="str">
        <f>IFERROR(__xludf.DUMMYFUNCTION("""COMPUTED_VALUE"""),"Natural language processing; Use cases")</f>
        <v>Natural language processing; Use cases</v>
      </c>
      <c r="I781" s="10" t="b">
        <v>0</v>
      </c>
      <c r="J781" s="10" t="b">
        <v>0</v>
      </c>
      <c r="K781" s="10" t="b">
        <v>0</v>
      </c>
      <c r="L781" s="10" t="b">
        <v>0</v>
      </c>
      <c r="M781" s="10" t="b">
        <v>0</v>
      </c>
      <c r="N781" s="10" t="b">
        <v>0</v>
      </c>
      <c r="O781" s="11" t="b">
        <f t="shared" si="1"/>
        <v>0</v>
      </c>
      <c r="P781" s="16" t="b">
        <v>0</v>
      </c>
      <c r="Q781" s="7"/>
    </row>
    <row r="782">
      <c r="A782" s="5" t="b">
        <v>1</v>
      </c>
      <c r="B782" s="5" t="s">
        <v>826</v>
      </c>
      <c r="C782" s="6" t="str">
        <f>IFERROR(__xludf.DUMMYFUNCTION("""COMPUTED_VALUE"""),"10.1109/ASE.2009.23")</f>
        <v>10.1109/ASE.2009.23</v>
      </c>
      <c r="D782" s="7" t="str">
        <f>IFERROR(__xludf.DUMMYFUNCTION("""COMPUTED_VALUE"""),"Ledru Y.; Petrenko A.; Boroday S.")</f>
        <v>Ledru Y.; Petrenko A.; Boroday S.</v>
      </c>
      <c r="E782" s="7" t="str">
        <f>IFERROR(__xludf.DUMMYFUNCTION("""COMPUTED_VALUE"""),"Using string distances for test case prioritisation")</f>
        <v>Using string distances for test case prioritisation</v>
      </c>
      <c r="F782" s="7" t="str">
        <f>IFERROR(__xludf.DUMMYFUNCTION("""COMPUTED_VALUE"""),"ASE")</f>
        <v>ASE</v>
      </c>
      <c r="G782" s="7" t="str">
        <f>IFERROR(__xludf.DUMMYFUNCTION("""COMPUTED_VALUE"""),"Test case prioritisation aims at finding an ordering which enhances a certain property of an ordered test suite. Traditional techniques rely on the availability of code or a specification of the program under test. In this paper, we propose to use string "&amp;"distances on the text of test cases for their comparison and elaborate a prioritisation algorithm. Such a prioritisation does not require code and can be useful for initial testing and in cases when code is difficult to instrument. We also briefly report "&amp;"on preliminary results of an experiment where the proposed prioritisation technique was compared with random permutations and four classical string distance metrics were evaluated. © 2009 IEEE.")</f>
        <v>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 © 2009 IEEE.</v>
      </c>
      <c r="H782" s="8" t="str">
        <f>IFERROR(__xludf.DUMMYFUNCTION("""COMPUTED_VALUE"""),"Software engineering; String distance; Test case prioritisation; Testing and debugging; Testing tools")</f>
        <v>Software engineering; String distance; Test case prioritisation; Testing and debugging; Testing tools</v>
      </c>
      <c r="I782" s="10" t="b">
        <v>0</v>
      </c>
      <c r="J782" s="10" t="b">
        <v>0</v>
      </c>
      <c r="K782" s="10" t="b">
        <v>0</v>
      </c>
      <c r="L782" s="10" t="b">
        <v>0</v>
      </c>
      <c r="M782" s="10" t="b">
        <v>0</v>
      </c>
      <c r="N782" s="10" t="b">
        <v>0</v>
      </c>
      <c r="O782" s="11" t="b">
        <f t="shared" si="1"/>
        <v>0</v>
      </c>
      <c r="P782" s="16" t="b">
        <v>0</v>
      </c>
      <c r="Q782" s="7"/>
    </row>
    <row r="783">
      <c r="A783" s="5" t="b">
        <v>1</v>
      </c>
      <c r="B783" s="5" t="s">
        <v>827</v>
      </c>
      <c r="C783" s="6" t="str">
        <f>IFERROR(__xludf.DUMMYFUNCTION("""COMPUTED_VALUE"""),"10.1145/1101908.1101915")</f>
        <v>10.1145/1101908.1101915</v>
      </c>
      <c r="D783" s="7" t="str">
        <f>IFERROR(__xludf.DUMMYFUNCTION("""COMPUTED_VALUE"""),"Zhang D.; Cleaveland R.")</f>
        <v>Zhang D.; Cleaveland R.</v>
      </c>
      <c r="E783" s="7" t="str">
        <f>IFERROR(__xludf.DUMMYFUNCTION("""COMPUTED_VALUE"""),"Efficient temporal-logic query checking for presburger systems")</f>
        <v>Efficient temporal-logic query checking for presburger systems</v>
      </c>
      <c r="F783" s="7" t="str">
        <f>IFERROR(__xludf.DUMMYFUNCTION("""COMPUTED_VALUE"""),"ASE")</f>
        <v>ASE</v>
      </c>
      <c r="G783" s="7" t="str">
        <f>IFERROR(__xludf.DUMMYFUNCTION("""COMPUTED_VALUE"""),"This paper develops a framework for solving temporal-logic query-checking problems for a class of infinite-state system models that compute with integer-valued variables (so-called Presburger systems, in which Presburger formulas are used to define system"&amp;" behavior). The temporal-logic query checking problem may be formulated as follows: given a model and a temporal logic formula with placeholders, compute a set of assignments of formulas to placeholders such that the resulting temporal formula is satisfie"&amp;"d by the given model. Temporal-logic query checking has proved useful as a means for requirements and design understanding; existing work, however, has focused only on propositional temporal logic and finite-state systems.Our method is based on a symbolic"&amp;" model-checking technique that relies on proof search. The paper first introduces this model-checking approach and then shows how it can be adapted to solving the temporal queries in which formulas may contain integer variables. We also present experiment"&amp;"al results showing the computational efficacy of our approach. Copyright 2005 ACM.")</f>
        <v>This paper develops a framework for solving temporal-logic query-checking problems for a class of infinite-state system models that compute with integer-valued variables (so-called Presburger systems, in which Presburger formulas are used to define system behavior). The temporal-logic query checking problem may be formulated as follows: given a model and a temporal logic formula with placeholders, compute a set of assignments of formulas to placeholders such that the resulting temporal formula is satisfied by the given model. Temporal-logic query checking has proved useful as a means for requirements and design understanding; existing work, however, has focused only on propositional temporal logic and finite-state systems.Our method is based on a symbolic model-checking technique that relies on proof search. The paper first introduces this model-checking approach and then shows how it can be adapted to solving the temporal queries in which formulas may contain integer variables. We also present experimental results showing the computational efficacy of our approach. Copyright 2005 ACM.</v>
      </c>
      <c r="H783" s="8" t="str">
        <f>IFERROR(__xludf.DUMMYFUNCTION("""COMPUTED_VALUE"""),"Formal methods; Model checking; On-the-fly symbolic model checking; Presburger systems; Query checking")</f>
        <v>Formal methods; Model checking; On-the-fly symbolic model checking; Presburger systems; Query checking</v>
      </c>
      <c r="I783" s="10" t="b">
        <v>0</v>
      </c>
      <c r="J783" s="10" t="b">
        <v>0</v>
      </c>
      <c r="K783" s="10" t="b">
        <v>0</v>
      </c>
      <c r="L783" s="10" t="b">
        <v>0</v>
      </c>
      <c r="M783" s="10" t="b">
        <v>0</v>
      </c>
      <c r="N783" s="10" t="b">
        <v>0</v>
      </c>
      <c r="O783" s="11" t="b">
        <f t="shared" si="1"/>
        <v>0</v>
      </c>
      <c r="P783" s="16" t="b">
        <v>0</v>
      </c>
      <c r="Q783" s="7"/>
    </row>
    <row r="784">
      <c r="A784" s="5" t="b">
        <v>1</v>
      </c>
      <c r="B784" s="5" t="s">
        <v>828</v>
      </c>
      <c r="C784" s="6" t="str">
        <f>IFERROR(__xludf.DUMMYFUNCTION("""COMPUTED_VALUE"""),"10.1109/ASE.2001.989799")</f>
        <v>10.1109/ASE.2001.989799</v>
      </c>
      <c r="D784" s="7" t="str">
        <f>IFERROR(__xludf.DUMMYFUNCTION("""COMPUTED_VALUE"""),"Havelund K.; Roşu G.")</f>
        <v>Havelund K.; Roşu G.</v>
      </c>
      <c r="E784" s="7" t="str">
        <f>IFERROR(__xludf.DUMMYFUNCTION("""COMPUTED_VALUE"""),"Monitoring programs using rewriting")</f>
        <v>Monitoring programs using rewriting</v>
      </c>
      <c r="F784" s="7" t="str">
        <f>IFERROR(__xludf.DUMMYFUNCTION("""COMPUTED_VALUE"""),"ASE")</f>
        <v>ASE</v>
      </c>
      <c r="G784" s="7" t="str">
        <f>IFERROR(__xludf.DUMMYFUNCTION("""COMPUTED_VALUE"""),"We present a rewriting algorithm for efficiently testing future time Linear Temporal Logic (LTL) formulae on finite execution traces. The standard models of LTL are infinite traces, reflecting the behavior of reactive and concurrent systems which conceptu"&amp;"ally may be continuously alive. In most past applications of LTL, theorem provers and model checkers have been used to formally prove that down-scaled models satisfy such LTL specifications. Our goal is instead to use LTL for up-scaled testing of real sof"&amp;"tware applications, corresponding to analyzing the conformance of finite traces against LTL formulae. We first describe what it means for a finite trace to satisfy an LTL formula and then suggest an optimized algorithm based on transforming LTL formulae. "&amp;"We use the Maude rewriting logic, which turns out to be a good notation and being supported by an efficient rewriting engine for performing these experiments. The work constitutes part of the Java PathExplorer (J P A X) project, the purpose of which is to"&amp;" develop a flexible tool for monitoring Java program executions. © 2001 IEEE.")</f>
        <v>We present a rewriting algorithm for efficiently testing future time Linear Temporal Logic (LTL) formulae on finite execution traces. The standard models of LTL are infinite traces, reflecting the behavior of reactive and concurrent systems which conceptually may be continuously alive. In most past applications of LTL, theorem provers and model checkers have been used to formally prove that down-scaled models satisfy such LTL specifications. Our goal is instead to use LTL for up-scaled testing of real software applications, corresponding to analyzing the conformance of finite traces against LTL formulae. We first describe what it means for a finite trace to satisfy an LTL formula and then suggest an optimized algorithm based on transforming LTL formulae. We use the Maude rewriting logic, which turns out to be a good notation and being supported by an efficient rewriting engine for performing these experiments. The work constitutes part of the Java PathExplorer (J P A X) project, the purpose of which is to develop a flexible tool for monitoring Java program executions. © 2001 IEEE.</v>
      </c>
      <c r="H784" s="8"/>
      <c r="I784" s="10" t="b">
        <v>0</v>
      </c>
      <c r="J784" s="10" t="b">
        <v>0</v>
      </c>
      <c r="K784" s="10" t="b">
        <v>0</v>
      </c>
      <c r="L784" s="10" t="b">
        <v>0</v>
      </c>
      <c r="M784" s="10" t="b">
        <v>0</v>
      </c>
      <c r="N784" s="10" t="b">
        <v>0</v>
      </c>
      <c r="O784" s="11" t="b">
        <f t="shared" si="1"/>
        <v>0</v>
      </c>
      <c r="P784" s="16" t="b">
        <v>0</v>
      </c>
      <c r="Q784" s="7"/>
    </row>
    <row r="785">
      <c r="A785" s="5" t="b">
        <v>1</v>
      </c>
      <c r="B785" s="5" t="s">
        <v>829</v>
      </c>
      <c r="C785" s="6" t="str">
        <f>IFERROR(__xludf.DUMMYFUNCTION("""COMPUTED_VALUE"""),"10.1145/3238147.3240727")</f>
        <v>10.1145/3238147.3240727</v>
      </c>
      <c r="D785" s="7" t="str">
        <f>IFERROR(__xludf.DUMMYFUNCTION("""COMPUTED_VALUE"""),"Patwardhan M.; Sainani A.; Sharma R.; Karande S.; Ghaisas S.")</f>
        <v>Patwardhan M.; Sainani A.; Sharma R.; Karande S.; Ghaisas S.</v>
      </c>
      <c r="E785" s="7" t="str">
        <f>IFERROR(__xludf.DUMMYFUNCTION("""COMPUTED_VALUE"""),"Towards automating disambiguation of regulations: Using the wisdom of crowds")</f>
        <v>Towards automating disambiguation of regulations: Using the wisdom of crowds</v>
      </c>
      <c r="F785" s="7" t="str">
        <f>IFERROR(__xludf.DUMMYFUNCTION("""COMPUTED_VALUE"""),"ASE")</f>
        <v>ASE</v>
      </c>
      <c r="G785" s="7" t="str">
        <f>IFERROR(__xludf.DUMMYFUNCTION("""COMPUTED_VALUE"""),"Compliant software is a critical need of all modern businesses. Disambiguating regulations to derive requirements is therefore an important software engineering activity. Regulations however are ridden with ambiguities that make their comprehension a chal"&amp;"lenge, seemingly surmountable only by legal experts. Since legal experts' involvement in every project is expensive, approaches to automate the disambiguation need to be explored. These approaches however require a large amount of annotated data. Collecti"&amp;"ng data exclusively from experts is not a scalable and affordable solution. In this paper, we present the results of a crowd sourcing experiment to collect annotations on ambiguities in regulations from professional software engineers. We discuss an appro"&amp;"ach to automate the arduous and critical step of identifying ground truth labels by employing crowd consensus using Expectation Maximization (EM). We demonstrate that the annotations reaching a consensus match those of experts with an accuracy of 87%. © 2"&amp;"018 Association for Computing Machinery.")</f>
        <v>Compliant software is a critical need of all modern businesses. Disambiguating regulations to derive requirements is therefore an important software engineering activity. Regulations however are ridden with ambiguities that make their comprehension a challenge, seemingly surmountable only by legal experts. Since legal experts' involvement in every project is expensive, approaches to automate the disambiguation need to be explored. These approaches however require a large amount of annotated data. Collecting data exclusively from experts is not a scalable and affordable solution. In this paper, we present the results of a crowd sourcing experiment to collect annotations on ambiguities in regulations from professional software engineers. We discuss an approach to automate the arduous and critical step of identifying ground truth labels by employing crowd consensus using Expectation Maximization (EM). We demonstrate that the annotations reaching a consensus match those of experts with an accuracy of 87%. © 2018 Association for Computing Machinery.</v>
      </c>
      <c r="H785" s="8" t="str">
        <f>IFERROR(__xludf.DUMMYFUNCTION("""COMPUTED_VALUE"""),"Ambiguities; Crowdsourcing; Disambiguation; Expectation-Maximization; Regulatory compliance")</f>
        <v>Ambiguities; Crowdsourcing; Disambiguation; Expectation-Maximization; Regulatory compliance</v>
      </c>
      <c r="I785" s="9" t="b">
        <v>0</v>
      </c>
      <c r="J785" s="9" t="b">
        <v>1</v>
      </c>
      <c r="K785" s="10" t="b">
        <v>0</v>
      </c>
      <c r="L785" s="10" t="b">
        <v>0</v>
      </c>
      <c r="M785" s="10" t="b">
        <v>0</v>
      </c>
      <c r="N785" s="10" t="b">
        <v>0</v>
      </c>
      <c r="O785" s="11" t="b">
        <f t="shared" si="1"/>
        <v>0</v>
      </c>
      <c r="P785" s="12" t="b">
        <v>0</v>
      </c>
      <c r="Q785" s="13"/>
    </row>
    <row r="786">
      <c r="A786" s="5" t="b">
        <v>1</v>
      </c>
      <c r="B786" s="5" t="s">
        <v>830</v>
      </c>
      <c r="C786" s="6" t="str">
        <f>IFERROR(__xludf.DUMMYFUNCTION("""COMPUTED_VALUE"""),"10.1109/ASE.2008.37")</f>
        <v>10.1109/ASE.2008.37</v>
      </c>
      <c r="D786" s="7" t="str">
        <f>IFERROR(__xludf.DUMMYFUNCTION("""COMPUTED_VALUE"""),"Port D.; Olkov A.; Menzies T.")</f>
        <v>Port D.; Olkov A.; Menzies T.</v>
      </c>
      <c r="E786" s="7" t="str">
        <f>IFERROR(__xludf.DUMMYFUNCTION("""COMPUTED_VALUE"""),"Using simulation to investigate requirements prioritization strategies")</f>
        <v>Using simulation to investigate requirements prioritization strategies</v>
      </c>
      <c r="F786" s="7" t="str">
        <f>IFERROR(__xludf.DUMMYFUNCTION("""COMPUTED_VALUE"""),"ASE")</f>
        <v>ASE</v>
      </c>
      <c r="G786" s="7" t="str">
        <f>IFERROR(__xludf.DUMMYFUNCTION("""COMPUTED_VALUE"""),"Agile and traditional plan-based approaches to software system development both agree that prioritizing requirements is an essential activity. They differ in basic strategy - when to prioritize, to what degree, and how to guide implementation. As with man"&amp;"y software engineering methods, verifying the benefit of following a particular approach is a challenge. Industry and student/classroom based experimental studies are generally impractical to use for large numbers of controlled experiments and benefits ar"&amp;"e difficult to measure directly. We use simulation to validate the fundamental, yet typically intangible benefits of requirements prioritization strategies. Our simulation is directly based on detailed empirical studies of agile and plan-based requirement"&amp;"s management studies. Our simulation shows, as many have claimed, that an agile strategy excels when requirements are highly volatile, whereas a plan-based strategy excels when requirements are stable, and that there exist mixed strategies that are better"&amp;" than either for typical development efforts. © 2008 IEEE.")</f>
        <v>Agile and traditional plan-based approaches to software system development both agree that prioritizing requirements is an essential activity. They differ in basic strategy - when to prioritize, to what degree, and how to guide implementation. As with many software engineering methods, verifying the benefit of following a particular approach is a challenge. Industry and student/classroom based experimental studies are generally impractical to use for large numbers of controlled experiments and benefits are difficult to measure directly. We use simulation to validate the fundamental, yet typically intangible benefits of requirements prioritization strategies. Our simulation is directly based on detailed empirical studies of agile and plan-based requirements management studies. Our simulation shows, as many have claimed, that an agile strategy excels when requirements are highly volatile, whereas a plan-based strategy excels when requirements are stable, and that there exist mixed strategies that are better than either for typical development efforts. © 2008 IEEE.</v>
      </c>
      <c r="H786" s="8" t="str">
        <f>IFERROR(__xludf.DUMMYFUNCTION("""COMPUTED_VALUE"""),"Agile; Plan-based; Requirements; Simulation")</f>
        <v>Agile; Plan-based; Requirements; Simulation</v>
      </c>
      <c r="I786" s="10" t="b">
        <v>0</v>
      </c>
      <c r="J786" s="10" t="b">
        <v>0</v>
      </c>
      <c r="K786" s="10" t="b">
        <v>0</v>
      </c>
      <c r="L786" s="10" t="b">
        <v>0</v>
      </c>
      <c r="M786" s="10" t="b">
        <v>0</v>
      </c>
      <c r="N786" s="10" t="b">
        <v>0</v>
      </c>
      <c r="O786" s="11" t="b">
        <f t="shared" si="1"/>
        <v>0</v>
      </c>
      <c r="P786" s="16" t="b">
        <v>0</v>
      </c>
      <c r="Q786" s="7"/>
    </row>
    <row r="787">
      <c r="A787" s="5" t="b">
        <v>1</v>
      </c>
      <c r="B787" s="5" t="s">
        <v>831</v>
      </c>
      <c r="C787" s="6" t="str">
        <f>IFERROR(__xludf.DUMMYFUNCTION("""COMPUTED_VALUE"""),"10.1109/ASE.2019.00161")</f>
        <v>10.1109/ASE.2019.00161</v>
      </c>
      <c r="D787" s="7" t="str">
        <f>IFERROR(__xludf.DUMMYFUNCTION("""COMPUTED_VALUE"""),"Yu S.")</f>
        <v>Yu S.</v>
      </c>
      <c r="E787" s="7" t="str">
        <f>IFERROR(__xludf.DUMMYFUNCTION("""COMPUTED_VALUE"""),"Crowdsourced report generation via bug screenshot understanding")</f>
        <v>Crowdsourced report generation via bug screenshot understanding</v>
      </c>
      <c r="F787" s="7" t="str">
        <f>IFERROR(__xludf.DUMMYFUNCTION("""COMPUTED_VALUE"""),"ASE")</f>
        <v>ASE</v>
      </c>
      <c r="G787" s="7" t="str">
        <f>IFERROR(__xludf.DUMMYFUNCTION("""COMPUTED_VALUE"""),"Quality control is a challenge of crowdsourcing, especially in software testing. As some unprofessional workers involved, low-quality yieldings may hinder crowdsourced testing from satisfying requesters' requirements. Therefore, it is in demand to assist "&amp;"crowdworkers to raise bug report quality. In this paper, we propose a novel auxiliary method, namely CroReG, to generate crowdsourcing bug reports by analyzing bug screenshots uploaded by crowdworkers with image understanding techniques. The preliminary e"&amp;"xperiment results show that CroReG can effectively generate bug reports containing accurate screenshot captions and providing positive guidance for crowdworkers. © 2019 IEEE.")</f>
        <v>Quality control is a challenge of crowdsourcing, especially in software testing. As some unprofessional workers involved, low-quality yieldings may hinder crowdsourced testing from satisfying requesters' requirements. Therefore, it is in demand to assist crowdworkers to raise bug report quality. In this paper, we propose a novel auxiliary method, namely CroReG, to generate crowdsourcing bug reports by analyzing bug screenshots uploaded by crowdworkers with image understanding techniques. The preliminary experiment results show that CroReG can effectively generate bug reports containing accurate screenshot captions and providing positive guidance for crowdworkers. © 2019 IEEE.</v>
      </c>
      <c r="H787" s="8" t="str">
        <f>IFERROR(__xludf.DUMMYFUNCTION("""COMPUTED_VALUE"""),"Bug Report Generation; Crowdsourced Testing; Mobile App Testing")</f>
        <v>Bug Report Generation; Crowdsourced Testing; Mobile App Testing</v>
      </c>
      <c r="I787" s="10" t="b">
        <v>0</v>
      </c>
      <c r="J787" s="10" t="b">
        <v>0</v>
      </c>
      <c r="K787" s="10" t="b">
        <v>0</v>
      </c>
      <c r="L787" s="10" t="b">
        <v>0</v>
      </c>
      <c r="M787" s="10" t="b">
        <v>0</v>
      </c>
      <c r="N787" s="10" t="b">
        <v>0</v>
      </c>
      <c r="O787" s="11" t="b">
        <f t="shared" si="1"/>
        <v>0</v>
      </c>
      <c r="P787" s="16" t="b">
        <v>0</v>
      </c>
      <c r="Q787" s="7"/>
    </row>
    <row r="788">
      <c r="A788" s="5" t="b">
        <v>1</v>
      </c>
      <c r="B788" s="5" t="s">
        <v>832</v>
      </c>
      <c r="C788" s="6" t="str">
        <f>IFERROR(__xludf.DUMMYFUNCTION("""COMPUTED_VALUE"""),"10.1145/2970276.2970289")</f>
        <v>10.1145/2970276.2970289</v>
      </c>
      <c r="D788" s="7" t="str">
        <f>IFERROR(__xludf.DUMMYFUNCTION("""COMPUTED_VALUE"""),"Thakur J.S.; Gupta A.")</f>
        <v>Thakur J.S.; Gupta A.</v>
      </c>
      <c r="E788" s="7" t="str">
        <f>IFERROR(__xludf.DUMMYFUNCTION("""COMPUTED_VALUE"""),"AnModeler: A tool for generating domain models from textual specifications")</f>
        <v>AnModeler: A tool for generating domain models from textual specifications</v>
      </c>
      <c r="F788" s="7" t="str">
        <f>IFERROR(__xludf.DUMMYFUNCTION("""COMPUTED_VALUE"""),"ASE")</f>
        <v>ASE</v>
      </c>
      <c r="G788" s="7" t="str">
        <f>IFERROR(__xludf.DUMMYFUNCTION("""COMPUTED_VALUE"""),"This paper presents AnModeler, a tool for generating analysis models from software requirements specified using use cases. The tool uses the Stanford natural language parser to extract type dependencies (TDs) and parts of speech tags (POS-tags) of sentenc"&amp;"es from input Use Case Specification (UCS). Then, it identifies sentence structures using a set of rules framed based on Hornby's verb patterns. With the information of the TDs, POS tags, and the identified sentence structures, the tool discovers domain e"&amp;"lements, viz.: domain objects (including their attributes and operations) and interactions between them; it consolidates the domain information as a class diagram (as well as a sequence diagram). An experiment conducted on 10 UCSs with two industry expert"&amp;"s as subjects showed that the analysis class diagrams generated by AnModeler were remarkably close to those generated by the two industry experts. Being lightweight and easy to use, the tool can also be used to assist students and young developers in acqu"&amp;"iring object-oriented domain modeling skills quickly. © 2016 ACM.")</f>
        <v>This paper presents AnModeler, a tool for generating analysis models from software requirements specified using use cases. The tool uses the Stanford natural language parser to extract type dependencies (TDs) and parts of speech tags (POS-tags) of sentences from input Use Case Specification (UCS). Then, it identifies sentence structures using a set of rules framed based on Hornby's verb patterns. With the information of the TDs, POS tags, and the identified sentence structures, the tool discovers domain elements, viz.: domain objects (including their attributes and operations) and interactions between them; it consolidates the domain information as a class diagram (as well as a sequence diagram). An experiment conducted on 10 UCSs with two industry experts as subjects showed that the analysis class diagrams generated by AnModeler were remarkably close to those generated by the two industry experts. Being lightweight and easy to use, the tool can also be used to assist students and young developers in acquiring object-oriented domain modeling skills quickly. © 2016 ACM.</v>
      </c>
      <c r="H788" s="8" t="str">
        <f>IFERROR(__xludf.DUMMYFUNCTION("""COMPUTED_VALUE"""),"Analysis class diagram; Automated approach; Automated tool for analysis modeling; Model transformation; Problem level sequence diagram; Template code")</f>
        <v>Analysis class diagram; Automated approach; Automated tool for analysis modeling; Model transformation; Problem level sequence diagram; Template code</v>
      </c>
      <c r="I788" s="9" t="b">
        <v>1</v>
      </c>
      <c r="J788" s="9" t="b">
        <v>1</v>
      </c>
      <c r="K788" s="9" t="b">
        <v>1</v>
      </c>
      <c r="L788" s="10" t="b">
        <v>0</v>
      </c>
      <c r="M788" s="10" t="b">
        <v>0</v>
      </c>
      <c r="N788" s="10" t="b">
        <v>0</v>
      </c>
      <c r="O788" s="11" t="b">
        <f t="shared" si="1"/>
        <v>1</v>
      </c>
      <c r="P788" s="12" t="b">
        <v>0</v>
      </c>
      <c r="Q788" s="13"/>
    </row>
    <row r="789">
      <c r="A789" s="5" t="b">
        <v>1</v>
      </c>
      <c r="B789" s="5" t="s">
        <v>833</v>
      </c>
      <c r="C789" s="6" t="str">
        <f>IFERROR(__xludf.DUMMYFUNCTION("""COMPUTED_VALUE"""),"10.1145/2642937.2648625")</f>
        <v>10.1145/2642937.2648625</v>
      </c>
      <c r="D789" s="7" t="str">
        <f>IFERROR(__xludf.DUMMYFUNCTION("""COMPUTED_VALUE"""),"Matinnejad R.; Nejati S.; Briand L.C.; Bruckmann T.")</f>
        <v>Matinnejad R.; Nejati S.; Briand L.C.; Bruckmann T.</v>
      </c>
      <c r="E789" s="7" t="str">
        <f>IFERROR(__xludf.DUMMYFUNCTION("""COMPUTED_VALUE"""),"CoCoTest: A tool for Model-in-the-Loop testing of continuous controllers")</f>
        <v>CoCoTest: A tool for Model-in-the-Loop testing of continuous controllers</v>
      </c>
      <c r="F789" s="7" t="str">
        <f>IFERROR(__xludf.DUMMYFUNCTION("""COMPUTED_VALUE"""),"ASE")</f>
        <v>ASE</v>
      </c>
      <c r="G789" s="7" t="str">
        <f>IFERROR(__xludf.DUMMYFUNCTION("""COMPUTED_VALUE"""),"We present CoCoTest, a tool for automated testing of continuous controllers at the Model-in-the-Loop stage. CoCoTest combines explorative and exploitative search algorithms to identify scenarios in the controller input space that violate or are likely to "&amp;"violate the controller requirements. This enables a scalable and systematic way to test continuous properties of such controllers. Our experiments show that CoCoTest identifies critical flaws in the controller design that are rarely found by manual testin"&amp;"g and go unnoticed until late stages of embedded software system development. Categories and Subject Descriptors [Software Engineering]: Testing and Debugging. © 2014 ACM.")</f>
        <v>We present CoCoTest, a tool for automated testing of continuous controllers at the Model-in-the-Loop stage. CoCoTest combines explorative and exploitative search algorithms to identify scenarios in the controller input space that violate or are likely to violate the controller requirements. This enables a scalable and systematic way to test continuous properties of such controllers. Our experiments show that CoCoTest identifies critical flaws in the controller design that are rarely found by manual testing and go unnoticed until late stages of embedded software system development. Categories and Subject Descriptors [Software Engineering]: Testing and Debugging. © 2014 ACM.</v>
      </c>
      <c r="H789" s="8" t="str">
        <f>IFERROR(__xludf.DUMMYFUNCTION("""COMPUTED_VALUE"""),"Automotive software systems; Continuous controllers; MATLAB/Simulink models; Search-based testing")</f>
        <v>Automotive software systems; Continuous controllers; MATLAB/Simulink models; Search-based testing</v>
      </c>
      <c r="I789" s="10" t="b">
        <v>0</v>
      </c>
      <c r="J789" s="10" t="b">
        <v>0</v>
      </c>
      <c r="K789" s="10" t="b">
        <v>0</v>
      </c>
      <c r="L789" s="10" t="b">
        <v>0</v>
      </c>
      <c r="M789" s="10" t="b">
        <v>0</v>
      </c>
      <c r="N789" s="10" t="b">
        <v>0</v>
      </c>
      <c r="O789" s="11" t="b">
        <f t="shared" si="1"/>
        <v>0</v>
      </c>
      <c r="P789" s="16" t="b">
        <v>0</v>
      </c>
      <c r="Q789" s="7"/>
    </row>
    <row r="790">
      <c r="A790" s="5" t="b">
        <v>1</v>
      </c>
      <c r="B790" s="5" t="s">
        <v>834</v>
      </c>
      <c r="C790" s="6" t="str">
        <f>IFERROR(__xludf.DUMMYFUNCTION("""COMPUTED_VALUE"""),"10.1109/ASE.2009.60")</f>
        <v>10.1109/ASE.2009.60</v>
      </c>
      <c r="D790" s="7" t="str">
        <f>IFERROR(__xludf.DUMMYFUNCTION("""COMPUTED_VALUE"""),"Pradel M.; Gross T.R.")</f>
        <v>Pradel M.; Gross T.R.</v>
      </c>
      <c r="E790" s="7" t="str">
        <f>IFERROR(__xludf.DUMMYFUNCTION("""COMPUTED_VALUE"""),"Automatic generation of object usage specifications from large method traces")</f>
        <v>Automatic generation of object usage specifications from large method traces</v>
      </c>
      <c r="F790" s="7" t="str">
        <f>IFERROR(__xludf.DUMMYFUNCTION("""COMPUTED_VALUE"""),"ASE")</f>
        <v>ASE</v>
      </c>
      <c r="G790" s="7" t="str">
        <f>IFERROR(__xludf.DUMMYFUNCTION("""COMPUTED_VALUE"""),"Formal specifications are used to identify programming errors, verify the correctness of programs, and as documentation. Unfortunately, producing them is error-prone and time-consuming, so they are rarely used in practice. Inferring specifications from a "&amp;"running application is a promising solution. However, to be practical, such an approach requires special techniques to treat large amounts of runtime data. We present a scalable dynamic analysis that infers specifications of correct method call sequences "&amp;"on multiple related objects. It preprocesses method traces to identify small sets of related objects and method calls which can be analyzed separately. We implemented our approach and applied the analysis to eleven real-world applications and more than 24"&amp;"0 million runtime events. The experiments show the scalability of our approach. Moreover, the generated specifications describe correct and typical behavior, and match existing API usage documentation. © 2009 IEEE.")</f>
        <v>Formal specifications are used to identify programming errors, verify the correctness of programs, and as documentation. Unfortunately, producing them is error-prone and time-consuming, so they are rarely used in practice. Inferring specifications from a running application is a promising solution. However, to be practical, such an approach requires special techniques to treat large amounts of runtime data. We present a scalable dynamic analysis that infers specifications of correct method call sequences on multiple related objects. It preprocesses method traces to identify small sets of related objects and method calls which can be analyzed separately. We implemented our approach and applied the analysis to eleven real-world applications and more than 240 million runtime events. The experiments show the scalability of our approach. Moreover, the generated specifications describe correct and typical behavior, and match existing API usage documentation. © 2009 IEEE.</v>
      </c>
      <c r="H790" s="8" t="str">
        <f>IFERROR(__xludf.DUMMYFUNCTION("""COMPUTED_VALUE"""),"Dynamic analysis; Formal specifications; Specification inference; Temporal properties")</f>
        <v>Dynamic analysis; Formal specifications; Specification inference; Temporal properties</v>
      </c>
      <c r="I790" s="10" t="b">
        <v>0</v>
      </c>
      <c r="J790" s="10" t="b">
        <v>0</v>
      </c>
      <c r="K790" s="10" t="b">
        <v>0</v>
      </c>
      <c r="L790" s="10" t="b">
        <v>0</v>
      </c>
      <c r="M790" s="10" t="b">
        <v>0</v>
      </c>
      <c r="N790" s="10" t="b">
        <v>0</v>
      </c>
      <c r="O790" s="11" t="b">
        <f t="shared" si="1"/>
        <v>0</v>
      </c>
      <c r="P790" s="16" t="b">
        <v>0</v>
      </c>
      <c r="Q790" s="7"/>
    </row>
    <row r="791">
      <c r="A791" s="5" t="b">
        <v>1</v>
      </c>
      <c r="B791" s="5" t="s">
        <v>835</v>
      </c>
      <c r="C791" s="6"/>
      <c r="D791" s="7"/>
      <c r="E791" s="7" t="str">
        <f>IFERROR(__xludf.DUMMYFUNCTION("""COMPUTED_VALUE"""),"Proceedings - 2020 35th IEEE/ACM International Conference on Automated Software Engineering Workshops, ASEW 2020")</f>
        <v>Proceedings - 2020 35th IEEE/ACM International Conference on Automated Software Engineering Workshops, ASEW 2020</v>
      </c>
      <c r="F791" s="7" t="str">
        <f>IFERROR(__xludf.DUMMYFUNCTION("""COMPUTED_VALUE"""),"ASE")</f>
        <v>ASE</v>
      </c>
      <c r="G791" s="7" t="str">
        <f>IFERROR(__xludf.DUMMYFUNCTION("""COMPUTED_VALUE"""),"The proceedings contain 28 papers. The topics discussed include: emotion detection in Roman Urdu text using machine learning; mapping textual feedback to process model elements; Zimbabwean non-uptake of protective point-of-sale behaviors: is this a risk h"&amp;"omeostasis response?; characterizing co-located insecure coding patterns in infrastructure as code scripts; autoeprs-20: extracting business process redesign suggestions from natural language text; a framework for the automatic execution of measurement-ba"&amp;"sed experiments on android devices; designing a serious game: teaching developers to embed privacy into software systems; KnowledgeZooClient: constructing knowledge graph for android; and exploring the requirements of pandemic awareness systems: a case st"&amp;"udy of COVID-19 using social media data.")</f>
        <v>The proceedings contain 28 papers. The topics discussed include: emotion detection in Roman Urdu text using machine learning; mapping textual feedback to process model elements; Zimbabwean non-uptake of protective point-of-sale behaviors: is this a risk homeostasis response?; characterizing co-located insecure coding patterns in infrastructure as code scripts; autoeprs-20: extracting business process redesign suggestions from natural language text; a framework for the automatic execution of measurement-based experiments on android devices; designing a serious game: teaching developers to embed privacy into software systems; KnowledgeZooClient: constructing knowledge graph for android; and exploring the requirements of pandemic awareness systems: a case study of COVID-19 using social media data.</v>
      </c>
      <c r="H791" s="8"/>
      <c r="I791" s="10" t="b">
        <v>0</v>
      </c>
      <c r="J791" s="10" t="b">
        <v>0</v>
      </c>
      <c r="K791" s="10" t="b">
        <v>0</v>
      </c>
      <c r="L791" s="10" t="b">
        <v>0</v>
      </c>
      <c r="M791" s="10" t="b">
        <v>0</v>
      </c>
      <c r="N791" s="10" t="b">
        <v>0</v>
      </c>
      <c r="O791" s="11" t="b">
        <f t="shared" si="1"/>
        <v>0</v>
      </c>
      <c r="P791" s="16" t="b">
        <v>0</v>
      </c>
      <c r="Q791" s="7"/>
    </row>
    <row r="792">
      <c r="A792" s="5" t="b">
        <v>1</v>
      </c>
      <c r="B792" s="5" t="s">
        <v>836</v>
      </c>
      <c r="C792" s="6" t="str">
        <f>IFERROR(__xludf.DUMMYFUNCTION("""COMPUTED_VALUE"""),"10.1145/2970276.2970323")</f>
        <v>10.1145/2970276.2970323</v>
      </c>
      <c r="D792" s="7" t="str">
        <f>IFERROR(__xludf.DUMMYFUNCTION("""COMPUTED_VALUE"""),"Thakur J.S.; Gupta A.")</f>
        <v>Thakur J.S.; Gupta A.</v>
      </c>
      <c r="E792" s="7" t="str">
        <f>IFERROR(__xludf.DUMMYFUNCTION("""COMPUTED_VALUE"""),"Identifying domain elements from textual specifications")</f>
        <v>Identifying domain elements from textual specifications</v>
      </c>
      <c r="F792" s="7" t="str">
        <f>IFERROR(__xludf.DUMMYFUNCTION("""COMPUTED_VALUE"""),"ASE")</f>
        <v>ASE</v>
      </c>
      <c r="G792" s="7" t="str">
        <f>IFERROR(__xludf.DUMMYFUNCTION("""COMPUTED_VALUE"""),"Analysis modeling refers to the task of identifying domain objects, their attributes and operations, and the relationships between these objects from software requirements speci fications which are usually written in some natural language. There have been"&amp;" a few efforts to automate this task, but they seem to be largely constrained by the language related issues as well as the lack of a systematic transformation process. In this paper, we propose a systematic, automated transformation approach which first "&amp;"interprets the specification sentences based on the Hornby's verb patterns, and then uses semantic relationships between the words in the sentences, obtained from Type Dependencies using Stanford NL Parser, to identify the domain elements from them. With "&amp;"the help of a controlled experiment, we show that the analysis class diagrams generated by the proposed approach are far more correct, far more complete and less redundant than those generated by the exiting automated approaches. © 2016 ACM.")</f>
        <v>Analysis modeling refers to the task of identifying domain objects, their attributes and operations, and the relationships between these objects from software requirements speci fications which are usually written in some natural language. There have been a few efforts to automate this task, but they seem to be largely constrained by the language related issues as well as the lack of a systematic transformation process. In this paper, we propose a systematic, automated transformation approach which first interprets the specification sentences based on the Hornby's verb patterns, and then uses semantic relationships between the words in the sentences, obtained from Type Dependencies using Stanford NL Parser, to identify the domain elements from them. With the help of a controlled experiment, we show that the analysis class diagrams generated by the proposed approach are far more correct, far more complete and less redundant than those generated by the exiting automated approaches. © 2016 ACM.</v>
      </c>
      <c r="H792" s="8" t="str">
        <f>IFERROR(__xludf.DUMMYFUNCTION("""COMPUTED_VALUE"""),"Analysis class diagram; Analysis modeling; Automated approach; Model transformation; Natural Language Processing")</f>
        <v>Analysis class diagram; Analysis modeling; Automated approach; Model transformation; Natural Language Processing</v>
      </c>
      <c r="I792" s="10" t="b">
        <v>0</v>
      </c>
      <c r="J792" s="9" t="b">
        <v>1</v>
      </c>
      <c r="K792" s="9" t="b">
        <v>1</v>
      </c>
      <c r="L792" s="10" t="b">
        <v>0</v>
      </c>
      <c r="M792" s="10" t="b">
        <v>0</v>
      </c>
      <c r="N792" s="10" t="b">
        <v>0</v>
      </c>
      <c r="O792" s="11" t="b">
        <f t="shared" si="1"/>
        <v>0</v>
      </c>
      <c r="P792" s="12" t="b">
        <v>0</v>
      </c>
      <c r="Q792" s="13"/>
    </row>
    <row r="793">
      <c r="A793" s="5" t="b">
        <v>1</v>
      </c>
      <c r="B793" s="5" t="s">
        <v>837</v>
      </c>
      <c r="C793" s="6" t="str">
        <f>IFERROR(__xludf.DUMMYFUNCTION("""COMPUTED_VALUE"""),"10.1109/ASE.2019.00044")</f>
        <v>10.1109/ASE.2019.00044</v>
      </c>
      <c r="D793" s="7" t="str">
        <f>IFERROR(__xludf.DUMMYFUNCTION("""COMPUTED_VALUE"""),"Hu Y.; Ahmed U.Z.; Mechtaev S.; Leong B.; Roychoudhury A.")</f>
        <v>Hu Y.; Ahmed U.Z.; Mechtaev S.; Leong B.; Roychoudhury A.</v>
      </c>
      <c r="E793" s="7" t="str">
        <f>IFERROR(__xludf.DUMMYFUNCTION("""COMPUTED_VALUE"""),"Re-factoring based program repair applied to programming assignments")</f>
        <v>Re-factoring based program repair applied to programming assignments</v>
      </c>
      <c r="F793" s="7" t="str">
        <f>IFERROR(__xludf.DUMMYFUNCTION("""COMPUTED_VALUE"""),"ASE")</f>
        <v>ASE</v>
      </c>
      <c r="G793" s="7" t="str">
        <f>IFERROR(__xludf.DUMMYFUNCTION("""COMPUTED_VALUE"""),"Automated program repair has been used to provide feedback for incorrect student programming assignments, since program repair captures the code modification needed to make a given buggy program pass a given test-suite. Existing student feedback generatio"&amp;"n techniques are limited because they either require manual effort in the form of providing an error model, or require a large number of correct student submissions to learn from, or suffer from lack of scalability and accuracy. In this work, we propose a"&amp;" fully automated approach for generating student program repairs in real-time. This is achieved by first re-factoring all available correct solutions to semantically equivalent solutions. Given an incorrect program, we match the program with the closest m"&amp;"atching refactored program based on its control flow structure. Subsequently, we infer the input-output specifications of the incorrect program's basic blocks from the executions of the correct program's aligned basic blocks. Finally, these specifications"&amp;" are used to modify the blocks of the incorrect program via search-based synthesis. Our dataset consists of almost 1,800 real-life incorrect Python program submissions from 361 students for an introductory programming course at a large public university. "&amp;"Our experimental results suggest that our method is more effective and efficient than recently proposed feedback generation approaches. About 30% of the patches produced by our tool Refactory are smaller than those produced by the state-of-art tool Clara,"&amp;" and can be produced given fewer correct solutions (often a single correct solution) and in a shorter time. We opine that our method is applicable not only to programming assignments, and could be seen as a general-purpose program repair method that can a"&amp;"chieve good results with just a single correct reference solution. © 2019 IEEE.")</f>
        <v>Automated program repair has been used to provide feedback for incorrect student programming assignments, since program repair captures the code modification needed to make a given buggy program pass a given test-suite. Existing student feedback generation techniques are limited because they either require manual effort in the form of providing an error model, or require a large number of correct student submissions to learn from, or suffer from lack of scalability and accuracy. In this work, we propose a fully automated approach for generating student program repairs in real-time. This is achieved by first re-factoring all available correct solutions to semantically equivalent solutions. Given an incorrect program, we match the program with the closest matching refactored program based on its control flow structure. Subsequently, we infer the input-output specifications of the incorrect program's basic blocks from the executions of the correct program's aligned basic blocks. Finally, these specifications are used to modify the blocks of the incorrect program via search-based synthesis. Our dataset consists of almost 1,800 real-life incorrect Python program submissions from 361 students for an introductory programming course at a large public university. Our experimental results suggest that our method is more effective and efficient than recently proposed feedback generation approaches. About 30% of the patches produced by our tool Refactory are smaller than those produced by the state-of-art tool Clara, and can be produced given fewer correct solutions (often a single correct solution) and in a shorter time. We opine that our method is applicable not only to programming assignments, and could be seen as a general-purpose program repair method that can achieve good results with just a single correct reference solution. © 2019 IEEE.</v>
      </c>
      <c r="H793" s="8" t="str">
        <f>IFERROR(__xludf.DUMMYFUNCTION("""COMPUTED_VALUE"""),"Program Repair; Programming Education; Software Refactoring")</f>
        <v>Program Repair; Programming Education; Software Refactoring</v>
      </c>
      <c r="I793" s="9" t="b">
        <v>0</v>
      </c>
      <c r="J793" s="10" t="b">
        <v>0</v>
      </c>
      <c r="K793" s="9" t="b">
        <v>1</v>
      </c>
      <c r="L793" s="10" t="b">
        <v>0</v>
      </c>
      <c r="M793" s="10" t="b">
        <v>0</v>
      </c>
      <c r="N793" s="10" t="b">
        <v>0</v>
      </c>
      <c r="O793" s="11" t="b">
        <f t="shared" si="1"/>
        <v>0</v>
      </c>
      <c r="P793" s="16" t="b">
        <v>0</v>
      </c>
      <c r="Q793" s="7"/>
    </row>
    <row r="794">
      <c r="A794" s="5" t="b">
        <v>1</v>
      </c>
      <c r="B794" s="5" t="s">
        <v>838</v>
      </c>
      <c r="C794" s="6" t="str">
        <f>IFERROR(__xludf.DUMMYFUNCTION("""COMPUTED_VALUE"""),"10.1109/ASE.2011.6100046")</f>
        <v>10.1109/ASE.2011.6100046</v>
      </c>
      <c r="D794" s="7" t="str">
        <f>IFERROR(__xludf.DUMMYFUNCTION("""COMPUTED_VALUE"""),"Ivančić F.; Balakrishnan G.; Gupta A.; Sankaranarayanan S.; Maeda N.; Tokuoka H.; Imoto T.; Miyazaki Y.")</f>
        <v>Ivančić F.; Balakrishnan G.; Gupta A.; Sankaranarayanan S.; Maeda N.; Tokuoka H.; Imoto T.; Miyazaki Y.</v>
      </c>
      <c r="E794" s="7" t="str">
        <f>IFERROR(__xludf.DUMMYFUNCTION("""COMPUTED_VALUE"""),"DC2: A framework for scalable, scope-bounded software verification")</f>
        <v>DC2: A framework for scalable, scope-bounded software verification</v>
      </c>
      <c r="F794" s="7" t="str">
        <f>IFERROR(__xludf.DUMMYFUNCTION("""COMPUTED_VALUE"""),"ASE")</f>
        <v>ASE</v>
      </c>
      <c r="G794" s="7" t="str">
        <f>IFERROR(__xludf.DUMMYFUNCTION("""COMPUTED_VALUE"""),"Software model checking and static analysis have matured over the last decade, enabling their use in automated software verification. However, lack of scalability makes these tools hard to apply. Furthermore, approximations in the models of program and en"&amp;"vironment lead to a profusion of false alarms. This paper proposes DC2, a verification framework using scope-bounding to bridge these gaps. DC2 splits the analysis problem into manageable parts, relying on a combination of three automated techniques: (a) "&amp;"techniques to infer useful specifications for functions in the form of pre- and post-conditions; (b) stub inference techniques that infer abstractions to replace function calls beyond the verification scope; and (c) automatic refinement of pre- and post-c"&amp;"onditions from false alarms identified by a user. DC2 enables iterative reasoning over the calling environment, to help in finding non-trivial bugs and fewer false alarms. We present an experimental evaluation that demonstrates the effectiveness of DC2 on"&amp;" several open-source and industrial software projects. © 2011 IEEE.")</f>
        <v>Software model checking and static analysis have matured over the last decade, enabling their use in automated software verification. However, lack of scalability makes these tools hard to apply. Furthermore, approximations in the models of program and environment lead to a profusion of false alarms. This paper proposes DC2, a verification framework using scope-bounding to bridge these gaps. DC2 splits the analysis problem into manageable parts, relying on a combination of three automated techniques: (a) techniques to infer useful specifications for functions in the form of pre- and post-conditions; (b) stub inference techniques that infer abstractions to replace function calls beyond the verification scope; and (c) automatic refinement of pre- and post-conditions from false alarms identified by a user. DC2 enables iterative reasoning over the calling environment, to help in finding non-trivial bugs and fewer false alarms. We present an experimental evaluation that demonstrates the effectiveness of DC2 on several open-source and industrial software projects. © 2011 IEEE.</v>
      </c>
      <c r="H794" s="8"/>
      <c r="I794" s="10" t="b">
        <v>0</v>
      </c>
      <c r="J794" s="10" t="b">
        <v>0</v>
      </c>
      <c r="K794" s="10" t="b">
        <v>0</v>
      </c>
      <c r="L794" s="10" t="b">
        <v>0</v>
      </c>
      <c r="M794" s="10" t="b">
        <v>0</v>
      </c>
      <c r="N794" s="10" t="b">
        <v>0</v>
      </c>
      <c r="O794" s="11" t="b">
        <f t="shared" si="1"/>
        <v>0</v>
      </c>
      <c r="P794" s="16" t="b">
        <v>0</v>
      </c>
      <c r="Q794" s="7"/>
    </row>
    <row r="795">
      <c r="A795" s="5" t="b">
        <v>1</v>
      </c>
      <c r="B795" s="5" t="s">
        <v>839</v>
      </c>
      <c r="C795" s="6" t="str">
        <f>IFERROR(__xludf.DUMMYFUNCTION("""COMPUTED_VALUE"""),"10.1109/ASE.2017.8115637")</f>
        <v>10.1109/ASE.2017.8115637</v>
      </c>
      <c r="D795" s="7" t="str">
        <f>IFERROR(__xludf.DUMMYFUNCTION("""COMPUTED_VALUE"""),"Wang W.; Kwon Y.; Zheng Y.; Aafer Y.; Kim I.-L.; Lee W.-C.; Liu Y.; Meng W.; Zhang X.; Eugster P.")</f>
        <v>Wang W.; Kwon Y.; Zheng Y.; Aafer Y.; Kim I.-L.; Lee W.-C.; Liu Y.; Meng W.; Zhang X.; Eugster P.</v>
      </c>
      <c r="E795" s="7" t="str">
        <f>IFERROR(__xludf.DUMMYFUNCTION("""COMPUTED_VALUE"""),"PAD: Programming third-party web advertisement censorship")</f>
        <v>PAD: Programming third-party web advertisement censorship</v>
      </c>
      <c r="F795" s="7" t="str">
        <f>IFERROR(__xludf.DUMMYFUNCTION("""COMPUTED_VALUE"""),"ASE")</f>
        <v>ASE</v>
      </c>
      <c r="G795" s="7" t="str">
        <f>IFERROR(__xludf.DUMMYFUNCTION("""COMPUTED_VALUE"""),"In the current online advertisement delivery, an ad slot on a publisher's website may go through multiple layers of bidding and reselling until the final ad content is delivered. The publishers have little control on the ads being displayed on their web p"&amp;"ages. As a result, website visitors may suffer from unwanted ads such as malvertising, intrusive ads, and information disclosure ads. Unfortunately, the visitors often blame the publisher for their unpleasant experience and switch to competitor websites. "&amp;"In this paper, we propose a novel programming support system for ad delivery, called PAD, for publisher programmers, who specify their policies on regulating third-party ads shown on their websites. PAD features an expressive specification language and a "&amp;"novel persistent policy enforcement runtime that can self-install and self-protect throughout the entire ad delegation chain. It also provides an ad-specific memory protection scheme that prevents malvertising by corrupting malicious payloads. Our experim"&amp;"ents show that PAD has negligible runtime overhead. It effectively suppresses a set of malvertising cases and unwanted ad behaviors reported in the real world, without affecting normal functionalities and regular ads. © 2017 IEEE.")</f>
        <v>In the current online advertisement delivery, an ad slot on a publisher's website may go through multiple layers of bidding and reselling until the final ad content is delivered. The publishers have little control on the ads being displayed on their web pages. As a result, website visitors may suffer from unwanted ads such as malvertising, intrusive ads, and information disclosure ads. Unfortunately, the visitors often blame the publisher for their unpleasant experience and switch to competitor websites. In this paper, we propose a novel programming support system for ad delivery, called PAD, for publisher programmers, who specify their policies on regulating third-party ads shown on their websites. PAD features an expressive specification language and a novel persistent policy enforcement runtime that can self-install and self-protect throughout the entire ad delegation chain. It also provides an ad-specific memory protection scheme that prevents malvertising by corrupting malicious payloads. Our experiments show that PAD has negligible runtime overhead. It effectively suppresses a set of malvertising cases and unwanted ad behaviors reported in the real world, without affecting normal functionalities and regular ads. © 2017 IEEE.</v>
      </c>
      <c r="H795" s="8"/>
      <c r="I795" s="10" t="b">
        <v>0</v>
      </c>
      <c r="J795" s="10" t="b">
        <v>0</v>
      </c>
      <c r="K795" s="10" t="b">
        <v>0</v>
      </c>
      <c r="L795" s="10" t="b">
        <v>0</v>
      </c>
      <c r="M795" s="10" t="b">
        <v>0</v>
      </c>
      <c r="N795" s="10" t="b">
        <v>0</v>
      </c>
      <c r="O795" s="11" t="b">
        <f t="shared" si="1"/>
        <v>0</v>
      </c>
      <c r="P795" s="16" t="b">
        <v>0</v>
      </c>
      <c r="Q795" s="7"/>
    </row>
    <row r="796">
      <c r="A796" s="5" t="b">
        <v>1</v>
      </c>
      <c r="B796" s="5" t="s">
        <v>840</v>
      </c>
      <c r="C796" s="6" t="str">
        <f>IFERROR(__xludf.DUMMYFUNCTION("""COMPUTED_VALUE"""),"10.1145/2642937.2642978")</f>
        <v>10.1145/2642937.2642978</v>
      </c>
      <c r="D796" s="7" t="str">
        <f>IFERROR(__xludf.DUMMYFUNCTION("""COMPUTED_VALUE"""),"Matinnejad R.; Nejati S.; Briand L.C.; Bruckmann T.")</f>
        <v>Matinnejad R.; Nejati S.; Briand L.C.; Bruckmann T.</v>
      </c>
      <c r="E796" s="7" t="str">
        <f>IFERROR(__xludf.DUMMYFUNCTION("""COMPUTED_VALUE"""),"MiL testing of highly configurable continuous controllers: Scalable search using surrogate models")</f>
        <v>MiL testing of highly configurable continuous controllers: Scalable search using surrogate models</v>
      </c>
      <c r="F796" s="7" t="str">
        <f>IFERROR(__xludf.DUMMYFUNCTION("""COMPUTED_VALUE"""),"ASE")</f>
        <v>ASE</v>
      </c>
      <c r="G796" s="7" t="str">
        <f>IFERROR(__xludf.DUMMYFUNCTION("""COMPUTED_VALUE"""),"Continuous controllers have been widely used in automotive domain to monitor and control physical components. These controllers are subject to three rounds of testing: Model-in-the-Loop (MiL), Software-in-the-Loop and Hardware-in-the-Loop. In our earlier "&amp;"work, we used meta-heuristic search to automate MiL testing of fixed configurations of continuous controllers. In this paper, we extend our work to support MiL testing of all feasible configurations of continuous controllers. Specifically, we use a combin"&amp;"ation of dimensionality reduction and surrogate modeling techniques to scale our earlier MiL testing approach to large, multi-dimensional input spaces formed by configuration parameters. We evaluated our approach by applying it to a complex, industrial co"&amp;"ntinuous controller. Our experiment shows that our approach identifies test cases indicating requirements violations. Further, we demonstrate that dimensionally reduction helps generate surrogate models with higher prediction accuracy. Finally, we show th"&amp;"at combining our search algorithm with surrogate modelling improves its efficiency for two out of three requirements. © 2014 ACM.")</f>
        <v>Continuous controllers have been widely used in automotive domain to monitor and control physical components. These controllers are subject to three rounds of testing: Model-in-the-Loop (MiL), Software-in-the-Loop and Hardware-in-the-Loop. In our earlier work, we used meta-heuristic search to automate MiL testing of fixed configurations of continuous controllers. In this paper, we extend our work to support MiL testing of all feasible configurations of continuous controllers. Specifically, we use a combination of dimensionality reduction and surrogate modeling techniques to scale our earlier MiL testing approach to large, multi-dimensional input spaces formed by configuration parameters. We evaluated our approach by applying it to a complex, industrial continuous controller. Our experiment shows that our approach identifies test cases indicating requirements violations. Further, we demonstrate that dimensionally reduction helps generate surrogate models with higher prediction accuracy. Finally, we show that combining our search algorithm with surrogate modelling improves its efficiency for two out of three requirements. © 2014 ACM.</v>
      </c>
      <c r="H796" s="8" t="str">
        <f>IFERROR(__xludf.DUMMYFUNCTION("""COMPUTED_VALUE"""),"Automotive software; Continuous controllers; Dimensionality reduction; Search-based testing; Supervised learning")</f>
        <v>Automotive software; Continuous controllers; Dimensionality reduction; Search-based testing; Supervised learning</v>
      </c>
      <c r="I796" s="10" t="b">
        <v>0</v>
      </c>
      <c r="J796" s="10" t="b">
        <v>0</v>
      </c>
      <c r="K796" s="10" t="b">
        <v>0</v>
      </c>
      <c r="L796" s="10" t="b">
        <v>0</v>
      </c>
      <c r="M796" s="10" t="b">
        <v>0</v>
      </c>
      <c r="N796" s="10" t="b">
        <v>0</v>
      </c>
      <c r="O796" s="11" t="b">
        <f t="shared" si="1"/>
        <v>0</v>
      </c>
      <c r="P796" s="16" t="b">
        <v>0</v>
      </c>
      <c r="Q796" s="7"/>
    </row>
    <row r="797">
      <c r="A797" s="5" t="b">
        <v>1</v>
      </c>
      <c r="B797" s="5" t="s">
        <v>841</v>
      </c>
      <c r="C797" s="6" t="str">
        <f>IFERROR(__xludf.DUMMYFUNCTION("""COMPUTED_VALUE"""),"10.1109/ASE.2002.1114996")</f>
        <v>10.1109/ASE.2002.1114996</v>
      </c>
      <c r="D797" s="7" t="str">
        <f>IFERROR(__xludf.DUMMYFUNCTION("""COMPUTED_VALUE"""),"Roach S.; Van Baalen J.")</f>
        <v>Roach S.; Van Baalen J.</v>
      </c>
      <c r="E797" s="7" t="str">
        <f>IFERROR(__xludf.DUMMYFUNCTION("""COMPUTED_VALUE"""),"Experience report on automated procedure construction for deductive synthesis")</f>
        <v>Experience report on automated procedure construction for deductive synthesis</v>
      </c>
      <c r="F797" s="7" t="str">
        <f>IFERROR(__xludf.DUMMYFUNCTION("""COMPUTED_VALUE"""),"ASE")</f>
        <v>ASE</v>
      </c>
      <c r="G797" s="7" t="str">
        <f>IFERROR(__xludf.DUMMYFUNCTION("""COMPUTED_VALUE"""),"Deductive program synthesis systems based on automated theorem proving offer the promise of ""correct by construction"" software. However, the difficulty encountered in constructing usable deductive synthesis systems has prevented their widespread use. Am"&amp;"phion is a real-world, domain-independent program synthesis system. It is specialized to specific applications through the creation of an operational domain theory and a specialized deductive engine. This paper describes an experiment aimed at making the "&amp;"construction of usable Amphion applications easier. The software system Theory Operationalization for Program Synthesis (TOPS) has a library of decision procedures with a theory template for each procedure. TOPS identifies axioms in the domain theory that"&amp;" are an instance of a library of procedure and uses partial deduction to augment the procedure with the capability to construct ground terms for deductive synthesis. Synthesized procedures are interfaced to a resolution theorem prover. Axioms in the origi"&amp;"nal domain theory that are implied by the synthesized procedures are removed. During deductive synthesis, each procedure is invoked to test conjunctions of literals in the language of the theory of that procedure. When possible, the procedure generates gr"&amp;"ound terms and binds them to variables in a problem specification. These terms are program fragments. Experiments show that the procedures synthesized by TOPS can reduce theorem proving search at least as much as hand tuning of the deductive synthesis sys"&amp;"tem. © 2002 IEEE.")</f>
        <v>Deductive program synthesis systems based on automated theorem proving offer the promise of "correct by construction" software. However, the difficulty encountered in constructing usable deductive synthesis systems has prevented their widespread use. Amphion is a real-world, domain-independent program synthesis system. It is specialized to specific applications through the creation of an operational domain theory and a specialized deductive engine. This paper describes an experiment aimed at making the construction of usable Amphion applications easier. The software system Theory Operationalization for Program Synthesis (TOPS) has a library of decision procedures with a theory template for each procedure. TOPS identifies axioms in the domain theory that are an instance of a library of procedure and uses partial deduction to augment the procedure with the capability to construct ground terms for deductive synthesis. Synthesized procedures are interfaced to a resolution theorem prover. Axioms in the original domain theory that are implied by the synthesized procedures are removed. During deductive synthesis, each procedure is invoked to test conjunctions of literals in the language of the theory of that procedure. When possible, the procedure generates ground terms and binds them to variables in a problem specification. These terms are program fragments. Experiments show that the procedures synthesized by TOPS can reduce theorem proving search at least as much as hand tuning of the deductive synthesis system. © 2002 IEEE.</v>
      </c>
      <c r="H797" s="8"/>
      <c r="I797" s="10" t="b">
        <v>0</v>
      </c>
      <c r="J797" s="10" t="b">
        <v>0</v>
      </c>
      <c r="K797" s="10" t="b">
        <v>0</v>
      </c>
      <c r="L797" s="10" t="b">
        <v>0</v>
      </c>
      <c r="M797" s="10" t="b">
        <v>0</v>
      </c>
      <c r="N797" s="10" t="b">
        <v>0</v>
      </c>
      <c r="O797" s="11" t="b">
        <f t="shared" si="1"/>
        <v>0</v>
      </c>
      <c r="P797" s="16" t="b">
        <v>0</v>
      </c>
      <c r="Q797" s="7"/>
    </row>
    <row r="798">
      <c r="A798" s="5" t="b">
        <v>1</v>
      </c>
      <c r="B798" s="5" t="s">
        <v>842</v>
      </c>
      <c r="C798" s="6" t="str">
        <f>IFERROR(__xludf.DUMMYFUNCTION("""COMPUTED_VALUE"""),"10.1145/2642937.2642970")</f>
        <v>10.1145/2642937.2642970</v>
      </c>
      <c r="D798" s="7" t="str">
        <f>IFERROR(__xludf.DUMMYFUNCTION("""COMPUTED_VALUE"""),"Guo J.; Monaikul N.; Plepel C.; Cleland-Huang J.")</f>
        <v>Guo J.; Monaikul N.; Plepel C.; Cleland-Huang J.</v>
      </c>
      <c r="E798" s="7" t="str">
        <f>IFERROR(__xludf.DUMMYFUNCTION("""COMPUTED_VALUE"""),"Towards an intelligent domain-specific traceability solution")</f>
        <v>Towards an intelligent domain-specific traceability solution</v>
      </c>
      <c r="F798" s="7" t="str">
        <f>IFERROR(__xludf.DUMMYFUNCTION("""COMPUTED_VALUE"""),"ASE")</f>
        <v>ASE</v>
      </c>
      <c r="G798" s="7" t="str">
        <f>IFERROR(__xludf.DUMMYFUNCTION("""COMPUTED_VALUE"""),"State-of-the-art software trace retrieval techniques are unable to perform the complex reasoning that a human analyst follows in order to create accurate trace links between artifacts such as regulatory codes and requirements. As a result, current algorit"&amp;"hms often generate imprecise links. To address this problem, we present the Domain-Contextualized Intelligent Traceability Solution (DoCIT), designed to mimic some of the higher level reasoning that a human trace analyst performs. We focus our efforts on "&amp;"the complex domain of communication and control in a transportation system. DoCIT includes rules for extracting ""action units"" from software artifacts, a domain-specific knowledge base for relating semantically similar concepts across action units, and "&amp;"a set of link-creation heuristics which utilize the action units to establish meaningful trace links across pairs of artifacts. Our approach significantly improves the quality of the generated trace links. We illustrate and evaluate DoCIT with examples an"&amp;"d experiments from the control and communication sector of a transportation domain. © 2014 ACM.")</f>
        <v>State-of-the-art software trace retrieval techniques are unable to perform the complex reasoning that a human analyst follows in order to create accurate trace links between artifacts such as regulatory codes and requirements. As a result, current algorithms often generate imprecise links. To address this problem, we present the Domain-Contextualized Intelligent Traceability Solution (DoCIT), designed to mimic some of the higher level reasoning that a human trace analyst performs. We focus our efforts on the complex domain of communication and control in a transportation system. DoCIT includes rules for extracting "action units" from software artifacts, a domain-specific knowledge base for relating semantically similar concepts across action units, and a set of link-creation heuristics which utilize the action units to establish meaningful trace links across pairs of artifacts. Our approach significantly improves the quality of the generated trace links. We illustrate and evaluate DoCIT with examples and experiments from the control and communication sector of a transportation domain. © 2014 ACM.</v>
      </c>
      <c r="H798" s="8" t="str">
        <f>IFERROR(__xludf.DUMMYFUNCTION("""COMPUTED_VALUE"""),"Domain ontology; Intelligent system; Traceability")</f>
        <v>Domain ontology; Intelligent system; Traceability</v>
      </c>
      <c r="I798" s="10" t="b">
        <v>0</v>
      </c>
      <c r="J798" s="10" t="b">
        <v>0</v>
      </c>
      <c r="K798" s="10" t="b">
        <v>0</v>
      </c>
      <c r="L798" s="10" t="b">
        <v>0</v>
      </c>
      <c r="M798" s="10" t="b">
        <v>0</v>
      </c>
      <c r="N798" s="10" t="b">
        <v>0</v>
      </c>
      <c r="O798" s="11" t="b">
        <f t="shared" si="1"/>
        <v>0</v>
      </c>
      <c r="P798" s="16" t="b">
        <v>0</v>
      </c>
      <c r="Q798" s="7"/>
    </row>
    <row r="799">
      <c r="A799" s="5" t="b">
        <v>1</v>
      </c>
      <c r="B799" s="5" t="s">
        <v>843</v>
      </c>
      <c r="C799" s="6" t="str">
        <f>IFERROR(__xludf.DUMMYFUNCTION("""COMPUTED_VALUE"""),"10.1145/1101908.1101959")</f>
        <v>10.1145/1101908.1101959</v>
      </c>
      <c r="D799" s="7" t="str">
        <f>IFERROR(__xludf.DUMMYFUNCTION("""COMPUTED_VALUE"""),"Mokhtar S.B.; Liu J.; Georgantas N.; Issarny V.")</f>
        <v>Mokhtar S.B.; Liu J.; Georgantas N.; Issarny V.</v>
      </c>
      <c r="E799" s="7" t="str">
        <f>IFERROR(__xludf.DUMMYFUNCTION("""COMPUTED_VALUE"""),"QoS-aware dynamic service composition in ambient intelligence environments")</f>
        <v>QoS-aware dynamic service composition in ambient intelligence environments</v>
      </c>
      <c r="F799" s="7" t="str">
        <f>IFERROR(__xludf.DUMMYFUNCTION("""COMPUTED_VALUE"""),"ASE")</f>
        <v>ASE</v>
      </c>
      <c r="G799" s="7" t="str">
        <f>IFERROR(__xludf.DUMMYFUNCTION("""COMPUTED_VALUE"""),"Due to the large success of wireless networks and handheld devices, the ambient intelligence (AmI) paradigm is becoming a reality. One of the most challenging objectives to achieve in AmI environments is to enable a user to perform a task by composing on "&amp;"the fly networked services available at a specific time and place. Towards this goal, we propose a solution based on semantic Web services, and we show how service capabilities described as conversations can be integrated to perform a user task that is al"&amp;"so described as a conversation, further meeting the QoS requirements of the user task. Experimental results show that the runtime overhead of our algorithm is reasonable, and further, that QoS-awareness improves its performance. Copyright 2005 ACM.")</f>
        <v>Due to the large success of wireless networks and handheld devices, the ambient intelligence (AmI) paradigm is becoming a reality. One of the most challenging objectives to achieve in AmI environments is to enable a user to perform a task by composing on the fly networked services available at a specific time and place. Towards this goal, we propose a solution based on semantic Web services, and we show how service capabilities described as conversations can be integrated to perform a user task that is also described as a conversation, further meeting the QoS requirements of the user task. Experimental results show that the runtime overhead of our algorithm is reasonable, and further, that QoS-awareness improves its performance. Copyright 2005 ACM.</v>
      </c>
      <c r="H799" s="8" t="str">
        <f>IFERROR(__xludf.DUMMYFUNCTION("""COMPUTED_VALUE"""),"Automata theory; OWL-S; QoS-awareness; Semantic web services; Web services composition")</f>
        <v>Automata theory; OWL-S; QoS-awareness; Semantic web services; Web services composition</v>
      </c>
      <c r="I799" s="10" t="b">
        <v>0</v>
      </c>
      <c r="J799" s="10" t="b">
        <v>0</v>
      </c>
      <c r="K799" s="10" t="b">
        <v>0</v>
      </c>
      <c r="L799" s="10" t="b">
        <v>0</v>
      </c>
      <c r="M799" s="10" t="b">
        <v>0</v>
      </c>
      <c r="N799" s="10" t="b">
        <v>0</v>
      </c>
      <c r="O799" s="11" t="b">
        <f t="shared" si="1"/>
        <v>0</v>
      </c>
      <c r="P799" s="16" t="b">
        <v>0</v>
      </c>
      <c r="Q799" s="7"/>
    </row>
    <row r="800">
      <c r="A800" s="5" t="b">
        <v>1</v>
      </c>
      <c r="B800" s="5" t="s">
        <v>844</v>
      </c>
      <c r="C800" s="6" t="str">
        <f>IFERROR(__xludf.DUMMYFUNCTION("""COMPUTED_VALUE"""),"10.1109/ASE.2019.00111")</f>
        <v>10.1109/ASE.2019.00111</v>
      </c>
      <c r="D800" s="7" t="str">
        <f>IFERROR(__xludf.DUMMYFUNCTION("""COMPUTED_VALUE"""),"Sadiq A.; Li L.; Li Y.-F.; Ahmed I.; Ling S.")</f>
        <v>Sadiq A.; Li L.; Li Y.-F.; Ahmed I.; Ling S.</v>
      </c>
      <c r="E800" s="7" t="str">
        <f>IFERROR(__xludf.DUMMYFUNCTION("""COMPUTED_VALUE"""),"Sip4J: Statically inferring access permission contracts for parallelising sequential Java programs")</f>
        <v>Sip4J: Statically inferring access permission contracts for parallelising sequential Java programs</v>
      </c>
      <c r="F800" s="7" t="str">
        <f>IFERROR(__xludf.DUMMYFUNCTION("""COMPUTED_VALUE"""),"ASE")</f>
        <v>ASE</v>
      </c>
      <c r="G800" s="7" t="str">
        <f>IFERROR(__xludf.DUMMYFUNCTION("""COMPUTED_VALUE"""),"This paper presents Sip4J, a fully automated, scalable and effective tool to automatically generate access permission contracts for a sequential Java program. The access permission contracts, which represent the dependency of code blocks, have been freque"&amp;"ntly used to enable concurrent execution of sequential programs. Those permission contracts, unfortunately, need to be manually created by programmers, which is known to be time-consuming, laborious and error-prone. To mitigate those manual efforts, Sip4J"&amp;" performs inter-procedural static analysis of Java source code to automatically extract the implicit dependencies in the program and subsequently leverages them to automatically generate access permission contracts, following the Design by Contract princi"&amp;"ple. The inferred specifications are then used to identify the concurrent (immutable) methods in the program. Experimental results further show that Sip4J is useful and effective towards generating access permission contracts for sequential Java programs."&amp;" The implementation of Sip4J has been published as an open-sourced project at https://github.com/Sip4J/Sip4J and a demo video of Sip4J can be found at https://youtu.be/RjMTIxlhHTg. © 2019 IEEE.")</f>
        <v>This paper presents Sip4J, a fully automated, scalable and effective tool to automatically generate access permission contracts for a sequential Java program. The access permission contracts, which represent the dependency of code blocks, have been frequently used to enable concurrent execution of sequential programs. Those permission contracts, unfortunately, need to be manually created by programmers, which is known to be time-consuming, laborious and error-prone. To mitigate those manual efforts, Sip4J performs inter-procedural static analysis of Java source code to automatically extract the implicit dependencies in the program and subsequently leverages them to automatically generate access permission contracts, following the Design by Contract principle. The inferred specifications are then used to identify the concurrent (immutable) methods in the program. Experimental results further show that Sip4J is useful and effective towards generating access permission contracts for sequential Java programs. The implementation of Sip4J has been published as an open-sourced project at https://github.com/Sip4J/Sip4J and a demo video of Sip4J can be found at https://youtu.be/RjMTIxlhHTg. © 2019 IEEE.</v>
      </c>
      <c r="H800" s="8" t="str">
        <f>IFERROR(__xludf.DUMMYFUNCTION("""COMPUTED_VALUE"""),"Access permissions; Concurrency; Permission inference; Static analysis")</f>
        <v>Access permissions; Concurrency; Permission inference; Static analysis</v>
      </c>
      <c r="I800" s="10" t="b">
        <v>0</v>
      </c>
      <c r="J800" s="10" t="b">
        <v>0</v>
      </c>
      <c r="K800" s="10" t="b">
        <v>0</v>
      </c>
      <c r="L800" s="10" t="b">
        <v>0</v>
      </c>
      <c r="M800" s="10" t="b">
        <v>0</v>
      </c>
      <c r="N800" s="10" t="b">
        <v>0</v>
      </c>
      <c r="O800" s="11" t="b">
        <f t="shared" si="1"/>
        <v>0</v>
      </c>
      <c r="P800" s="16" t="b">
        <v>0</v>
      </c>
      <c r="Q800" s="7"/>
    </row>
    <row r="801">
      <c r="A801" s="5" t="b">
        <v>1</v>
      </c>
      <c r="B801" s="5" t="s">
        <v>845</v>
      </c>
      <c r="C801" s="6" t="str">
        <f>IFERROR(__xludf.DUMMYFUNCTION("""COMPUTED_VALUE"""),"10.1145/2351676.2351683")</f>
        <v>10.1145/2351676.2351683</v>
      </c>
      <c r="D801" s="7" t="str">
        <f>IFERROR(__xludf.DUMMYFUNCTION("""COMPUTED_VALUE"""),"Gopinath D.; Zaeem R.N.; Khurshid S.")</f>
        <v>Gopinath D.; Zaeem R.N.; Khurshid S.</v>
      </c>
      <c r="E801" s="7" t="str">
        <f>IFERROR(__xludf.DUMMYFUNCTION("""COMPUTED_VALUE"""),"Improving the effectiveness of spectra-based fault localization using specifications")</f>
        <v>Improving the effectiveness of spectra-based fault localization using specifications</v>
      </c>
      <c r="F801" s="7" t="str">
        <f>IFERROR(__xludf.DUMMYFUNCTION("""COMPUTED_VALUE"""),"ASE")</f>
        <v>ASE</v>
      </c>
      <c r="G801" s="7" t="str">
        <f>IFERROR(__xludf.DUMMYFUNCTION("""COMPUTED_VALUE"""),"Fault localization i.e., locating faulty lines of code, is a key step in removing bugs and often requires substantial manual effort. Recent years have seen many automated localization techniques, specifically using the program's passing and failing test r"&amp;"uns, i.e., test spectra. However, the effectiveness of these approaches is sensitive to factors such as the type and number of faults, and the quality of the test-suite. This paper presents a novel technique that applies spectra-based localization in syne"&amp;"rgy with specification-based analysis to more accurately locate faults. Our insight is that unsatisfiability analysis of violated specifications, enabled by SAT technology, could be used to (1) compute unsatisfiable cores that contain likely faulty statem"&amp;"ents and (2) generate tests that help spectrabased localization. Our technique is iterative and driven by a feedback loop that enables more precise fault localization. Our framework SAT-TAR embodies our technique for Java programs, including those with mu"&amp;"ltiple faults. An experimental evaluation using a suite of widely-studied data structure programs, including the ANTLR and JTopas parser applications, shows that our technique localizes faults more accurately than state-of-the-art approaches. Copyright 20"&amp;"12 ACM.")</f>
        <v>Fault localization i.e., locating faulty lines of code, is a key step in removing bugs and often requires substantial manual effort. Recent years have seen many automated localization techniques, specifically using the program's passing and failing test runs, i.e., test spectra. However, the effectiveness of these approaches is sensitive to factors such as the type and number of faults, and the quality of the test-suite. This paper presents a novel technique that applies spectra-based localization in synergy with specification-based analysis to more accurately locate faults. Our insight is that unsatisfiability analysis of violated specifications, enabled by SAT technology, could be used to (1) compute unsatisfiable cores that contain likely faulty statements and (2) generate tests that help spectrabased localization. Our technique is iterative and driven by a feedback loop that enables more precise fault localization. Our framework SAT-TAR embodies our technique for Java programs, including those with multiple faults. An experimental evaluation using a suite of widely-studied data structure programs, including the ANTLR and JTopas parser applications, shows that our technique localizes faults more accurately than state-of-the-art approaches. Copyright 2012 ACM.</v>
      </c>
      <c r="H801" s="8" t="str">
        <f>IFERROR(__xludf.DUMMYFUNCTION("""COMPUTED_VALUE"""),"Alloy; Automated debugging; Fault localization; KODKOD; Minimal unsat cores; Tarantula")</f>
        <v>Alloy; Automated debugging; Fault localization; KODKOD; Minimal unsat cores; Tarantula</v>
      </c>
      <c r="I801" s="10" t="b">
        <v>0</v>
      </c>
      <c r="J801" s="10" t="b">
        <v>0</v>
      </c>
      <c r="K801" s="10" t="b">
        <v>0</v>
      </c>
      <c r="L801" s="10" t="b">
        <v>0</v>
      </c>
      <c r="M801" s="10" t="b">
        <v>0</v>
      </c>
      <c r="N801" s="10" t="b">
        <v>0</v>
      </c>
      <c r="O801" s="11" t="b">
        <f t="shared" si="1"/>
        <v>0</v>
      </c>
      <c r="P801" s="16" t="b">
        <v>0</v>
      </c>
      <c r="Q801" s="7"/>
    </row>
    <row r="802">
      <c r="A802" s="5" t="b">
        <v>1</v>
      </c>
      <c r="B802" s="5" t="s">
        <v>846</v>
      </c>
      <c r="C802" s="6" t="str">
        <f>IFERROR(__xludf.DUMMYFUNCTION("""COMPUTED_VALUE"""),"10.1109/ASE.2009.52")</f>
        <v>10.1109/ASE.2009.52</v>
      </c>
      <c r="D802" s="7" t="str">
        <f>IFERROR(__xludf.DUMMYFUNCTION("""COMPUTED_VALUE"""),"Siddiqui J.H.; Marinov D.; Khurshid S.")</f>
        <v>Siddiqui J.H.; Marinov D.; Khurshid S.</v>
      </c>
      <c r="E802" s="7" t="str">
        <f>IFERROR(__xludf.DUMMYFUNCTION("""COMPUTED_VALUE"""),"Optimizing a structural constraint solver for efficient software checking")</f>
        <v>Optimizing a structural constraint solver for efficient software checking</v>
      </c>
      <c r="F802" s="7" t="str">
        <f>IFERROR(__xludf.DUMMYFUNCTION("""COMPUTED_VALUE"""),"ASE")</f>
        <v>ASE</v>
      </c>
      <c r="G802" s="7" t="str">
        <f>IFERROR(__xludf.DUMMYFUNCTION("""COMPUTED_VALUE"""),"Several static analysis techniques, e.g., symbolic execution or scope-bounded checking, as well as dynamic analysis techniques, e.g., specification-based testing, use constraint solvers as an enabling technology. To analyze code that manipulates structura"&amp;"lly complex data, the underlying solver must support structural constraints. Solving such constraints can be expensive due to the large number of aliasing possibilities that the solver must consider. This paper presents a novel technique to selectively re"&amp;"duce the number of test cases to be generated. Our technique applies across a class of structural constraint solvers. Experimental results show that the technique enables an order of magnitude reduction in the number of test cases to be considered. © 2009"&amp;" IEEE.")</f>
        <v>Several static analysis techniques, e.g., symbolic execution or scope-bounded checking, as well as dynamic analysis techniques, e.g., specification-based testing, use constraint solvers as an enabling technology. To analyze code that manipulates structurally complex data, the underlying solver must support structural constraints. Solving such constraints can be expensive due to the large number of aliasing possibilities that the solver must consider. This paper presents a novel technique to selectively reduce the number of test cases to be generated. Our technique applies across a class of structural constraint solvers. Experimental results show that the technique enables an order of magnitude reduction in the number of test cases to be considered. © 2009 IEEE.</v>
      </c>
      <c r="H802" s="8"/>
      <c r="I802" s="10" t="b">
        <v>0</v>
      </c>
      <c r="J802" s="10" t="b">
        <v>0</v>
      </c>
      <c r="K802" s="10" t="b">
        <v>0</v>
      </c>
      <c r="L802" s="10" t="b">
        <v>0</v>
      </c>
      <c r="M802" s="10" t="b">
        <v>0</v>
      </c>
      <c r="N802" s="10" t="b">
        <v>0</v>
      </c>
      <c r="O802" s="11" t="b">
        <f t="shared" si="1"/>
        <v>0</v>
      </c>
      <c r="P802" s="16" t="b">
        <v>0</v>
      </c>
      <c r="Q802" s="7"/>
    </row>
    <row r="803">
      <c r="A803" s="5" t="b">
        <v>1</v>
      </c>
      <c r="B803" s="5" t="s">
        <v>847</v>
      </c>
      <c r="C803" s="6" t="str">
        <f>IFERROR(__xludf.DUMMYFUNCTION("""COMPUTED_VALUE"""),"10.1109/ASE.2008.22")</f>
        <v>10.1109/ASE.2008.22</v>
      </c>
      <c r="D803" s="7" t="str">
        <f>IFERROR(__xludf.DUMMYFUNCTION("""COMPUTED_VALUE"""),"Pradella M.; Morzenti A.; Pietro P.S.")</f>
        <v>Pradella M.; Morzenti A.; Pietro P.S.</v>
      </c>
      <c r="E803" s="7" t="str">
        <f>IFERROR(__xludf.DUMMYFUNCTION("""COMPUTED_VALUE"""),"Refining real-time system specifications through bounded model- and satisfiability-checking")</f>
        <v>Refining real-time system specifications through bounded model- and satisfiability-checking</v>
      </c>
      <c r="F803" s="7" t="str">
        <f>IFERROR(__xludf.DUMMYFUNCTION("""COMPUTED_VALUE"""),"ASE")</f>
        <v>ASE</v>
      </c>
      <c r="G803" s="7" t="str">
        <f>IFERROR(__xludf.DUMMYFUNCTION("""COMPUTED_VALUE"""),"In Bounded Model Checking (BMC) a system is modeled with a finite automaton and various desired properties with temporal logic formulae. Property verification is achieved by translation into boolean logic and the application of SAT-solvers. Bounded Satisf"&amp;"iability Checking (BSC) adopts a similar approach, but both the system and the properties are modeled with temporal logic formulae, without an underlying operational model. Hence, BSC supports a higher-level, descriptive approach to system specification a"&amp;"nd analysis. We compare the performance of BMC and BSC over a set of case studies, using the Zot tool to translate automata and temporal logic formulae into boolean logic. We also propose a method to check whether an operational model is a correct impleme"&amp;"ntation (refinement) of a temporal logic model, and assess its effectiveness on the same set of case studies. Our experimental results show the feasibility of BSC and refinement checking, with modest performance loss w.r.t. BMC. © 2008 IEEE.")</f>
        <v>In Bounded Model Checking (BMC) a system is modeled with a finite automaton and various desired properties with temporal logic formulae. Property verification is achieved by translation into boolean logic and the application of SAT-solvers. Bounded Satisfiability Checking (BSC) adopts a similar approach, but both the system and the properties are modeled with temporal logic formulae, without an underlying operational model. Hence, BSC supports a higher-level, descriptive approach to system specification and analysis. We compare the performance of BMC and BSC over a set of case studies, using the Zot tool to translate automata and temporal logic formulae into boolean logic. We also propose a method to check whether an operational model is a correct implementation (refinement) of a temporal logic model, and assess its effectiveness on the same set of case studies. Our experimental results show the feasibility of BSC and refinement checking, with modest performance loss w.r.t. BMC. © 2008 IEEE.</v>
      </c>
      <c r="H803" s="8" t="str">
        <f>IFERROR(__xludf.DUMMYFUNCTION("""COMPUTED_VALUE"""),"Model checking; SAT-solver; Satisfiability checking; Temporal logic")</f>
        <v>Model checking; SAT-solver; Satisfiability checking; Temporal logic</v>
      </c>
      <c r="I803" s="10" t="b">
        <v>0</v>
      </c>
      <c r="J803" s="10" t="b">
        <v>0</v>
      </c>
      <c r="K803" s="10" t="b">
        <v>0</v>
      </c>
      <c r="L803" s="10" t="b">
        <v>0</v>
      </c>
      <c r="M803" s="10" t="b">
        <v>0</v>
      </c>
      <c r="N803" s="10" t="b">
        <v>0</v>
      </c>
      <c r="O803" s="11" t="b">
        <f t="shared" si="1"/>
        <v>0</v>
      </c>
      <c r="P803" s="16" t="b">
        <v>0</v>
      </c>
      <c r="Q803" s="7"/>
    </row>
    <row r="804">
      <c r="A804" s="5" t="b">
        <v>1</v>
      </c>
      <c r="B804" s="5" t="s">
        <v>848</v>
      </c>
      <c r="C804" s="6" t="str">
        <f>IFERROR(__xludf.DUMMYFUNCTION("""COMPUTED_VALUE"""),"10.1109/ASE51524.2021.9678617")</f>
        <v>10.1109/ASE51524.2021.9678617</v>
      </c>
      <c r="D804" s="7" t="str">
        <f>IFERROR(__xludf.DUMMYFUNCTION("""COMPUTED_VALUE"""),"Tu H.; Menzies T.")</f>
        <v>Tu H.; Menzies T.</v>
      </c>
      <c r="E804" s="7" t="str">
        <f>IFERROR(__xludf.DUMMYFUNCTION("""COMPUTED_VALUE"""),"FRUGAL: Unlocking Semi-Supervised Learning for Software Analytics")</f>
        <v>FRUGAL: Unlocking Semi-Supervised Learning for Software Analytics</v>
      </c>
      <c r="F804" s="7" t="str">
        <f>IFERROR(__xludf.DUMMYFUNCTION("""COMPUTED_VALUE"""),"ASE")</f>
        <v>ASE</v>
      </c>
      <c r="G804" s="7" t="str">
        <f>IFERROR(__xludf.DUMMYFUNCTION("""COMPUTED_VALUE"""),"Standard software analytics often involves having a large amount of data with labels in order to commission models with acceptable performance. However, prior work has shown that such requirements can be expensive, taking several weeks to label thousands "&amp;"of commits, and not always available when traversing new research problems and domains. Unsupervised Learning is a promising direction to learn hidden patterns within unlabelled data, which has only been extensively studied in defect prediction. Neverthel"&amp;"ess, unsupervised learning can be ineffective by itself and has not been explored in other domains (e.g., static analysis and issue close time).Motivated by this literature gap and technical limitations, we present FRUGAL, a tuned semi-supervised method t"&amp;"hat builds on a simple optimization scheme that does not require sophisticated (e.g., deep learners) and expensive (e.g., 100% manually labelled data) methods. FRUGAL optimizes the unsupervised learner's configurations (via a simple grid search) while val"&amp;"idating our design decision of labelling just 2.5% of the data before prediction.As shown by the experiments of this paper FRUGAL outperforms the state-of-the-art adoptable static code warning recognizer and issue closed time predictor, while reducing the"&amp;" cost of labelling by a factor of 40 (from 100% to 2.5%). Hence we assert that FRUGAL can save considerable effort in data labelling especially in validating prior work or researching new problems.Based on this work, we suggest that proponents of complex "&amp;"and expensive methods should always baseline such methods against simpler and cheaper alternatives. For instance, a semi-supervised learner like FRUGAL can serve as a baseline to the state-of-theart software analytics.  © 2021 IEEE.")</f>
        <v>Standard software analytics often involves having a large amount of data with labels in order to commission models with acceptable performance. However, prior work has shown that such requirements can be expensive, taking several weeks to label thousands of commits, and not always available when traversing new research problems and domains. Unsupervised Learning is a promising direction to learn hidden patterns within unlabelled data, which has only been extensively studied in defect prediction. Nevertheless, unsupervised learning can be ineffective by itself and has not been explored in other domains (e.g., static analysis and issue close time).Motivated by this literature gap and technical limitations, we present FRUGAL, a tuned semi-supervised method that builds on a simple optimization scheme that does not require sophisticated (e.g., deep learners) and expensive (e.g., 100% manually labelled data) methods. FRUGAL optimizes the unsupervised learner's configurations (via a simple grid search) while validating our design decision of labelling just 2.5% of the data before prediction.As shown by the experiments of this paper FRUGAL outperforms the state-of-the-art adoptable static code warning recognizer and issue closed time predictor, while reducing the cost of labelling by a factor of 40 (from 100% to 2.5%). Hence we assert that FRUGAL can save considerable effort in data labelling especially in validating prior work or researching new problems.Based on this work, we suggest that proponents of complex and expensive methods should always baseline such methods against simpler and cheaper alternatives. For instance, a semi-supervised learner like FRUGAL can serve as a baseline to the state-of-theart software analytics.  © 2021 IEEE.</v>
      </c>
      <c r="H804" s="8" t="str">
        <f>IFERROR(__xludf.DUMMYFUNCTION("""COMPUTED_VALUE"""),"Data Labelling Efforts; Semi-Supervised Learning; Software Analytics")</f>
        <v>Data Labelling Efforts; Semi-Supervised Learning; Software Analytics</v>
      </c>
      <c r="I804" s="10" t="b">
        <v>0</v>
      </c>
      <c r="J804" s="10" t="b">
        <v>0</v>
      </c>
      <c r="K804" s="10" t="b">
        <v>0</v>
      </c>
      <c r="L804" s="10" t="b">
        <v>0</v>
      </c>
      <c r="M804" s="10" t="b">
        <v>0</v>
      </c>
      <c r="N804" s="10" t="b">
        <v>0</v>
      </c>
      <c r="O804" s="11" t="b">
        <f t="shared" si="1"/>
        <v>0</v>
      </c>
      <c r="P804" s="16" t="b">
        <v>0</v>
      </c>
      <c r="Q804" s="7"/>
    </row>
    <row r="805">
      <c r="A805" s="5" t="b">
        <v>1</v>
      </c>
      <c r="B805" s="5" t="s">
        <v>849</v>
      </c>
      <c r="C805" s="6" t="str">
        <f>IFERROR(__xludf.DUMMYFUNCTION("""COMPUTED_VALUE"""),"10.1109/ASE51524.2021.9678740")</f>
        <v>10.1109/ASE51524.2021.9678740</v>
      </c>
      <c r="D805" s="7" t="str">
        <f>IFERROR(__xludf.DUMMYFUNCTION("""COMPUTED_VALUE"""),"Zheng G.; Nguyen T.; Gutierrez Brida S.; Regis G.; Frias M.; Aguirre N.; Bagheri H.")</f>
        <v>Zheng G.; Nguyen T.; Gutierrez Brida S.; Regis G.; Frias M.; Aguirre N.; Bagheri H.</v>
      </c>
      <c r="E805" s="7" t="str">
        <f>IFERROR(__xludf.DUMMYFUNCTION("""COMPUTED_VALUE"""),"FLACK: Localizing Faults in Alloy Models")</f>
        <v>FLACK: Localizing Faults in Alloy Models</v>
      </c>
      <c r="F805" s="7" t="str">
        <f>IFERROR(__xludf.DUMMYFUNCTION("""COMPUTED_VALUE"""),"ASE")</f>
        <v>ASE</v>
      </c>
      <c r="G805" s="7" t="str">
        <f>IFERROR(__xludf.DUMMYFUNCTION("""COMPUTED_VALUE"""),"Fault localization can help developers identify buggy statements or expressions in programs. Existing fault localization techniques are often designed for imperative programs (e.g., C and Java) and rely on tests to compare correct and incorrect execution "&amp;"traces to identify suspicious statements. In this demo paper, we present FLACK, a tool to automatically locate faults for models written in Alloy, a declarative language where the models are not executed but instead converted into a logical formula and so"&amp;"lved using a SAT solver. FLACK takes as input an Alloy model that violates some assertions and returns a ranked list of suspicious expressions contributing to the violation. The key idea is to analyze the differences between counterexamples, i.e., instanc"&amp;"es of the model that do not satisfy the assertion and instances that do satisfy the assertion to find suspicious expressions in the input model. An experiment with 157 Alloy models with various bugs shows the efficiency and accuracy of FLACK in localizing"&amp;" the causes of these bugs. FLACK and its evaluation benchmark and results can be downloaded from https://github.com/guolong-zheng/flack. The video demonstration is available at https://youtu.be/FKa2ohqIUms.  © 2021 IEEE.")</f>
        <v>Fault localization can help developers identify buggy statements or expressions in programs. Existing fault localization techniques are often designed for imperative programs (e.g., C and Java) and rely on tests to compare correct and incorrect execution traces to identify suspicious statements. In this demo paper, we present FLACK, a tool to automatically locate faults for models written in Alloy, a declarative language where the models are not executed but instead converted into a logical formula and solved using a SAT solver. FLACK takes as input an Alloy model that violates some assertions and returns a ranked list of suspicious expressions contributing to the violation. The key idea is to analyze the differences between counterexamples, i.e., instances of the model that do not satisfy the assertion and instances that do satisfy the assertion to find suspicious expressions in the input model. An experiment with 157 Alloy models with various bugs shows the efficiency and accuracy of FLACK in localizing the causes of these bugs. FLACK and its evaluation benchmark and results can be downloaded from https://github.com/guolong-zheng/flack. The video demonstration is available at https://youtu.be/FKa2ohqIUms.  © 2021 IEEE.</v>
      </c>
      <c r="H805" s="8" t="str">
        <f>IFERROR(__xludf.DUMMYFUNCTION("""COMPUTED_VALUE"""),"Alloy; Fault localization; Models; Specifications")</f>
        <v>Alloy; Fault localization; Models; Specifications</v>
      </c>
      <c r="I805" s="10" t="b">
        <v>0</v>
      </c>
      <c r="J805" s="10" t="b">
        <v>0</v>
      </c>
      <c r="K805" s="10" t="b">
        <v>0</v>
      </c>
      <c r="L805" s="10" t="b">
        <v>0</v>
      </c>
      <c r="M805" s="10" t="b">
        <v>0</v>
      </c>
      <c r="N805" s="10" t="b">
        <v>0</v>
      </c>
      <c r="O805" s="11" t="b">
        <f t="shared" si="1"/>
        <v>0</v>
      </c>
      <c r="P805" s="16" t="b">
        <v>0</v>
      </c>
      <c r="Q805" s="7"/>
    </row>
    <row r="806">
      <c r="A806" s="5" t="b">
        <v>1</v>
      </c>
      <c r="B806" s="5" t="s">
        <v>850</v>
      </c>
      <c r="C806" s="6" t="str">
        <f>IFERROR(__xludf.DUMMYFUNCTION("""COMPUTED_VALUE"""),"10.1109/ASE.2019.00128")</f>
        <v>10.1109/ASE.2019.00128</v>
      </c>
      <c r="D806" s="7" t="str">
        <f>IFERROR(__xludf.DUMMYFUNCTION("""COMPUTED_VALUE"""),"Huang Y.; Feng J.; Zheng H.; Zhu J.; Wang S.; Jiang S.; Miao W.; Pu G.")</f>
        <v>Huang Y.; Feng J.; Zheng H.; Zhu J.; Wang S.; Jiang S.; Miao W.; Pu G.</v>
      </c>
      <c r="E806" s="7" t="str">
        <f>IFERROR(__xludf.DUMMYFUNCTION("""COMPUTED_VALUE"""),"Prema: A tool for precise requirements editing, modeling and analysis")</f>
        <v>Prema: A tool for precise requirements editing, modeling and analysis</v>
      </c>
      <c r="F806" s="7" t="str">
        <f>IFERROR(__xludf.DUMMYFUNCTION("""COMPUTED_VALUE"""),"ASE")</f>
        <v>ASE</v>
      </c>
      <c r="G806" s="7" t="str">
        <f>IFERROR(__xludf.DUMMYFUNCTION("""COMPUTED_VALUE"""),"We present Prema, a tool for Precise Requirement Editing, Modeling and Analysis. It can be used in various fields for describing precise requirements using formal notations and performing rigorous analysis. By parsing the requirements written in formal mo"&amp;"deling language, Prema is able to get a model which aptly depicts the requirements. It also provides different rigorous verification and validation techniques to check whether the requirements meet users' expectation and find potential errors. We show tha"&amp;"t our tool can provide a unified environment for writing and verifying requirements without using tools that are not well inter-related. For experimental demonstration, we use the requirements of the automatic train protection (ATP) system of CASCO signal"&amp;" co. LTD., the largest railway signal control system manufacturer of China. The code of the tool cannot be released here because the project is commercially confidential. However, a demonstration video of the tool is available at https://youtu.be/BX0yv8pR"&amp;"MWs. © 2019 IEEE.")</f>
        <v>We present Prema, a tool for Precise Requirement Editing, Modeling and Analysis. It can be used in various fields for describing precise requirements using formal notations and performing rigorous analysis. By parsing the requirements written in formal modeling language, Prema is able to get a model which aptly depicts the requirements. It also provides different rigorous verification and validation techniques to check whether the requirements meet users' expectation and find potential errors. We show that our tool can provide a unified environment for writing and verifying requirements without using tools that are not well inter-related. For experimental demonstration, we use the requirements of the automatic train protection (ATP) system of CASCO signal co. LTD., the largest railway signal control system manufacturer of China. The code of the tool cannot be released here because the project is commercially confidential. However, a demonstration video of the tool is available at https://youtu.be/BX0yv8pRMWs. © 2019 IEEE.</v>
      </c>
      <c r="H806" s="8" t="str">
        <f>IFERROR(__xludf.DUMMYFUNCTION("""COMPUTED_VALUE"""),"Formal engineering methods; Formal methods; Requirements modeling; Requirements verification")</f>
        <v>Formal engineering methods; Formal methods; Requirements modeling; Requirements verification</v>
      </c>
      <c r="I806" s="10" t="b">
        <v>0</v>
      </c>
      <c r="J806" s="10" t="b">
        <v>0</v>
      </c>
      <c r="K806" s="10" t="b">
        <v>0</v>
      </c>
      <c r="L806" s="10" t="b">
        <v>0</v>
      </c>
      <c r="M806" s="10" t="b">
        <v>0</v>
      </c>
      <c r="N806" s="10" t="b">
        <v>0</v>
      </c>
      <c r="O806" s="11" t="b">
        <f t="shared" si="1"/>
        <v>0</v>
      </c>
      <c r="P806" s="16" t="b">
        <v>0</v>
      </c>
      <c r="Q806" s="7"/>
    </row>
    <row r="807">
      <c r="A807" s="5" t="b">
        <v>1</v>
      </c>
      <c r="B807" s="5" t="s">
        <v>851</v>
      </c>
      <c r="C807" s="6" t="str">
        <f>IFERROR(__xludf.DUMMYFUNCTION("""COMPUTED_VALUE"""),"10.1145/1858996.1859071")</f>
        <v>10.1145/1858996.1859071</v>
      </c>
      <c r="D807" s="7" t="str">
        <f>IFERROR(__xludf.DUMMYFUNCTION("""COMPUTED_VALUE"""),"Visser W.; Geldenhuys J.")</f>
        <v>Visser W.; Geldenhuys J.</v>
      </c>
      <c r="E807" s="7" t="str">
        <f>IFERROR(__xludf.DUMMYFUNCTION("""COMPUTED_VALUE"""),"Impendulo: Debugging the programmer")</f>
        <v>Impendulo: Debugging the programmer</v>
      </c>
      <c r="F807" s="7" t="str">
        <f>IFERROR(__xludf.DUMMYFUNCTION("""COMPUTED_VALUE"""),"ASE")</f>
        <v>ASE</v>
      </c>
      <c r="G807" s="7" t="str">
        <f>IFERROR(__xludf.DUMMYFUNCTION("""COMPUTED_VALUE"""),"We describe the Impendulo tool for fine-grained analyses of programmer behavior. The initial design goal was to create a system to answer the following simple question: ""What kind of mistakes do programmers make and how often do they make these mistakes?"&amp;""" However it quickly became apparent that the tool can be used to also analyze other fundamental software engineering questions, such as, how good are static analysis tools at finding real errors?, what is the fault finding capability of automated test g"&amp;"eneration tools?, what is the influence of a bad specification?, etc. We briey describe the tool and some of the insights gained from using it. © 2010 ACM.")</f>
        <v>We describe the Impendulo tool for fine-grained analyses of programmer behavior. The initial design goal was to create a system to answer the following simple question: "What kind of mistakes do programmers make and how often do they make these mistakes?" However it quickly became apparent that the tool can be used to also analyze other fundamental software engineering questions, such as, how good are static analysis tools at finding real errors?, what is the fault finding capability of automated test generation tools?, what is the influence of a bad specification?, etc. We briey describe the tool and some of the insights gained from using it. © 2010 ACM.</v>
      </c>
      <c r="H807" s="8" t="str">
        <f>IFERROR(__xludf.DUMMYFUNCTION("""COMPUTED_VALUE"""),"Experimentation; Measurement; Verification")</f>
        <v>Experimentation; Measurement; Verification</v>
      </c>
      <c r="I807" s="10" t="b">
        <v>0</v>
      </c>
      <c r="J807" s="10" t="b">
        <v>0</v>
      </c>
      <c r="K807" s="10" t="b">
        <v>0</v>
      </c>
      <c r="L807" s="10" t="b">
        <v>0</v>
      </c>
      <c r="M807" s="10" t="b">
        <v>0</v>
      </c>
      <c r="N807" s="10" t="b">
        <v>0</v>
      </c>
      <c r="O807" s="11" t="b">
        <f t="shared" si="1"/>
        <v>0</v>
      </c>
      <c r="P807" s="16" t="b">
        <v>0</v>
      </c>
      <c r="Q807" s="7"/>
    </row>
    <row r="808">
      <c r="A808" s="5" t="b">
        <v>1</v>
      </c>
      <c r="B808" s="5" t="s">
        <v>852</v>
      </c>
      <c r="C808" s="6" t="str">
        <f>IFERROR(__xludf.DUMMYFUNCTION("""COMPUTED_VALUE"""),"10.1145/1101908.1101922")</f>
        <v>10.1145/1101908.1101922</v>
      </c>
      <c r="D808" s="7" t="str">
        <f>IFERROR(__xludf.DUMMYFUNCTION("""COMPUTED_VALUE"""),"Milanova A.")</f>
        <v>Milanova A.</v>
      </c>
      <c r="E808" s="7" t="str">
        <f>IFERROR(__xludf.DUMMYFUNCTION("""COMPUTED_VALUE"""),"Precise identification of composition relationships for UML class diagrams")</f>
        <v>Precise identification of composition relationships for UML class diagrams</v>
      </c>
      <c r="F808" s="7" t="str">
        <f>IFERROR(__xludf.DUMMYFUNCTION("""COMPUTED_VALUE"""),"ASE")</f>
        <v>ASE</v>
      </c>
      <c r="G808" s="7" t="str">
        <f>IFERROR(__xludf.DUMMYFUNCTION("""COMPUTED_VALUE"""),"Knowing which associations are compositions is important in a tool for the reverse engineering of UML class diagrams. Firstly, recovery of composition relationships bridges the gap between design and code. Secondly, since composition relationships explici"&amp;"tly state a requirement that certain representations cannot be exposed, it is important to determine if this requirement is met by component code. Verifying that compositions are implemented properly may prevent serious program flaws due to representation"&amp;" exposure.We propose an implementation-level composition model based on ownership and a novel approach for identifying compositions in Java software. Our approach uses static ownership inference based on points-to analysis and is designed to work on incom"&amp;"plete programs. In our experiments, on average 40% of the examined fields account for relationships that are identified as compositions. We also present a precision evaluation which shows that for our code base our analysis achieves almost perfect precisi"&amp;"on - -that is, it almost never misses composition relationships. The results indicate that precise identification of interclass relationships can be done with a simple and inexpensive analysis, and thus can be easily incorporated in reverse engineering to"&amp;"ols that support iterative model-driven development. Copyright 2005 ACM.")</f>
        <v>Knowing which associations are compositions is important in a tool for the reverse engineering of UML class diagrams. Firstly, recovery of composition relationships bridges the gap between design and code. Secondly, since composition relationships explicitly state a requirement that certain representations cannot be exposed, it is important to determine if this requirement is met by component code. Verifying that compositions are implemented properly may prevent serious program flaws due to representation exposure.We propose an implementation-level composition model based on ownership and a novel approach for identifying compositions in Java software. Our approach uses static ownership inference based on points-to analysis and is designed to work on incomplete programs. In our experiments, on average 40% of the examined fields account for relationships that are identified as compositions. We also present a precision evaluation which shows that for our code base our analysis achieves almost perfect precision - -that is, it almost never misses composition relationships. The results indicate that precise identification of interclass relationships can be done with a simple and inexpensive analysis, and thus can be easily incorporated in reverse engineering tools that support iterative model-driven development. Copyright 2005 ACM.</v>
      </c>
      <c r="H808" s="8" t="str">
        <f>IFERROR(__xludf.DUMMYFUNCTION("""COMPUTED_VALUE"""),"Ownership; Points-to analysis; Reverse engineering; UML")</f>
        <v>Ownership; Points-to analysis; Reverse engineering; UML</v>
      </c>
      <c r="I808" s="10" t="b">
        <v>0</v>
      </c>
      <c r="J808" s="10" t="b">
        <v>0</v>
      </c>
      <c r="K808" s="10" t="b">
        <v>0</v>
      </c>
      <c r="L808" s="10" t="b">
        <v>0</v>
      </c>
      <c r="M808" s="10" t="b">
        <v>0</v>
      </c>
      <c r="N808" s="10" t="b">
        <v>0</v>
      </c>
      <c r="O808" s="11" t="b">
        <f t="shared" si="1"/>
        <v>0</v>
      </c>
      <c r="P808" s="16" t="b">
        <v>0</v>
      </c>
      <c r="Q808" s="7"/>
    </row>
    <row r="809">
      <c r="A809" s="5" t="b">
        <v>1</v>
      </c>
      <c r="B809" s="5" t="s">
        <v>853</v>
      </c>
      <c r="C809" s="6" t="str">
        <f>IFERROR(__xludf.DUMMYFUNCTION("""COMPUTED_VALUE"""),"10.1109/ASE.2004.1342723")</f>
        <v>10.1109/ASE.2004.1342723</v>
      </c>
      <c r="D809" s="7" t="str">
        <f>IFERROR(__xludf.DUMMYFUNCTION("""COMPUTED_VALUE"""),"Kalinowski M.; Travassos G.H.")</f>
        <v>Kalinowski M.; Travassos G.H.</v>
      </c>
      <c r="E809" s="7" t="str">
        <f>IFERROR(__xludf.DUMMYFUNCTION("""COMPUTED_VALUE"""),"A computational framework for supporting software inspections")</f>
        <v>A computational framework for supporting software inspections</v>
      </c>
      <c r="F809" s="7" t="str">
        <f>IFERROR(__xludf.DUMMYFUNCTION("""COMPUTED_VALUE"""),"ASE")</f>
        <v>ASE</v>
      </c>
      <c r="G809" s="7" t="str">
        <f>IFERROR(__xludf.DUMMYFUNCTION("""COMPUTED_VALUE"""),"Software inspections improve software quality by the analysis of software artifacts, detecting their defects for removal before these artifacts are delivered to the following software life cycle activities. Some knowledge regarding software inspections ha"&amp;"ve been acquired by empirical studies. However, we found no indication that computational support for the whole software inspection process using appropriately such knowledge is available. This paper describes a computational framework whose requirements "&amp;"set was derived from knowledge acquired by empirical studies to support software inspections. To evaluate the feasibility of such framework two studies have been accomplished: one case study, which has shown the feasibility of using the framework to suppo"&amp;"rt inspections, and an experimental study that evaluated the supported software inspection planning activity. Preliminary results of this experimental study suggested that unexperienced subjects are able to plan inspections with higher defect detection ef"&amp;"fectiveness, and in less time, when using this computational framework. © 2004 IEEE.")</f>
        <v>Software inspections improve software quality by the analysis of software artifacts, detecting their defects for removal before these artifacts are delivered to the following software life cycle activities. Some knowledge regarding software inspections have been acquired by empirical studies. However, we found no indication that computational support for the whole software inspection process using appropriately such knowledge is available. This paper describes a computational framework whose requirements set was derived from knowledge acquired by empirical studies to support software inspections. To evaluate the feasibility of such framework two studies have been accomplished: one case study, which has shown the feasibility of using the framework to support inspections, and an experimental study that evaluated the supported software inspection planning activity. Preliminary results of this experimental study suggested that unexperienced subjects are able to plan inspections with higher defect detection effectiveness, and in less time, when using this computational framework. © 2004 IEEE.</v>
      </c>
      <c r="H809" s="8"/>
      <c r="I809" s="10" t="b">
        <v>0</v>
      </c>
      <c r="J809" s="10" t="b">
        <v>0</v>
      </c>
      <c r="K809" s="10" t="b">
        <v>0</v>
      </c>
      <c r="L809" s="10" t="b">
        <v>0</v>
      </c>
      <c r="M809" s="10" t="b">
        <v>0</v>
      </c>
      <c r="N809" s="10" t="b">
        <v>0</v>
      </c>
      <c r="O809" s="11" t="b">
        <f t="shared" si="1"/>
        <v>0</v>
      </c>
      <c r="P809" s="16" t="b">
        <v>0</v>
      </c>
      <c r="Q809" s="7"/>
    </row>
    <row r="810">
      <c r="A810" s="5" t="b">
        <v>1</v>
      </c>
      <c r="B810" s="5" t="s">
        <v>854</v>
      </c>
      <c r="C810" s="6" t="str">
        <f>IFERROR(__xludf.DUMMYFUNCTION("""COMPUTED_VALUE"""),"10.1145/2786805.2786833")</f>
        <v>10.1145/2786805.2786833</v>
      </c>
      <c r="D810" s="7" t="str">
        <f>IFERROR(__xludf.DUMMYFUNCTION("""COMPUTED_VALUE"""),"Filieri A.; Hoffmann H.; Maggio M.")</f>
        <v>Filieri A.; Hoffmann H.; Maggio M.</v>
      </c>
      <c r="E810" s="7" t="str">
        <f>IFERROR(__xludf.DUMMYFUNCTION("""COMPUTED_VALUE"""),"Automated multi-objective control for self-adaptive software design")</f>
        <v>Automated multi-objective control for self-adaptive software design</v>
      </c>
      <c r="F810" s="7" t="str">
        <f>IFERROR(__xludf.DUMMYFUNCTION("""COMPUTED_VALUE"""),"ESEC/FSE")</f>
        <v>ESEC/FSE</v>
      </c>
      <c r="G810" s="7" t="str">
        <f>IFERROR(__xludf.DUMMYFUNCTION("""COMPUTED_VALUE"""),"While software is becoming more complex everyday, the requirements on its behavior are not getting any easier to satisfy. An application should offer a certain quality of service, adapt to the current environmental conditions and withstand runtime variati"&amp;"ons that were simply unpredictable during the design phase. To tackle this complexity, control theory has been proposed as a technique for managing software's dynamic behavior, obviating the need for human intervention. Control-theoretical solutions, howe"&amp;"ver, are either tailored for the specific application or do not handle the complexity of multiple interacting components and multiple goals. In this paper, we develop an automated control synthesis methodology that takes, as input, the configurable softwa"&amp;"re components (or knobs) and the goals to be achieved. Our approach automatically constructs a control system that manages the specified knobs and guarantees the goals are met. These claims are backed up by experimental studies on three different software"&amp;" applications, where we show how the proposed automated approach handles the complexity of multiple knobs and objectives. © 2015 ACM.")</f>
        <v>While software is becoming more complex everyday, the requirements on its behavior are not getting any easier to satisfy. An application should offer a certain quality of service, adapt to the current environmental conditions and withstand runtime variations that were simply unpredictable during the design phase. To tackle this complexity, control theory has been proposed as a technique for managing software's dynamic behavior, obviating the need for human intervention. Control-theoretical solutions, however, are either tailored for the specific application or do not handle the complexity of multiple interacting components and multiple goals. In this paper, we develop an automated control synthesis methodology that takes, as input, the configurable software components (or knobs) and the goals to be achieved. Our approach automatically constructs a control system that manages the specified knobs and guarantees the goals are met. These claims are backed up by experimental studies on three different software applications, where we show how the proposed automated approach handles the complexity of multiple knobs and objectives. © 2015 ACM.</v>
      </c>
      <c r="H810" s="8" t="str">
        <f>IFERROR(__xludf.DUMMYFUNCTION("""COMPUTED_VALUE"""),"Adaptive software; Control theory; Dynamic systems; Nonfunctional requirements; Run-time verification")</f>
        <v>Adaptive software; Control theory; Dynamic systems; Nonfunctional requirements; Run-time verification</v>
      </c>
      <c r="I810" s="10" t="b">
        <v>0</v>
      </c>
      <c r="J810" s="10" t="b">
        <v>0</v>
      </c>
      <c r="K810" s="10" t="b">
        <v>0</v>
      </c>
      <c r="L810" s="10" t="b">
        <v>0</v>
      </c>
      <c r="M810" s="10" t="b">
        <v>0</v>
      </c>
      <c r="N810" s="10" t="b">
        <v>0</v>
      </c>
      <c r="O810" s="11" t="b">
        <f t="shared" si="1"/>
        <v>0</v>
      </c>
      <c r="P810" s="16" t="b">
        <v>0</v>
      </c>
      <c r="Q810" s="7"/>
    </row>
    <row r="811">
      <c r="A811" s="5" t="b">
        <v>1</v>
      </c>
      <c r="B811" s="5" t="s">
        <v>855</v>
      </c>
      <c r="C811" s="6" t="str">
        <f>IFERROR(__xludf.DUMMYFUNCTION("""COMPUTED_VALUE"""),"10.1145/2491411.2501854")</f>
        <v>10.1145/2491411.2501854</v>
      </c>
      <c r="D811" s="7" t="str">
        <f>IFERROR(__xludf.DUMMYFUNCTION("""COMPUTED_VALUE"""),"McPeak S.; Gros C.-H.; Ramanathan M.K.")</f>
        <v>McPeak S.; Gros C.-H.; Ramanathan M.K.</v>
      </c>
      <c r="E811" s="7" t="str">
        <f>IFERROR(__xludf.DUMMYFUNCTION("""COMPUTED_VALUE"""),"Scalable and incremental software bug detection")</f>
        <v>Scalable and incremental software bug detection</v>
      </c>
      <c r="F811" s="7" t="str">
        <f>IFERROR(__xludf.DUMMYFUNCTION("""COMPUTED_VALUE"""),"ESEC/FSE")</f>
        <v>ESEC/FSE</v>
      </c>
      <c r="G811" s="7" t="str">
        <f>IFERROR(__xludf.DUMMYFUNCTION("""COMPUTED_VALUE"""),"An important, but often neglected, goal of static analysis for detecting bugs is the ability to show defects to the programmer quickly. Unfortunately, existing static analysis tools scale very poorly, or are shallow and cannot find complex interprocedural"&amp;" defects. Previous attempts at reducing the analysis time by adding more resources (CPU, memory) or by splitting the analysis into multiple sub-analyses based on defect detection capabilities resulted in limited/negligible improvements. We present a techn"&amp;"ique for parallel and incremental static analysis using top-down, bottom-up and global specification inference based around the concept of a work unit, a self-contained atom of analysis input, that deterministically maps to its output. A work unit contain"&amp;"s both abstract and concrete syntax to analyze, a supporting fragment of the class hierarchy, summarized interprocedural behavior, and defect reporting information, factored to ensure a high level of reuse when analyzing successive versions incrementally."&amp;" Work units are created and consumed by an analysis master process that coordinates the multiple analysis passes, the flow of information among them, and incrementalizes the computation. Meanwhile, multiple analysis worker processes use abstract interpret"&amp;"ation to compute work unit results. Process management and interprocess communication is done by a general-purpose computation distributor layer. We have implemented our approach and our experimental results show that using eight processor cores, we can p"&amp;"erform complete analysis of code bases with millions of lines of code in a few hours, and even faster after incremental changes to that code. The analysis is thorough and accurate: it usually reports about one crash-causing defect per thousand lines of co"&amp;"de, with a false positive rate of 10-20%. Copyright 2013 ACM.")</f>
        <v>An important, but often neglected, goal of static analysis for detecting bugs is the ability to show defects to the programmer quickly. Unfortunately, existing static analysis tools scale very poorly, or are shallow and cannot find complex interprocedural defects. Previous attempts at reducing the analysis time by adding more resources (CPU, memory) or by splitting the analysis into multiple sub-analyses based on defect detection capabilities resulted in limited/negligible improvements. We present a technique for parallel and incremental static analysis using top-down, bottom-up and global specification inference based around the concept of a work unit, a self-contained atom of analysis input, that deterministically maps to its output. A work unit contains both abstract and concrete syntax to analyze, a supporting fragment of the class hierarchy, summarized interprocedural behavior, and defect reporting information, factored to ensure a high level of reuse when analyzing successive versions incrementally. Work units are created and consumed by an analysis master process that coordinates the multiple analysis passes, the flow of information among them, and incrementalizes the computation. Meanwhile, multiple analysis worker processes use abstract interpretation to compute work unit results. Process management and interprocess communication is done by a general-purpose computation distributor layer. We have implemented our approach and our experimental results show that using eight processor cores, we can perform complete analysis of code bases with millions of lines of code in a few hours, and even faster after incremental changes to that code. The analysis is thorough and accurate: it usually reports about one crash-causing defect per thousand lines of code, with a false positive rate of 10-20%. Copyright 2013 ACM.</v>
      </c>
      <c r="H811" s="8" t="str">
        <f>IFERROR(__xludf.DUMMYFUNCTION("""COMPUTED_VALUE"""),"Bug detection; Incremental; Parallel; Static analysis")</f>
        <v>Bug detection; Incremental; Parallel; Static analysis</v>
      </c>
      <c r="I811" s="10" t="b">
        <v>0</v>
      </c>
      <c r="J811" s="10" t="b">
        <v>0</v>
      </c>
      <c r="K811" s="10" t="b">
        <v>0</v>
      </c>
      <c r="L811" s="10" t="b">
        <v>0</v>
      </c>
      <c r="M811" s="10" t="b">
        <v>0</v>
      </c>
      <c r="N811" s="10" t="b">
        <v>0</v>
      </c>
      <c r="O811" s="11" t="b">
        <f t="shared" si="1"/>
        <v>0</v>
      </c>
      <c r="P811" s="16" t="b">
        <v>0</v>
      </c>
      <c r="Q811" s="7"/>
    </row>
    <row r="812">
      <c r="A812" s="5" t="b">
        <v>1</v>
      </c>
      <c r="B812" s="5" t="s">
        <v>856</v>
      </c>
      <c r="C812" s="6" t="str">
        <f>IFERROR(__xludf.DUMMYFUNCTION("""COMPUTED_VALUE"""),"10.1145/1453101.1453121")</f>
        <v>10.1145/1453101.1453121</v>
      </c>
      <c r="D812" s="7" t="str">
        <f>IFERROR(__xludf.DUMMYFUNCTION("""COMPUTED_VALUE"""),"Park C.-S.; Sen K.")</f>
        <v>Park C.-S.; Sen K.</v>
      </c>
      <c r="E812" s="7" t="str">
        <f>IFERROR(__xludf.DUMMYFUNCTION("""COMPUTED_VALUE"""),"Randomized active atomicity violation detection in concurrent programs")</f>
        <v>Randomized active atomicity violation detection in concurrent programs</v>
      </c>
      <c r="F812" s="7" t="str">
        <f>IFERROR(__xludf.DUMMYFUNCTION("""COMPUTED_VALUE"""),"ESEC/FSE")</f>
        <v>ESEC/FSE</v>
      </c>
      <c r="G812" s="7" t="str">
        <f>IFERROR(__xludf.DUMMYFUNCTION("""COMPUTED_VALUE"""),"Atomicity is an important specification that enables programmers to understand atomic blocks of code in a multi-threaded program as if they are sequential. This significantly simplifies the programmer's job to reason about correctness. Several modern mult"&amp;"ithreaded programming languages provide no built-in support to ensure atomicity; instead they rely on the fact that programmers would use locks properly in order to guarantee that atomic code blocks are indeed atomic. However, improper use of locks can so"&amp;"metimes fail to ensure atomicity. Therefore, we need tools that can check atomicity properties of lock-based code automatically. We propose a randomized dynamic analysis technique to detect a special, but important, class of atomicity violations that are "&amp;"often found in real-world programs. Specifically, our technique modifies the existing Java thread scheduler behavior to create atomicity violations with high probability. Our approach has several advantages over existing dynamic analysis tools. First, we "&amp;"can create a real atomicity violation and see if an exception can be thrown. Second, we can replay an atomicity violating execution by simply using the same seed for random number generation - -we do not need to record the execution. Third, we give no fal"&amp;"se warnings unlike existing dynamic atomicity checking techniques. We have implemented the technique in a prototype tool for Java and have experimented on a number of large multi-threaded Java programs and libraries. We report a number of previously known"&amp;" and unknown bugs and atomicity violations in these Java programs. © 2008 ACM.")</f>
        <v>Atomicity is an important specification that enables programmers to understand atomic blocks of code in a multi-threaded program as if they are sequential. This significantly simplifies the programmer's job to reason about correctness. Several modern multithreaded programming languages provide no built-in support to ensure atomicity; instead they rely on the fact that programmers would use locks properly in order to guarantee that atomic code blocks are indeed atomic. However, improper use of locks can sometimes fail to ensure atomicity. Therefore, we need tools that can check atomicity properties of lock-based code automatically. We propose a randomized dynamic analysis technique to detect a special, but important, class of atomicity violations that are often found in real-world programs. Specifically, our technique modifies the existing Java thread scheduler behavior to create atomicity violations with high probability. Our approach has several advantages over existing dynamic analysis tools. First, we can create a real atomicity violation and see if an exception can be thrown. Second, we can replay an atomicity violating execution by simply using the same seed for random number generation - -we do not need to record the execution. Third, we give no false warnings unlike existing dynamic atomicity checking techniques. We have implemented the technique in a prototype tool for Java and have experimented on a number of large multi-threaded Java programs and libraries. We report a number of previously known and unknown bugs and atomicity violations in these Java programs. © 2008 ACM.</v>
      </c>
      <c r="H812" s="8" t="str">
        <f>IFERROR(__xludf.DUMMYFUNCTION("""COMPUTED_VALUE"""),"Atomicity violation detection; Concurrency; Dynamic analysis; Random testing")</f>
        <v>Atomicity violation detection; Concurrency; Dynamic analysis; Random testing</v>
      </c>
      <c r="I812" s="10" t="b">
        <v>0</v>
      </c>
      <c r="J812" s="10" t="b">
        <v>0</v>
      </c>
      <c r="K812" s="10" t="b">
        <v>0</v>
      </c>
      <c r="L812" s="10" t="b">
        <v>0</v>
      </c>
      <c r="M812" s="10" t="b">
        <v>0</v>
      </c>
      <c r="N812" s="10" t="b">
        <v>0</v>
      </c>
      <c r="O812" s="11" t="b">
        <f t="shared" si="1"/>
        <v>0</v>
      </c>
      <c r="P812" s="16" t="b">
        <v>0</v>
      </c>
      <c r="Q812" s="7"/>
    </row>
    <row r="813">
      <c r="A813" s="5" t="b">
        <v>1</v>
      </c>
      <c r="B813" s="5" t="s">
        <v>857</v>
      </c>
      <c r="C813" s="6" t="str">
        <f>IFERROR(__xludf.DUMMYFUNCTION("""COMPUTED_VALUE"""),"10.1145/2393596.2393664")</f>
        <v>10.1145/2393596.2393664</v>
      </c>
      <c r="D813" s="7" t="str">
        <f>IFERROR(__xludf.DUMMYFUNCTION("""COMPUTED_VALUE"""),"Beyer D.; Henzinger T.A.; Keremoglu M.E.; Wendler P.")</f>
        <v>Beyer D.; Henzinger T.A.; Keremoglu M.E.; Wendler P.</v>
      </c>
      <c r="E813" s="7" t="str">
        <f>IFERROR(__xludf.DUMMYFUNCTION("""COMPUTED_VALUE"""),"Conditional model checking: A technique to pass information between verifiers")</f>
        <v>Conditional model checking: A technique to pass information between verifiers</v>
      </c>
      <c r="F813" s="7" t="str">
        <f>IFERROR(__xludf.DUMMYFUNCTION("""COMPUTED_VALUE"""),"ESEC/FSE")</f>
        <v>ESEC/FSE</v>
      </c>
      <c r="G813" s="7" t="str">
        <f>IFERROR(__xludf.DUMMYFUNCTION("""COMPUTED_VALUE"""),"Software model checking, as an undecidable problem, has three possible outcomes: (1) the program satisfies the specification, (2) the program does not satisfy the specification, and (3) the model checker fails. The third outcome usually manifests itself i"&amp;"n a space-out, time-out, or one component of the verification tool giving up; in all of these failing cases, significant computation is performed by the verification tool before the failure, but no result is reported. We propose to reformulate the model-c"&amp;"hecking problem as follows, in order to have the verification tool report a summary of the performed work even in case of failure: given a program and a specification, the model checker returns a condition Ψ - usually a state predicate - such that the pro"&amp;"gram satisfies the specification under the condition Ψ - that is, as long as the program does not leave the states in which Ψ is satisfied. In our experiments, we investigated as one major application of conditional model checking the sequential combinati"&amp;"on of model checkers with information passing. We give the condition that one model checker produces, as input to a second conditional model checker, such that the verification problem for the second is restricted to the part of the state space that is no"&amp;"t covered by the condition, i.e., the second model checker works on the problems that the first model checker could not solve. Our experiments demonstrate that repeated application of conditional model checkers, passing information from one model checker "&amp;"to the next, can significantly improve the verification results and performance, i.e., we can now verify programs that we could not verify before. © 2012 ACM.")</f>
        <v>Software model checking, as an undecidable problem, has three possible outcomes: (1) the program satisfies the specification, (2) the program does not satisfy the specification, and (3) the model checker fails. The third outcome usually manifests itself in a space-out, time-out, or one component of the verification tool giving up; in all of these failing cases, significant computation is performed by the verification tool before the failure, but no result is reported. We propose to reformulate the model-checking problem as follows, in order to have the verification tool report a summary of the performed work even in case of failure: given a program and a specification, the model checker returns a condition Ψ - usually a state predicate - such that the program satisfies the specification under the condition Ψ - that is, as long as the program does not leave the states in which Ψ is satisfied. In our experiments, we investigated as one major application of conditional model checking the sequential combination of model checkers with information passing. We give the condition that one model checker produces, as input to a second conditional model checker, such that the verification problem for the second is restricted to the part of the state space that is not covered by the condition, i.e., the second model checker works on the problems that the first model checker could not solve. Our experiments demonstrate that repeated application of conditional model checkers, passing information from one model checker to the next, can significantly improve the verification results and performance, i.e., we can now verify programs that we could not verify before. © 2012 ACM.</v>
      </c>
      <c r="H813" s="8" t="str">
        <f>IFERROR(__xludf.DUMMYFUNCTION("""COMPUTED_VALUE"""),"coverage; formal verification; model checking; program analysis; sequential combination; testing")</f>
        <v>coverage; formal verification; model checking; program analysis; sequential combination; testing</v>
      </c>
      <c r="I813" s="10" t="b">
        <v>0</v>
      </c>
      <c r="J813" s="10" t="b">
        <v>0</v>
      </c>
      <c r="K813" s="10" t="b">
        <v>0</v>
      </c>
      <c r="L813" s="10" t="b">
        <v>0</v>
      </c>
      <c r="M813" s="10" t="b">
        <v>0</v>
      </c>
      <c r="N813" s="10" t="b">
        <v>0</v>
      </c>
      <c r="O813" s="11" t="b">
        <f t="shared" si="1"/>
        <v>0</v>
      </c>
      <c r="P813" s="16" t="b">
        <v>0</v>
      </c>
      <c r="Q813" s="7"/>
    </row>
    <row r="814">
      <c r="A814" s="5" t="b">
        <v>1</v>
      </c>
      <c r="B814" s="5" t="s">
        <v>858</v>
      </c>
      <c r="C814" s="6" t="str">
        <f>IFERROR(__xludf.DUMMYFUNCTION("""COMPUTED_VALUE"""),"10.1145/256428.167053")</f>
        <v>10.1145/256428.167053</v>
      </c>
      <c r="D814" s="7" t="str">
        <f>IFERROR(__xludf.DUMMYFUNCTION("""COMPUTED_VALUE"""),"Hoare C.A.R.")</f>
        <v>Hoare C.A.R.</v>
      </c>
      <c r="E814" s="7" t="str">
        <f>IFERROR(__xludf.DUMMYFUNCTION("""COMPUTED_VALUE"""),"Algebra and models")</f>
        <v>Algebra and models</v>
      </c>
      <c r="F814" s="7" t="str">
        <f>IFERROR(__xludf.DUMMYFUNCTION("""COMPUTED_VALUE"""),"ESEC/FSE")</f>
        <v>ESEC/FSE</v>
      </c>
      <c r="G814" s="7" t="str">
        <f>IFERROR(__xludf.DUMMYFUNCTION("""COMPUTED_VALUE"""),"Science makes progress by constructing mathematical models, deducing their observable consequences, and testing them by experiment. Successful theoretical models are later taken as the basis for engineering methods and codes of practice for design ofrelia"&amp;"ble and useful products. Models can play a similar central role in the progress and practical application of Computing Science. A model of a computational paradigm starts with choice of a carrier set of potential director indirect observations that can be"&amp;" made of a computational process. A particular process is modelled as the subset of observations to which it can give rise. Process composition is modelled by relating observations of a composite process to those of its components. Indirect observations p"&amp;"lay an essential role in such compositions. Algebraic properties of the composition operators are derived with the aid of the simple theory of sets and relations. Feasibility is checked by a mapping from a more operational model. A model constructed as a "&amp;"family of sets is easily adapted as a calculus of design for total correctness. A specification is given by an arbitrary set containing all observations permitted in the required product. It should be expressed as clearly as possible with the aid of the f"&amp;"ull power of mathematics and logic. A product meets a specification if its potential observations form a subset of its permitted observations. This principle requires that all envisaged failure modes of a product are modelled as indirect observations, so "&amp;"that their avoidance can be proved. Specifications of components can be composed mathematically by the same operators as the components themselves. This permits top-down proof of correctness of designs even before their implementation begins. Algebraic pr"&amp;"operties and reasoning are helpful throughout development. Non-determinism is seen as no problem, but rather as a part of the solution. © 1993 ACM.")</f>
        <v>Science makes progress by constructing mathematical models, deducing their observable consequences, and testing them by experiment. Successful theoretical models are later taken as the basis for engineering methods and codes of practice for design ofreliable and useful products. Models can play a similar central role in the progress and practical application of Computing Science. A model of a computational paradigm starts with choice of a carrier set of potential director indirect observations that can be made of a computational process. A particular process is modelled as the subset of observations to which it can give rise. Process composition is modelled by relating observations of a composite process to those of its components. Indirect observations play an essential role in such compositions. Algebraic properties of the composition operators are derived with the aid of the simple theory of sets and relations. Feasibility is checked by a mapping from a more operational model. A model constructed as a family of sets is easily adapted as a calculus of design for total correctness. A specification is given by an arbitrary set containing all observations permitted in the required product. It should be expressed as clearly as possible with the aid of the full power of mathematics and logic. A product meets a specification if its potential observations form a subset of its permitted observations. This principle requires that all envisaged failure modes of a product are modelled as indirect observations, so that their avoidance can be proved. Specifications of components can be composed mathematically by the same operators as the components themselves. This permits top-down proof of correctness of designs even before their implementation begins. Algebraic properties and reasoning are helpful throughout development. Non-determinism is seen as no problem, but rather as a part of the solution. © 1993 ACM.</v>
      </c>
      <c r="H814" s="8"/>
      <c r="I814" s="10" t="b">
        <v>0</v>
      </c>
      <c r="J814" s="10" t="b">
        <v>0</v>
      </c>
      <c r="K814" s="10" t="b">
        <v>0</v>
      </c>
      <c r="L814" s="10" t="b">
        <v>0</v>
      </c>
      <c r="M814" s="10" t="b">
        <v>0</v>
      </c>
      <c r="N814" s="10" t="b">
        <v>0</v>
      </c>
      <c r="O814" s="11" t="b">
        <f t="shared" si="1"/>
        <v>0</v>
      </c>
      <c r="P814" s="16" t="b">
        <v>0</v>
      </c>
      <c r="Q814" s="7"/>
    </row>
    <row r="815">
      <c r="A815" s="5" t="b">
        <v>1</v>
      </c>
      <c r="B815" s="5" t="s">
        <v>859</v>
      </c>
      <c r="C815" s="6" t="str">
        <f>IFERROR(__xludf.DUMMYFUNCTION("""COMPUTED_VALUE"""),"10.1145/1181775.1181808")</f>
        <v>10.1145/1181775.1181808</v>
      </c>
      <c r="D815" s="7" t="str">
        <f>IFERROR(__xludf.DUMMYFUNCTION("""COMPUTED_VALUE"""),"Lo D.; Khoo S.-C.")</f>
        <v>Lo D.; Khoo S.-C.</v>
      </c>
      <c r="E815" s="7" t="str">
        <f>IFERROR(__xludf.DUMMYFUNCTION("""COMPUTED_VALUE"""),"SMArTIC: Towards building an accurate, robust and scalable specification miner")</f>
        <v>SMArTIC: Towards building an accurate, robust and scalable specification miner</v>
      </c>
      <c r="F815" s="7" t="str">
        <f>IFERROR(__xludf.DUMMYFUNCTION("""COMPUTED_VALUE"""),"ESEC/FSE")</f>
        <v>ESEC/FSE</v>
      </c>
      <c r="G815" s="7" t="str">
        <f>IFERROR(__xludf.DUMMYFUNCTION("""COMPUTED_VALUE"""),"Improper management of software evolution, compounded by imprecise, and changing requirements, along with the ""short time to market"" requirement, commonly leads to a lack of up-to-date specifications. This can result in software that is characterized by"&amp;" bugs, anomalies and even security threats. Software specification mining is a new technique to address this concern by inferring specifications automatically. In this paper, we propose a novel API specification mining architecture called SMArTIC Specific"&amp;"ation Mining Architecture with Trace fIltering and Clustering) to improve the accuracy, robustness and scalability of specification miners. This architecture is constructed based on two hypotheses: (1) Erroneous traces should be pruned from the input trac"&amp;"es to a miner, and (2) Clustering related traces will localize inaccuracies and reduce over-generalizationin learning. Correspondingly, SMArTIC comprises four components: an erroneous-trace filtering block, a related-trace clustering block, a learner, and"&amp;" a merger. We show through experiments that the quality of specification mining can be significantly improved using SMArTIC. Copyright ACM 2006.")</f>
        <v>Improper management of software evolution, compounded by imprecise, and changing requirements, along with the "short time to market" requirement, commonly leads to a lack of up-to-date specifications. This can result in software that is characterized by bugs, anomalies and even security threats. Software specification mining is a new technique to address this concern by inferring specifications automatically. In this paper, we propose a novel API specification mining architecture called SMArTIC Specification Mining Architecture with Trace fIltering and Clustering) to improve the accuracy, robustness and scalability of specification miners. This architecture is constructed based on two hypotheses: (1) Erroneous traces should be pruned from the input traces to a miner, and (2) Clustering related traces will localize inaccuracies and reduce over-generalizationin learning. Correspondingly, SMArTIC comprises four components: an erroneous-trace filtering block, a related-trace clustering block, a learner, and a merger. We show through experiments that the quality of specification mining can be significantly improved using SMArTIC. Copyright ACM 2006.</v>
      </c>
      <c r="H815" s="8" t="str">
        <f>IFERROR(__xludf.DUMMYFUNCTION("""COMPUTED_VALUE"""),"Clustering traces; Filtering errors; Specification mining")</f>
        <v>Clustering traces; Filtering errors; Specification mining</v>
      </c>
      <c r="I815" s="10" t="b">
        <v>0</v>
      </c>
      <c r="J815" s="10" t="b">
        <v>0</v>
      </c>
      <c r="K815" s="10" t="b">
        <v>0</v>
      </c>
      <c r="L815" s="10" t="b">
        <v>0</v>
      </c>
      <c r="M815" s="10" t="b">
        <v>0</v>
      </c>
      <c r="N815" s="10" t="b">
        <v>0</v>
      </c>
      <c r="O815" s="11" t="b">
        <f t="shared" si="1"/>
        <v>0</v>
      </c>
      <c r="P815" s="16" t="b">
        <v>0</v>
      </c>
      <c r="Q815" s="7"/>
    </row>
    <row r="816">
      <c r="A816" s="5" t="b">
        <v>1</v>
      </c>
      <c r="B816" s="5" t="s">
        <v>860</v>
      </c>
      <c r="C816" s="6" t="str">
        <f>IFERROR(__xludf.DUMMYFUNCTION("""COMPUTED_VALUE"""),"10.1145/2635868.2635912")</f>
        <v>10.1145/2635868.2635912</v>
      </c>
      <c r="D816" s="7" t="str">
        <f>IFERROR(__xludf.DUMMYFUNCTION("""COMPUTED_VALUE"""),"Gulwani S.; Radiček I.; Zuleger F.")</f>
        <v>Gulwani S.; Radiček I.; Zuleger F.</v>
      </c>
      <c r="E816" s="7" t="str">
        <f>IFERROR(__xludf.DUMMYFUNCTION("""COMPUTED_VALUE"""),"Feedback generation for performance problems in introductory programming assignments")</f>
        <v>Feedback generation for performance problems in introductory programming assignments</v>
      </c>
      <c r="F816" s="7" t="str">
        <f>IFERROR(__xludf.DUMMYFUNCTION("""COMPUTED_VALUE"""),"ESEC/FSE")</f>
        <v>ESEC/FSE</v>
      </c>
      <c r="G816" s="7" t="str">
        <f>IFERROR(__xludf.DUMMYFUNCTION("""COMPUTED_VALUE"""),"Providing feedback on programming assignments manually is a tedious, error prone, and time-consuming task. In this paper, we motivate and address the problem of generating feedback on performance aspects in introductory programming assignments. We studied"&amp;" a large number of functionally correct student solutions to introductory programming assignments and observed: (1) There are different algorithmic strategies, with varying levels of efficiency, for solving a given problem. These different strategies meri"&amp;"t different feedback. (2) The same algorithmic strategy can be implemented in countless different ways, which are not relevant for reporting feedback on the student program. We propose a light-weight programming language extension that allows a teacher to"&amp;" define an algorithmic strategy by specifying certain key values that should occur during the execution of an implementation. We describe a dynamic analysis based approach to test whether a student's program matches a teacher's specification. Our experime"&amp;"ntal results illustrate the effectiveness of both our specification language and our dynamic analysis. On one of our benchmarks consisting of 2316 functionally correct implementations to 3 programming problems, we identified 16 strategies that we were abl"&amp;"e to describe using our specification language (in 95 minutes after inspecting 66, i.e., around 3%, implementations). Our dynamic analysis correctly matched each implementation with its corresponding specification, thereby automatically producing the inte"&amp;"nded feedback.")</f>
        <v>Providing feedback on programming assignments manually is a tedious, error prone, and time-consuming task. In this paper, we motivate and address the problem of generating feedback on performance aspects in introductory programming assignments. We studied a large number of functionally correct student solutions to introductory programming assignments and observed: (1) There are different algorithmic strategies, with varying levels of efficiency, for solving a given problem. These different strategies merit different feedback. (2) The same algorithmic strategy can be implemented in countless different ways, which are not relevant for reporting feedback on the student program. We propose a light-weight programming language extension that allows a teacher to define an algorithmic strategy by specifying certain key values that should occur during the execution of an implementation. We describe a dynamic analysis based approach to test whether a student's program matches a teacher's specification. Our experimental results illustrate the effectiveness of both our specification language and our dynamic analysis. On one of our benchmarks consisting of 2316 functionally correct implementations to 3 programming problems, we identified 16 strategies that we were able to describe using our specification language (in 95 minutes after inspecting 66, i.e., around 3%, implementations). Our dynamic analysis correctly matched each implementation with its corresponding specification, thereby automatically producing the intended feedback.</v>
      </c>
      <c r="H816" s="8" t="str">
        <f>IFERROR(__xludf.DUMMYFUNCTION("""COMPUTED_VALUE"""),"Dynamic analysis; Education; Moocs; Performance analysis; Trace specification")</f>
        <v>Dynamic analysis; Education; Moocs; Performance analysis; Trace specification</v>
      </c>
      <c r="I816" s="10" t="b">
        <v>0</v>
      </c>
      <c r="J816" s="10" t="b">
        <v>0</v>
      </c>
      <c r="K816" s="10" t="b">
        <v>0</v>
      </c>
      <c r="L816" s="10" t="b">
        <v>0</v>
      </c>
      <c r="M816" s="10" t="b">
        <v>0</v>
      </c>
      <c r="N816" s="10" t="b">
        <v>0</v>
      </c>
      <c r="O816" s="11" t="b">
        <f t="shared" si="1"/>
        <v>0</v>
      </c>
      <c r="P816" s="16" t="b">
        <v>0</v>
      </c>
      <c r="Q816" s="7"/>
    </row>
    <row r="817">
      <c r="A817" s="5" t="b">
        <v>1</v>
      </c>
      <c r="B817" s="5" t="s">
        <v>861</v>
      </c>
      <c r="C817" s="6" t="str">
        <f>IFERROR(__xludf.DUMMYFUNCTION("""COMPUTED_VALUE"""),"10.1145/1006259.1006264")</f>
        <v>10.1145/1006259.1006264</v>
      </c>
      <c r="D817" s="7" t="str">
        <f>IFERROR(__xludf.DUMMYFUNCTION("""COMPUTED_VALUE"""),"Barstow D.")</f>
        <v>Barstow D.</v>
      </c>
      <c r="E817" s="7" t="str">
        <f>IFERROR(__xludf.DUMMYFUNCTION("""COMPUTED_VALUE"""),"Rapid prototyping, automatic programming, and experimental sciences")</f>
        <v>Rapid prototyping, automatic programming, and experimental sciences</v>
      </c>
      <c r="F817" s="7" t="str">
        <f>IFERROR(__xludf.DUMMYFUNCTION("""COMPUTED_VALUE"""),"ESEC/FSE")</f>
        <v>ESEC/FSE</v>
      </c>
      <c r="G817" s="7" t="str">
        <f>IFERROR(__xludf.DUMMYFUNCTION("""COMPUTED_VALUE"""),"Automatic programming as a strategy for developing rapid prototyping systems is an attractive alternative (although perhaps further in the future) to human-oriented methodologies and to executable specifications. In the case of some experimental sciences,"&amp;" however, it is currently possible to develop rapid prototyping systems using the automatic programming strategy. The greatest value of such systems is gained when they are oriented toward use by domain scientists, rather than software engineers. This goa"&amp;"l has major implications for the specification language, the user interface, and the programming knowledge required by the system.")</f>
        <v>Automatic programming as a strategy for developing rapid prototyping systems is an attractive alternative (although perhaps further in the future) to human-oriented methodologies and to executable specifications. In the case of some experimental sciences, however, it is currently possible to develop rapid prototyping systems using the automatic programming strategy. The greatest value of such systems is gained when they are oriented toward use by domain scientists, rather than software engineers. This goal has major implications for the specification language, the user interface, and the programming knowledge required by the system.</v>
      </c>
      <c r="H817" s="8"/>
      <c r="I817" s="10" t="b">
        <v>0</v>
      </c>
      <c r="J817" s="10" t="b">
        <v>0</v>
      </c>
      <c r="K817" s="10" t="b">
        <v>0</v>
      </c>
      <c r="L817" s="10" t="b">
        <v>0</v>
      </c>
      <c r="M817" s="10" t="b">
        <v>0</v>
      </c>
      <c r="N817" s="10" t="b">
        <v>0</v>
      </c>
      <c r="O817" s="11" t="b">
        <f t="shared" si="1"/>
        <v>0</v>
      </c>
      <c r="P817" s="16" t="b">
        <v>0</v>
      </c>
      <c r="Q817" s="7"/>
    </row>
    <row r="818">
      <c r="A818" s="5" t="b">
        <v>1</v>
      </c>
      <c r="B818" s="5" t="s">
        <v>862</v>
      </c>
      <c r="C818" s="6" t="str">
        <f>IFERROR(__xludf.DUMMYFUNCTION("""COMPUTED_VALUE"""),"10.1145/2635868.2635897")</f>
        <v>10.1145/2635868.2635897</v>
      </c>
      <c r="D818" s="7" t="str">
        <f>IFERROR(__xludf.DUMMYFUNCTION("""COMPUTED_VALUE"""),"Mani S.; Sankaranarayanan K.; Sinha V.S.; Devanbu P.")</f>
        <v>Mani S.; Sankaranarayanan K.; Sinha V.S.; Devanbu P.</v>
      </c>
      <c r="E818" s="7" t="str">
        <f>IFERROR(__xludf.DUMMYFUNCTION("""COMPUTED_VALUE"""),"Panning requirement nuggets in stream of software maintenance tickets")</f>
        <v>Panning requirement nuggets in stream of software maintenance tickets</v>
      </c>
      <c r="F818" s="7" t="str">
        <f>IFERROR(__xludf.DUMMYFUNCTION("""COMPUTED_VALUE"""),"ESEC/FSE")</f>
        <v>ESEC/FSE</v>
      </c>
      <c r="G818" s="7" t="str">
        <f>IFERROR(__xludf.DUMMYFUNCTION("""COMPUTED_VALUE"""),"There is an increasing trend to outsource maintenance of large applications and application portfolios of a business to third parties, specialising in application maintenance, who are incented to deliver the best possible maintenance at the lowest cost. T"&amp;"o do so, they need to identify repeat problem areas, which cause more maintenance grief, and seek a unified remedy to avoid the costs spent on fixing these individually. These repeat areas, in a sense, represent major, evolving areas of need, or requireme"&amp;"nts, for the customer. The information about the repeating problem is typically embedded in the unstructured text of multiple tickets, waiting to be found and addressed. Currently, repeat problems are found by manual analysis; effective solutions depend o"&amp;"n the collective experience of the team solving them. In this paper, we propose an approach to automatically analyze problem tickets to discover groups of problems being reported in them and provide meaningful, descriptive labels to help interpret these g"&amp;"roups. Our approach incorporates a cleansing phase to handle the high level of noise observed in problem tickets and a method to incorporate multiple text clustering techniques and merge their results in a meaningful manner. We provide detailed experiment"&amp;"s to quantitatively and qualitatively evaluate our approach. Copyright 2014 ACM.")</f>
        <v>There is an increasing trend to outsource maintenance of large applications and application portfolios of a business to third parties, specialising in application maintenance, who are incented to deliver the best possible maintenance at the lowest cost. To do so, they need to identify repeat problem areas, which cause more maintenance grief, and seek a unified remedy to avoid the costs spent on fixing these individually. These repeat areas, in a sense, represent major, evolving areas of need, or requirements, for the customer. The information about the repeating problem is typically embedded in the unstructured text of multiple tickets, waiting to be found and addressed. Currently, repeat problems are found by manual analysis; effective solutions depend on the collective experience of the team solving them. In this paper, we propose an approach to automatically analyze problem tickets to discover groups of problems being reported in them and provide meaningful, descriptive labels to help interpret these groups. Our approach incorporates a cleansing phase to handle the high level of noise observed in problem tickets and a method to incorporate multiple text clustering techniques and merge their results in a meaningful manner. We provide detailed experiments to quantitatively and qualitatively evaluate our approach. Copyright 2014 ACM.</v>
      </c>
      <c r="H818" s="8" t="str">
        <f>IFERROR(__xludf.DUMMYFUNCTION("""COMPUTED_VALUE"""),"Mining software repositories; Requirements; Text clustering")</f>
        <v>Mining software repositories; Requirements; Text clustering</v>
      </c>
      <c r="I818" s="10" t="b">
        <v>0</v>
      </c>
      <c r="J818" s="10" t="b">
        <v>0</v>
      </c>
      <c r="K818" s="10" t="b">
        <v>0</v>
      </c>
      <c r="L818" s="10" t="b">
        <v>0</v>
      </c>
      <c r="M818" s="10" t="b">
        <v>0</v>
      </c>
      <c r="N818" s="10" t="b">
        <v>0</v>
      </c>
      <c r="O818" s="11" t="b">
        <f t="shared" si="1"/>
        <v>0</v>
      </c>
      <c r="P818" s="16" t="b">
        <v>0</v>
      </c>
      <c r="Q818" s="7"/>
    </row>
    <row r="819">
      <c r="A819" s="5" t="b">
        <v>1</v>
      </c>
      <c r="B819" s="5" t="s">
        <v>863</v>
      </c>
      <c r="C819" s="6" t="str">
        <f>IFERROR(__xludf.DUMMYFUNCTION("""COMPUTED_VALUE"""),"10.1145/3236024.3275533")</f>
        <v>10.1145/3236024.3275533</v>
      </c>
      <c r="D819" s="7" t="str">
        <f>IFERROR(__xludf.DUMMYFUNCTION("""COMPUTED_VALUE"""),"Wang Q.; Gu L.; Xue M.; Xu L.; Niu W.; Dou L.; He L.; Xie T.")</f>
        <v>Wang Q.; Gu L.; Xue M.; Xu L.; Niu W.; Dou L.; He L.; Xie T.</v>
      </c>
      <c r="E819" s="7" t="str">
        <f>IFERROR(__xludf.DUMMYFUNCTION("""COMPUTED_VALUE"""),"FACTS: Automated black-box testing of fintech systems")</f>
        <v>FACTS: Automated black-box testing of fintech systems</v>
      </c>
      <c r="F819" s="7" t="str">
        <f>IFERROR(__xludf.DUMMYFUNCTION("""COMPUTED_VALUE"""),"ESEC/FSE")</f>
        <v>ESEC/FSE</v>
      </c>
      <c r="G819" s="7" t="str">
        <f>IFERROR(__xludf.DUMMYFUNCTION("""COMPUTED_VALUE"""),"FinTech, short for ""financial technology,"" has advanced the process of transforming financial business from a traditional manualprocess- driven to an automation-driven model by providing various software platforms. However, the current FinTech-industry "&amp;"still heavily depends on manual testing, which becomes the bottleneck of FinTech industry development. To automate the testing process, we propose an approach of black-box testing for a Fin- Tech system with effective tool support for both test generation"&amp;" and test oracles. For test generation, we first extract input categories from business-logic specifications, and then mutate real data collected from system logs with values randomly picked from each extracted input category. For test oracles, we propose"&amp;" a new technique of priority differential testing where we evaluate execution results of system-test inputs on the system's head (i.e., latest) version in the version repository (1) against the last legacy version in the version repository (only when the "&amp;"executed test inputs are on new, not-yet-deployed services) and (2) against both the currently-deployed version and the last legacy version (only when the test inputs are on existing, deployed services). When we rank the behavior-inconsistency results for"&amp;" developers to inspect, for the latter case, we give the currently-deployed version as a higherpriority source of behavior to check. We apply our approach to the CSTP subsystem, one of the largest data processing and forwarding modules of the China Foreig"&amp;"n Exchange Trade System (CFETS) platform, whose annual total transaction volume reaches 150 trillion US dollars. Extensive experimental results show that our approach can substantially boost the branch coverage by approximately 40%, and is also efficient "&amp;"to identify common faults in the FinTech system. © 2018 Association for Computing Machinery.")</f>
        <v>FinTech, short for "financial technology," has advanced the process of transforming financial business from a traditional manualprocess- driven to an automation-driven model by providing various software platforms. However, the current FinTech-industry still heavily depends on manual testing, which becomes the bottleneck of FinTech industry development. To automate the testing process, we propose an approach of black-box testing for a Fin- Tech system with effective tool support for both test generation and test oracles. For test generation, we first extract input categories from business-logic specifications, and then mutate real data collected from system logs with values randomly picked from each extracted input category. For test oracles, we propose a new technique of priority differential testing where we evaluate execution results of system-test inputs on the system's head (i.e., latest) version in the version repository (1) against the last legacy version in the version repository (only when the executed test inputs are on new, not-yet-deployed services) and (2) against both the currently-deployed version and the last legacy version (only when the test inputs are on existing, deployed services). When we rank the behavior-inconsistency results for developers to inspect, for the latter case, we give the currently-deployed version as a higherpriority source of behavior to check. We apply our approach to the CSTP subsystem, one of the largest data processing and forwarding modules of the China Foreign Exchange Trade System (CFETS) platform, whose annual total transaction volume reaches 150 trillion US dollars. Extensive experimental results show that our approach can substantially boost the branch coverage by approximately 40%, and is also efficient to identify common faults in the FinTech system. © 2018 Association for Computing Machinery.</v>
      </c>
      <c r="H819" s="8" t="str">
        <f>IFERROR(__xludf.DUMMYFUNCTION("""COMPUTED_VALUE"""),"Automated test generation; Black-box testing; FinTech")</f>
        <v>Automated test generation; Black-box testing; FinTech</v>
      </c>
      <c r="I819" s="10" t="b">
        <v>0</v>
      </c>
      <c r="J819" s="10" t="b">
        <v>0</v>
      </c>
      <c r="K819" s="10" t="b">
        <v>0</v>
      </c>
      <c r="L819" s="10" t="b">
        <v>0</v>
      </c>
      <c r="M819" s="10" t="b">
        <v>0</v>
      </c>
      <c r="N819" s="10" t="b">
        <v>0</v>
      </c>
      <c r="O819" s="11" t="b">
        <f t="shared" si="1"/>
        <v>0</v>
      </c>
      <c r="P819" s="16" t="b">
        <v>0</v>
      </c>
      <c r="Q819" s="7"/>
    </row>
    <row r="820">
      <c r="A820" s="5" t="b">
        <v>1</v>
      </c>
      <c r="B820" s="5" t="s">
        <v>864</v>
      </c>
      <c r="C820" s="6" t="str">
        <f>IFERROR(__xludf.DUMMYFUNCTION("""COMPUTED_VALUE"""),"10.1145/1595696.1595718")</f>
        <v>10.1145/1595696.1595718</v>
      </c>
      <c r="D820" s="7" t="str">
        <f>IFERROR(__xludf.DUMMYFUNCTION("""COMPUTED_VALUE"""),"Cardellini V.; Casalicchio E.; Grassi V.; Lo Presti F.; Mirandola R.")</f>
        <v>Cardellini V.; Casalicchio E.; Grassi V.; Lo Presti F.; Mirandola R.</v>
      </c>
      <c r="E820" s="7" t="str">
        <f>IFERROR(__xludf.DUMMYFUNCTION("""COMPUTED_VALUE"""),"QoS-driven runtime adaptation of service oriented architectures")</f>
        <v>QoS-driven runtime adaptation of service oriented architectures</v>
      </c>
      <c r="F820" s="7" t="str">
        <f>IFERROR(__xludf.DUMMYFUNCTION("""COMPUTED_VALUE"""),"ESEC/FSE")</f>
        <v>ESEC/FSE</v>
      </c>
      <c r="G820" s="7" t="str">
        <f>IFERROR(__xludf.DUMMYFUNCTION("""COMPUTED_VALUE"""),"Runtime adaptation is recognized as a viable way for a service-oriented system to meet QoS requirements in its volatile operating environment. In this paper we propose a methodology to drive the adaptation of such a system, that integrates within a unifie"&amp;"d framework different adaptation mechanisms, to achieve a greater flexibility in facing different operating environments and the possibly conflicting QoS requirements of several concurrent users. To determine the most suitable adaptation action(s), the me"&amp;"thodology is based on the formulation and solution of a linear programming problem, which is derived from a behavioral model of the system updated at runtime by a monitoring activity. Numerical experiments show the effectiveness of our approach. Besides t"&amp;"he methodology, we also present a prototype tool that implements it. Copyright 2009 ACM.")</f>
        <v>Runtime adaptation is recognized as a viable way for a service-oriented system to meet QoS requirements in its volatile operating environment. In this paper we propose a methodology to drive the adaptation of such a system, that integrates within a unified framework different adaptation mechanisms, to achieve a greater flexibility in facing different operating environments and the possibly conflicting QoS requirements of several concurrent users. To determine the most suitable adaptation action(s), the methodology is based on the formulation and solution of a linear programming problem, which is derived from a behavioral model of the system updated at runtime by a monitoring activity. Numerical experiments show the effectiveness of our approach. Besides the methodology, we also present a prototype tool that implements it. Copyright 2009 ACM.</v>
      </c>
      <c r="H820" s="8" t="str">
        <f>IFERROR(__xludf.DUMMYFUNCTION("""COMPUTED_VALUE"""),"Quality of service; Runtime adaptation; Service-oriented architecture")</f>
        <v>Quality of service; Runtime adaptation; Service-oriented architecture</v>
      </c>
      <c r="I820" s="10" t="b">
        <v>0</v>
      </c>
      <c r="J820" s="10" t="b">
        <v>0</v>
      </c>
      <c r="K820" s="10" t="b">
        <v>0</v>
      </c>
      <c r="L820" s="10" t="b">
        <v>0</v>
      </c>
      <c r="M820" s="10" t="b">
        <v>0</v>
      </c>
      <c r="N820" s="10" t="b">
        <v>0</v>
      </c>
      <c r="O820" s="11" t="b">
        <f t="shared" si="1"/>
        <v>0</v>
      </c>
      <c r="P820" s="16" t="b">
        <v>0</v>
      </c>
      <c r="Q820" s="7"/>
    </row>
    <row r="821">
      <c r="A821" s="5" t="b">
        <v>1</v>
      </c>
      <c r="B821" s="5" t="s">
        <v>865</v>
      </c>
      <c r="C821" s="6" t="str">
        <f>IFERROR(__xludf.DUMMYFUNCTION("""COMPUTED_VALUE"""),"10.1145/3368089.3409678")</f>
        <v>10.1145/3368089.3409678</v>
      </c>
      <c r="D821" s="7" t="str">
        <f>IFERROR(__xludf.DUMMYFUNCTION("""COMPUTED_VALUE"""),"Bian P.; Liang B.; Huang J.; Shi W.; Wang X.; Zhang J.")</f>
        <v>Bian P.; Liang B.; Huang J.; Shi W.; Wang X.; Zhang J.</v>
      </c>
      <c r="E821" s="7" t="str">
        <f>IFERROR(__xludf.DUMMYFUNCTION("""COMPUTED_VALUE"""),"SinkFinder: Harvesting hundreds of unknown interesting function pairs with just one seed")</f>
        <v>SinkFinder: Harvesting hundreds of unknown interesting function pairs with just one seed</v>
      </c>
      <c r="F821" s="7" t="str">
        <f>IFERROR(__xludf.DUMMYFUNCTION("""COMPUTED_VALUE"""),"ESEC/FSE")</f>
        <v>ESEC/FSE</v>
      </c>
      <c r="G821" s="7" t="str">
        <f>IFERROR(__xludf.DUMMYFUNCTION("""COMPUTED_VALUE"""),"Mastering the knowledge about security-sensitive functions that can potentially result in bugs is valuable to detect them. However, identifying this kind of functions is not a trivial task. Introducing machine learning-based techniques to do the task is a"&amp;" natural choice. Unfortunately, the approach also requires considerable prior knowledge, e.g., sufficient labelled training samples. In practice, the requirement is often hard to meet. In this paper, to solve the problem, we propose a novel and practical "&amp;"method called SinkFinder to automatically discover function pairs that we are interested in, which only requires very limited prior knowledge. SinkFinder first takes just one pair of well-known interesting functions as the initial seed to infer enough pos"&amp;"itive and negative training samples by means of sub-word word embedding. By using these samples, a support vector machine classifier is trained to identify more interesting function pairs. Finally, checkers equipped with the obtained knowledge can be easi"&amp;"ly developed to detect bugs in target systems. The experiments demonstrate that SinkFinder can successfully discover hundreds of interesting functions and detect dozens of previously unknown bugs from large-scale systems, such as Linux, OpenSSL and Postgr"&amp;"eSQL. © 2020 ACM.")</f>
        <v>Mastering the knowledge about security-sensitive functions that can potentially result in bugs is valuable to detect them. However, identifying this kind of functions is not a trivial task. Introducing machine learning-based techniques to do the task is a natural choice. Unfortunately, the approach also requires considerable prior knowledge, e.g., sufficient labelled training samples. In practice, the requirement is often hard to meet. In this paper, to solve the problem, we propose a novel and practical method called SinkFinder to automatically discover function pairs that we are interested in, which only requires very limited prior knowledge. SinkFinder first takes just one pair of well-known interesting functions as the initial seed to infer enough positive and negative training samples by means of sub-word word embedding. By using these samples, a support vector machine classifier is trained to identify more interesting function pairs. Finally, checkers equipped with the obtained knowledge can be easily developed to detect bugs in target systems. The experiments demonstrate that SinkFinder can successfully discover hundreds of interesting functions and detect dozens of previously unknown bugs from large-scale systems, such as Linux, OpenSSL and PostgreSQL. © 2020 ACM.</v>
      </c>
      <c r="H821" s="8" t="str">
        <f>IFERROR(__xludf.DUMMYFUNCTION("""COMPUTED_VALUE"""),"Bug Detection; Interesting Function Pairs; Machine Learning; Word Embedding")</f>
        <v>Bug Detection; Interesting Function Pairs; Machine Learning; Word Embedding</v>
      </c>
      <c r="I821" s="10" t="b">
        <v>0</v>
      </c>
      <c r="J821" s="10" t="b">
        <v>0</v>
      </c>
      <c r="K821" s="10" t="b">
        <v>0</v>
      </c>
      <c r="L821" s="10" t="b">
        <v>0</v>
      </c>
      <c r="M821" s="10" t="b">
        <v>0</v>
      </c>
      <c r="N821" s="10" t="b">
        <v>0</v>
      </c>
      <c r="O821" s="11" t="b">
        <f t="shared" si="1"/>
        <v>0</v>
      </c>
      <c r="P821" s="16" t="b">
        <v>0</v>
      </c>
      <c r="Q821" s="7"/>
    </row>
    <row r="822">
      <c r="A822" s="5" t="b">
        <v>1</v>
      </c>
      <c r="B822" s="5" t="s">
        <v>866</v>
      </c>
      <c r="C822" s="6" t="str">
        <f>IFERROR(__xludf.DUMMYFUNCTION("""COMPUTED_VALUE"""),"10.1145/1595696.1595700")</f>
        <v>10.1145/1595696.1595700</v>
      </c>
      <c r="D822" s="7" t="str">
        <f>IFERROR(__xludf.DUMMYFUNCTION("""COMPUTED_VALUE"""),"Burnim J.; Sen K.")</f>
        <v>Burnim J.; Sen K.</v>
      </c>
      <c r="E822" s="7" t="str">
        <f>IFERROR(__xludf.DUMMYFUNCTION("""COMPUTED_VALUE"""),"Asserting and checking determinism for multithreaded programs")</f>
        <v>Asserting and checking determinism for multithreaded programs</v>
      </c>
      <c r="F822" s="7" t="str">
        <f>IFERROR(__xludf.DUMMYFUNCTION("""COMPUTED_VALUE"""),"ESEC/FSE")</f>
        <v>ESEC/FSE</v>
      </c>
      <c r="G822" s="7" t="str">
        <f>IFERROR(__xludf.DUMMYFUNCTION("""COMPUTED_VALUE"""),"The trend towards processors with more and more parallel cores is increasing the need for software that can take advantage of parallelism. The most widespread method for writing parallel software is to use explicit threads. Writing correct multithreaded p"&amp;"rograms, however, has proven to be quite challenging in practice. The key difficulty is non-determinism. The threads of a parallel application may be interleaved non-deterministically during execution. In a buggy program, non-deterministic scheduling will"&amp;" lead to non-deterministic results - some interleavings will produce the correct result while others will not. We propose an assertion framework for specifying that regions of a parallel program behave deterministically despite non-deterministic thread in"&amp;"terleaving. Our framework allows programmers to write assertions involving pairs of program states arising from different parallel schedules. We describe an implementation of our deterministic assertions as a library for Java, and evaluate the utility of "&amp;"our specifications on a number of parallel Java benchmarks. We found specifying deterministic behavior to be quite simple using our assertions. Further, in experiments with our assertions, we were able to identify two races as true parallelism errors that"&amp;" lead to incorrect non-deterministic behavior. These races were distinguished from a number of benign races in the benchmarks. Copyright 2009 ACM.")</f>
        <v>The trend towards processors with more and more parallel cores is increasing the need for software that can take advantage of parallelism. The most widespread method for writing parallel software is to use explicit threads. Writing correct multithreaded programs, however, has proven to be quite challenging in practice. The key difficulty is non-determinism. The threads of a parallel application may be interleaved non-deterministically during execution. In a buggy program, non-deterministic scheduling will lead to non-deterministic results - some interleavings will produce the correct result while others will not. We propose an assertion framework for specifying that regions of a parallel program behave deterministically despite non-deterministic thread interleaving. Our framework allows programmers to write assertions involving pairs of program states arising from different parallel schedules. We describe an implementation of our deterministic assertions as a library for Java, and evaluate the utility of our specifications on a number of parallel Java benchmarks. We found specifying deterministic behavior to be quite simple using our assertions. Further, in experiments with our assertions, we were able to identify two races as true parallelism errors that lead to incorrect non-deterministic behavior. These races were distinguished from a number of benign races in the benchmarks. Copyright 2009 ACM.</v>
      </c>
      <c r="H822" s="8" t="str">
        <f>IFERROR(__xludf.DUMMYFUNCTION("""COMPUTED_VALUE"""),"Assertions; Determinism; Parallel programs")</f>
        <v>Assertions; Determinism; Parallel programs</v>
      </c>
      <c r="I822" s="10" t="b">
        <v>0</v>
      </c>
      <c r="J822" s="10" t="b">
        <v>0</v>
      </c>
      <c r="K822" s="10" t="b">
        <v>0</v>
      </c>
      <c r="L822" s="10" t="b">
        <v>0</v>
      </c>
      <c r="M822" s="10" t="b">
        <v>0</v>
      </c>
      <c r="N822" s="10" t="b">
        <v>0</v>
      </c>
      <c r="O822" s="11" t="b">
        <f t="shared" si="1"/>
        <v>0</v>
      </c>
      <c r="P822" s="16" t="b">
        <v>0</v>
      </c>
      <c r="Q822" s="7"/>
    </row>
    <row r="823">
      <c r="A823" s="5" t="b">
        <v>1</v>
      </c>
      <c r="B823" s="5" t="s">
        <v>867</v>
      </c>
      <c r="C823" s="6" t="str">
        <f>IFERROR(__xludf.DUMMYFUNCTION("""COMPUTED_VALUE"""),"10.1145/3368089.3417047")</f>
        <v>10.1145/3368089.3417047</v>
      </c>
      <c r="D823" s="7" t="str">
        <f>IFERROR(__xludf.DUMMYFUNCTION("""COMPUTED_VALUE"""),"Feng J.; Miao W.; Zheng H.; Huang Y.; Li J.; Wang Z.; Su T.; Gu B.; Pu G.; Yang M.; He J.")</f>
        <v>Feng J.; Miao W.; Zheng H.; Huang Y.; Li J.; Wang Z.; Su T.; Gu B.; Pu G.; Yang M.; He J.</v>
      </c>
      <c r="E823" s="7" t="str">
        <f>IFERROR(__xludf.DUMMYFUNCTION("""COMPUTED_VALUE"""),"FREPA: An automated and formal approach to requirement modeling and analysis in aircraft control domain")</f>
        <v>FREPA: An automated and formal approach to requirement modeling and analysis in aircraft control domain</v>
      </c>
      <c r="F823" s="7" t="str">
        <f>IFERROR(__xludf.DUMMYFUNCTION("""COMPUTED_VALUE"""),"ESEC/FSE")</f>
        <v>ESEC/FSE</v>
      </c>
      <c r="G823" s="7" t="str">
        <f>IFERROR(__xludf.DUMMYFUNCTION("""COMPUTED_VALUE"""),"Formal methods are promising for modeling and analyzing system requirements. However, applying formal methods to large-scale industrial projects is a remaining challenge. The industrial engineers are suffering from the lack of automated engineering method"&amp;"ologies to effectively conduct precise requirement models, and rigorously validate and verify (V&amp;V) the generated models. To tackle this challenge, in this paper, we present a systematic engineering approach, named Formal Requirement Engineering Platform "&amp;"in Aircraft (FREPA), for formal requirement modeling and V&amp;V in the aerospace and aviation control domains. FREPA is an outcome of the seamless collaboration between the academy and industry over the last eight years. The main contributions of this paper "&amp;"include 1) an automated and systematic engineering approach FREPA to construct requirement models, validate and verify systems in the aerospace and aviation control domain, 2) a domain-specific modeling language AASRDL to describe the formal specification"&amp;", and 3) a practical FREPA-based tool AeroReq which has been used by our industry partners. We have successfully adopted FREPA to seven real aerospace gesture control and two aviation engine control systems. The experimental results show that FREPA and th"&amp;"e corresponding tool AeroReq significantly facilitate formal modeling and V&amp;V in the industry. Moreover, we also discuss the experiences and lessons gained from using FREPA in aerospace and aviation projects. © 2020 ACM.")</f>
        <v>Formal methods are promising for modeling and analyzing system requirements. However, applying formal methods to large-scale industrial projects is a remaining challenge. The industrial engineers are suffering from the lack of automated engineering methodologies to effectively conduct precise requirement models, and rigorously validate and verify (V&amp;V) the generated models. To tackle this challenge, in this paper, we present a systematic engineering approach, named Formal Requirement Engineering Platform in Aircraft (FREPA), for formal requirement modeling and V&amp;V in the aerospace and aviation control domains. FREPA is an outcome of the seamless collaboration between the academy and industry over the last eight years. The main contributions of this paper include 1) an automated and systematic engineering approach FREPA to construct requirement models, validate and verify systems in the aerospace and aviation control domain, 2) a domain-specific modeling language AASRDL to describe the formal specification, and 3) a practical FREPA-based tool AeroReq which has been used by our industry partners. We have successfully adopted FREPA to seven real aerospace gesture control and two aviation engine control systems. The experimental results show that FREPA and the corresponding tool AeroReq significantly facilitate formal modeling and V&amp;V in the industry. Moreover, we also discuss the experiences and lessons gained from using FREPA in aerospace and aviation projects. © 2020 ACM.</v>
      </c>
      <c r="H823" s="8" t="str">
        <f>IFERROR(__xludf.DUMMYFUNCTION("""COMPUTED_VALUE"""),"Formal Method; Requirement Modeling; Requirement V&amp;V")</f>
        <v>Formal Method; Requirement Modeling; Requirement V&amp;V</v>
      </c>
      <c r="I823" s="10" t="b">
        <v>0</v>
      </c>
      <c r="J823" s="10" t="b">
        <v>0</v>
      </c>
      <c r="K823" s="10" t="b">
        <v>0</v>
      </c>
      <c r="L823" s="10" t="b">
        <v>0</v>
      </c>
      <c r="M823" s="10" t="b">
        <v>0</v>
      </c>
      <c r="N823" s="10" t="b">
        <v>0</v>
      </c>
      <c r="O823" s="11" t="b">
        <f t="shared" si="1"/>
        <v>0</v>
      </c>
      <c r="P823" s="16" t="b">
        <v>0</v>
      </c>
      <c r="Q823" s="7"/>
    </row>
    <row r="824">
      <c r="A824" s="5" t="b">
        <v>1</v>
      </c>
      <c r="B824" s="5" t="s">
        <v>868</v>
      </c>
      <c r="C824" s="6" t="str">
        <f>IFERROR(__xludf.DUMMYFUNCTION("""COMPUTED_VALUE"""),"10.1145/2950290.2950346")</f>
        <v>10.1145/2950290.2950346</v>
      </c>
      <c r="D824" s="7" t="str">
        <f>IFERROR(__xludf.DUMMYFUNCTION("""COMPUTED_VALUE"""),"Ghassabani E.; Gacek A.; Whalen M.W.")</f>
        <v>Ghassabani E.; Gacek A.; Whalen M.W.</v>
      </c>
      <c r="E824" s="7" t="str">
        <f>IFERROR(__xludf.DUMMYFUNCTION("""COMPUTED_VALUE"""),"Efficient generation of inductive validity cores for safety properties")</f>
        <v>Efficient generation of inductive validity cores for safety properties</v>
      </c>
      <c r="F824" s="7" t="str">
        <f>IFERROR(__xludf.DUMMYFUNCTION("""COMPUTED_VALUE"""),"ESEC/FSE")</f>
        <v>ESEC/FSE</v>
      </c>
      <c r="G824" s="7" t="str">
        <f>IFERROR(__xludf.DUMMYFUNCTION("""COMPUTED_VALUE"""),"Symbolic model checkers can construct proofs of properties over very complex models. However, the results reported by the tool when a proof succeeds do not generally provide much insight to the user. It is often useful for users to have traceability infor"&amp;"mation related to the proof: which portions of the model were necessary to construct it. This traceability information can be used to diagnose a variety of modeling problems such as overconstrained axioms and underconstrained properties, and can also be u"&amp;"sed to measure completeness of a set of requirements over a model. In this paper, we present a new algorithm to efficiently compute the inductive validity core (IVC) within a model necessary for inductive proofs of safety properties for sequential systems"&amp;". The algorithm is based on the UNSAT core support built into current SMT solvers and a novel encoding of the inductive problem to try to generate a minimal inductive validity core. We prove our algorithm is correct, and describe its implementation in the"&amp;" JKind model checker for Lustre models. We then present an experiment in which we benchmark the algorithm in terms of speed, diversity of produced cores, and minimality, with promising results. © 2016 ACM.")</f>
        <v>Symbolic model checkers can construct proofs of properties over very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and can also be used to measure completeness of a set of requirements over a model. In this paper, we present a new algorithm to efficiently compute the inductive validity core (IVC) within a model necessary for inductive proofs of safety properties for sequential systems. The algorithm is based on the UNSAT core support built into current SMT solvers and a novel encoding of the inductive problem to try to generate a minimal inductive validity core. We prove our algorithm is correct, and describe its implementation in the JKind model checker for Lustre models. We then present an experiment in which we benchmark the algorithm in terms of speed, diversity of produced cores, and minimality, with promising results. © 2016 ACM.</v>
      </c>
      <c r="H824" s="8" t="str">
        <f>IFERROR(__xludf.DUMMYFUNCTION("""COMPUTED_VALUE"""),"IC3/PDR; K-Induction; Requirements Completeness; Traceability")</f>
        <v>IC3/PDR; K-Induction; Requirements Completeness; Traceability</v>
      </c>
      <c r="I824" s="10" t="b">
        <v>0</v>
      </c>
      <c r="J824" s="10" t="b">
        <v>0</v>
      </c>
      <c r="K824" s="10" t="b">
        <v>0</v>
      </c>
      <c r="L824" s="10" t="b">
        <v>0</v>
      </c>
      <c r="M824" s="10" t="b">
        <v>0</v>
      </c>
      <c r="N824" s="10" t="b">
        <v>0</v>
      </c>
      <c r="O824" s="11" t="b">
        <f t="shared" si="1"/>
        <v>0</v>
      </c>
      <c r="P824" s="16" t="b">
        <v>0</v>
      </c>
      <c r="Q824" s="7"/>
    </row>
    <row r="825">
      <c r="A825" s="5" t="b">
        <v>1</v>
      </c>
      <c r="B825" s="5" t="s">
        <v>869</v>
      </c>
      <c r="C825" s="6" t="str">
        <f>IFERROR(__xludf.DUMMYFUNCTION("""COMPUTED_VALUE"""),"10.1145/2025113.2025169")</f>
        <v>10.1145/2025113.2025169</v>
      </c>
      <c r="D825" s="7" t="str">
        <f>IFERROR(__xludf.DUMMYFUNCTION("""COMPUTED_VALUE"""),"Schur M.")</f>
        <v>Schur M.</v>
      </c>
      <c r="E825" s="7" t="str">
        <f>IFERROR(__xludf.DUMMYFUNCTION("""COMPUTED_VALUE"""),"Experimental specification mining for enterprise applications")</f>
        <v>Experimental specification mining for enterprise applications</v>
      </c>
      <c r="F825" s="7" t="str">
        <f>IFERROR(__xludf.DUMMYFUNCTION("""COMPUTED_VALUE"""),"ESEC/FSE")</f>
        <v>ESEC/FSE</v>
      </c>
      <c r="G825" s="7" t="str">
        <f>IFERROR(__xludf.DUMMYFUNCTION("""COMPUTED_VALUE"""),"Specification mining infers abstractions over a set of program execution traces. Whereas inductive approaches to specification mining rely on a given set of execution traces, experimental approaches systematically generate and execute test cases to infer "&amp;"rich models including uncommon and exceptional behavior. State-of-the-art experimental mining approaches infer low-level models representing the behavior of single classes. This paper proposes an approach for inferring models of built-in processes in ente"&amp;"rprise systems based on systematic scenario test generation. The paper motivates the approach, sketches the relevant concepts and challenges, and discusses related work. © 2011 ACM.")</f>
        <v>Specification mining infers abstractions over a set of program execution traces. Whereas inductive approaches to specification mining rely on a given set of execution traces, experimental approaches systematically generate and execute test cases to infer rich models including uncommon and exceptional behavior. State-of-the-art experimental mining approaches infer low-level models representing the behavior of single classes. This paper proposes an approach for inferring models of built-in processes in enterprise systems based on systematic scenario test generation. The paper motivates the approach, sketches the relevant concepts and challenges, and discusses related work. © 2011 ACM.</v>
      </c>
      <c r="H825" s="8" t="str">
        <f>IFERROR(__xludf.DUMMYFUNCTION("""COMPUTED_VALUE"""),"Enterprise applications; Model-based testing; Specification mining; Test case generation")</f>
        <v>Enterprise applications; Model-based testing; Specification mining; Test case generation</v>
      </c>
      <c r="I825" s="10" t="b">
        <v>0</v>
      </c>
      <c r="J825" s="10" t="b">
        <v>0</v>
      </c>
      <c r="K825" s="10" t="b">
        <v>0</v>
      </c>
      <c r="L825" s="10" t="b">
        <v>0</v>
      </c>
      <c r="M825" s="10" t="b">
        <v>0</v>
      </c>
      <c r="N825" s="10" t="b">
        <v>0</v>
      </c>
      <c r="O825" s="11" t="b">
        <f t="shared" si="1"/>
        <v>0</v>
      </c>
      <c r="P825" s="16" t="b">
        <v>0</v>
      </c>
      <c r="Q825" s="7"/>
    </row>
    <row r="826">
      <c r="A826" s="5" t="b">
        <v>1</v>
      </c>
      <c r="B826" s="5" t="s">
        <v>870</v>
      </c>
      <c r="C826" s="6" t="str">
        <f>IFERROR(__xludf.DUMMYFUNCTION("""COMPUTED_VALUE"""),"10.1145/2635868.2635890")</f>
        <v>10.1145/2635868.2635890</v>
      </c>
      <c r="D826" s="7" t="str">
        <f>IFERROR(__xludf.DUMMYFUNCTION("""COMPUTED_VALUE"""),"Krka I.; Brun Y.; Medvidovic N.")</f>
        <v>Krka I.; Brun Y.; Medvidovic N.</v>
      </c>
      <c r="E826" s="7" t="str">
        <f>IFERROR(__xludf.DUMMYFUNCTION("""COMPUTED_VALUE"""),"Automatic mining of specifications from invocation traces and method invariants")</f>
        <v>Automatic mining of specifications from invocation traces and method invariants</v>
      </c>
      <c r="F826" s="7" t="str">
        <f>IFERROR(__xludf.DUMMYFUNCTION("""COMPUTED_VALUE"""),"ESEC/FSE")</f>
        <v>ESEC/FSE</v>
      </c>
      <c r="G826" s="7" t="str">
        <f>IFERROR(__xludf.DUMMYFUNCTION("""COMPUTED_VALUE"""),"Software library documentation often describes individual methods' APIs, but not the intended protocols and method interactions. This can lead to library misuse, and restrict runtime detection of protocol violations and automated verification of software "&amp;"that uses the library. Specification mining, if accurate, can help mitigate these issues, which has led to significant research into new modelinference techniques that produce FSM-based models from program invariants and execution traces. However, there i"&amp;"s currently a lack of empirical studies that, in a principled way, measure the impact of the inference strategies on model quality. To this end, we identify four such strategies and systematically study the quality of the models they produce for nine off-"&amp;"the-shelf libraries. We find that (1) using invariants to infer an initial model significantly improves model quality, increasing precision by 4% and recall by 41%, on average; (2) effective invariant filtering is crucial for quality and scalability of st"&amp;"rategies that use invariants; and (3) using traces in combination with invariants greatly improves robustness to input noise. We present our empirical evaluation, implement new and extend existing model-inference techniques, and make public our implementa"&amp;"tions, ground-truth models, and experimental data. Our work can lead to higher-quality model inference, and directly improve the techniques and tools that rely on model inference. Copyright 2014 ACM.")</f>
        <v>Software library documentation often describes individual methods' APIs, but not the intended protocols and method interactions. This can lead to library misuse, and restrict runtime detection of protocol violations and automated verification of software that uses the library. Specification mining, if accurate, can help mitigate these issues, which has led to significant research into new modelinference techniques that produce FSM-based models from program invariants and execution traces. However, there is currently a lack of empirical studies that, in a principled way, measure the impact of the inference strategies on model quality. To this end, we identify four such strategies and systematically study the quality of the models they produce for nine off-the-shelf libraries. We find that (1) using invariants to infer an initial model significantly improves model quality, increasing precision by 4% and recall by 41%, on average; (2) effective invariant filtering is crucial for quality and scalability of strategies that use invariants; and (3) using traces in combination with invariants greatly improves robustness to input noise. We present our empirical evaluation, implement new and extend existing model-inference techniques, and make public our implementations, ground-truth models, and experimental data. Our work can lead to higher-quality model inference, and directly improve the techniques and tools that rely on model inference. Copyright 2014 ACM.</v>
      </c>
      <c r="H826" s="8" t="str">
        <f>IFERROR(__xludf.DUMMYFUNCTION("""COMPUTED_VALUE"""),"Execution traces; Log analysis; Model inference")</f>
        <v>Execution traces; Log analysis; Model inference</v>
      </c>
      <c r="I826" s="10" t="b">
        <v>0</v>
      </c>
      <c r="J826" s="10" t="b">
        <v>0</v>
      </c>
      <c r="K826" s="10" t="b">
        <v>0</v>
      </c>
      <c r="L826" s="10" t="b">
        <v>0</v>
      </c>
      <c r="M826" s="10" t="b">
        <v>0</v>
      </c>
      <c r="N826" s="10" t="b">
        <v>0</v>
      </c>
      <c r="O826" s="11" t="b">
        <f t="shared" si="1"/>
        <v>0</v>
      </c>
      <c r="P826" s="16" t="b">
        <v>0</v>
      </c>
      <c r="Q826" s="7"/>
    </row>
    <row r="827">
      <c r="A827" s="5" t="b">
        <v>1</v>
      </c>
      <c r="B827" s="5" t="s">
        <v>871</v>
      </c>
      <c r="C827" s="6" t="str">
        <f>IFERROR(__xludf.DUMMYFUNCTION("""COMPUTED_VALUE"""),"10.1145/587065.587067")</f>
        <v>10.1145/587065.587067</v>
      </c>
      <c r="D827" s="7" t="str">
        <f>IFERROR(__xludf.DUMMYFUNCTION("""COMPUTED_VALUE"""),"Chu-Carroll M.C.; Wright J.; Shields D.")</f>
        <v>Chu-Carroll M.C.; Wright J.; Shields D.</v>
      </c>
      <c r="E827" s="7" t="str">
        <f>IFERROR(__xludf.DUMMYFUNCTION("""COMPUTED_VALUE"""),"Supporting aggregation in fine grained software configuration management")</f>
        <v>Supporting aggregation in fine grained software configuration management</v>
      </c>
      <c r="F827" s="7" t="str">
        <f>IFERROR(__xludf.DUMMYFUNCTION("""COMPUTED_VALUE"""),"ESEC/FSE")</f>
        <v>ESEC/FSE</v>
      </c>
      <c r="G827" s="7" t="str">
        <f>IFERROR(__xludf.DUMMYFUNCTION("""COMPUTED_VALUE"""),"Fine-grained software configuration management offers substantial benefits for large-scale collaborative software development, enabling a variety of interesting and useful features including complexity management, support for aspect-oriented software deve"&amp;"lopment, and support for communication and coordination within software engineering teams, as described in [4]. However, fine granularity by itself is not sufficient to achieve these benefits. Most of the benefits of fine granularity result from the abili"&amp;"ty to combine fine-grained artifacts in various ways: supporting multiple overlapping organizations of program source by combining fine-grained artifacts into virtual source files (VSFs); supporting coordination by allowing developers to precisely mark th"&amp;"e set of artifacts affected by a change; associating products from different phases of the development process; etc. In this paper, we describe how a general aggregation mechanism can be used to support the various functionality enabled by fine grained SC"&amp;"M. We present a set of requirements that an aggregation facility must provide in order to yield these benefits, and we provide a description of the implementation of such an aggregation system in our experimental SCM system.")</f>
        <v>Fine-grained software configuration management offers substantial benefits for large-scale collaborative software development, enabling a variety of interesting and useful features including complexity management, support for aspect-oriented software development, and support for communication and coordination within software engineering teams, as described in [4]. However, fine granularity by itself is not sufficient to achieve these benefits. Most of the benefits of fine granularity result from the ability to combine fine-grained artifacts in various ways: supporting multiple overlapping organizations of program source by combining fine-grained artifacts into virtual source files (VSFs); supporting coordination by allowing developers to precisely mark the set of artifacts affected by a change; associating products from different phases of the development process; etc. In this paper, we describe how a general aggregation mechanism can be used to support the various functionality enabled by fine grained SCM. We present a set of requirements that an aggregation facility must provide in order to yield these benefits, and we provide a description of the implementation of such an aggregation system in our experimental SCM system.</v>
      </c>
      <c r="H827" s="8" t="str">
        <f>IFERROR(__xludf.DUMMYFUNCTION("""COMPUTED_VALUE"""),"Aggregation; Dynamic program organization; Fine grained storage")</f>
        <v>Aggregation; Dynamic program organization; Fine grained storage</v>
      </c>
      <c r="I827" s="10" t="b">
        <v>0</v>
      </c>
      <c r="J827" s="10" t="b">
        <v>0</v>
      </c>
      <c r="K827" s="10" t="b">
        <v>0</v>
      </c>
      <c r="L827" s="10" t="b">
        <v>0</v>
      </c>
      <c r="M827" s="10" t="b">
        <v>0</v>
      </c>
      <c r="N827" s="10" t="b">
        <v>0</v>
      </c>
      <c r="O827" s="11" t="b">
        <f t="shared" si="1"/>
        <v>0</v>
      </c>
      <c r="P827" s="16" t="b">
        <v>0</v>
      </c>
      <c r="Q827" s="7"/>
    </row>
    <row r="828">
      <c r="A828" s="5" t="b">
        <v>1</v>
      </c>
      <c r="B828" s="5" t="s">
        <v>872</v>
      </c>
      <c r="C828" s="6" t="str">
        <f>IFERROR(__xludf.DUMMYFUNCTION("""COMPUTED_VALUE"""),"10.1145/3468264.3473117")</f>
        <v>10.1145/3468264.3473117</v>
      </c>
      <c r="D828" s="7" t="str">
        <f>IFERROR(__xludf.DUMMYFUNCTION("""COMPUTED_VALUE"""),"Yang Z.; Asyrofi M.H.; Lo D.")</f>
        <v>Yang Z.; Asyrofi M.H.; Lo D.</v>
      </c>
      <c r="E828" s="7" t="str">
        <f>IFERROR(__xludf.DUMMYFUNCTION("""COMPUTED_VALUE"""),"BiasRV: Uncovering biased sentiment predictions at runtime")</f>
        <v>BiasRV: Uncovering biased sentiment predictions at runtime</v>
      </c>
      <c r="F828" s="7" t="str">
        <f>IFERROR(__xludf.DUMMYFUNCTION("""COMPUTED_VALUE"""),"ESEC/FSE")</f>
        <v>ESEC/FSE</v>
      </c>
      <c r="G828" s="7" t="str">
        <f>IFERROR(__xludf.DUMMYFUNCTION("""COMPUTED_VALUE"""),"Sentiment analysis (SA) systems, though widely applied in many domains, have been demonstrated to produce biased results. Some research works have been done in automatically generating test cases to reveal unfairness in SA systems, but the community still"&amp;" lacks tools that can monitor and uncover biased predictions at runtime. This paper fills this gap by proposing BiasRV, the first tool to raise an alarm when a deployed SA system makes a biased prediction on a given input text. To implement this feature, "&amp;"BiasRV dynamically extracts a template from an input text and generates gender-discriminatory mutants (semantically-equivalent texts that only differ in gender information) from the template. Based on popular metrics used to evaluate the overall fairness "&amp;"of an SA system, we define the distributional fairness property for an individual prediction of an SA system. This property specifies a requirement that for one piece of text, mutants from different gender classes should be treated similarly. Verifying th"&amp;"e distributional fairness property causes much overhead to the running system. To run more efficiently, BiasRV adopts a two-step heuristic: (1) sampling several mutants from each gender and checking if the system predicts them as of the same sentiment, (2"&amp;") checking distributional fairness only when sampled mutants have conflicting results. Experiments show that when compared to directly checking the distributional fairness property for each input text, our two-step heuristic can decrease the overhead used"&amp;" for analyzing mutants by 73.81% while only resulting in 6.7% of biased predictions being missed. Besides, BiasRV can be used conveniently without knowing the implementation of SA systems. Future researchers can easily extend BiasRV to detect more types o"&amp;"f bias, e.g., race and occupation. The demo video for BiasRV can be viewed at https://youtu.be/WPe4Ml77d3U and the source code can be found at https://github.com/soarsmu/BiasRV.  © 2021 ACM.")</f>
        <v>Sentiment analysis (SA) systems, though widely applied in many domains, have been demonstrated to produce biased results. Some research works have been done in automatically generating test cases to reveal unfairness in SA systems, but the community still lacks tools that can monitor and uncover biased predictions at runtime. This paper fills this gap by proposing BiasRV, the first tool to raise an alarm when a deployed SA system makes a biased prediction on a given input text. To implement this feature, BiasRV dynamically extracts a template from an input text and generates gender-discriminatory mutants (semantically-equivalent texts that only differ in gender information) from the template. Based on popular metrics used to evaluate the overall fairness of an SA system, we define the distributional fairness property for an individual prediction of an SA system. This property specifies a requirement that for one piece of text, mutants from different gender classes should be treated similarly. Verifying the distributional fairness property causes much overhead to the running system. To run more efficiently, BiasRV adopts a two-step heuristic: (1) sampling several mutants from each gender and checking if the system predicts them as of the same sentiment, (2) checking distributional fairness only when sampled mutants have conflicting results. Experiments show that when compared to directly checking the distributional fairness property for each input text, our two-step heuristic can decrease the overhead used for analyzing mutants by 73.81% while only resulting in 6.7% of biased predictions being missed. Besides, BiasRV can be used conveniently without knowing the implementation of SA systems. Future researchers can easily extend BiasRV to detect more types of bias, e.g., race and occupation. The demo video for BiasRV can be viewed at https://youtu.be/WPe4Ml77d3U and the source code can be found at https://github.com/soarsmu/BiasRV.  © 2021 ACM.</v>
      </c>
      <c r="H828" s="8" t="str">
        <f>IFERROR(__xludf.DUMMYFUNCTION("""COMPUTED_VALUE"""),"Ethical AI; Fairness; Runtime Verification; Sentiment Analysis")</f>
        <v>Ethical AI; Fairness; Runtime Verification; Sentiment Analysis</v>
      </c>
      <c r="I828" s="10" t="b">
        <v>0</v>
      </c>
      <c r="J828" s="10" t="b">
        <v>0</v>
      </c>
      <c r="K828" s="10" t="b">
        <v>0</v>
      </c>
      <c r="L828" s="10" t="b">
        <v>0</v>
      </c>
      <c r="M828" s="10" t="b">
        <v>0</v>
      </c>
      <c r="N828" s="10" t="b">
        <v>0</v>
      </c>
      <c r="O828" s="11" t="b">
        <f t="shared" si="1"/>
        <v>0</v>
      </c>
      <c r="P828" s="16" t="b">
        <v>0</v>
      </c>
      <c r="Q828" s="7"/>
    </row>
    <row r="829">
      <c r="A829" s="5" t="b">
        <v>1</v>
      </c>
      <c r="B829" s="5" t="s">
        <v>873</v>
      </c>
      <c r="C829" s="6" t="str">
        <f>IFERROR(__xludf.DUMMYFUNCTION("""COMPUTED_VALUE"""),"10.1145/3368089.3417039")</f>
        <v>10.1145/3368089.3417039</v>
      </c>
      <c r="D829" s="7" t="str">
        <f>IFERROR(__xludf.DUMMYFUNCTION("""COMPUTED_VALUE"""),"Nguyen-Duc A.; Abrahamsson P.")</f>
        <v>Nguyen-Duc A.; Abrahamsson P.</v>
      </c>
      <c r="E829" s="7" t="str">
        <f>IFERROR(__xludf.DUMMYFUNCTION("""COMPUTED_VALUE"""),"Continuous experimentation on artificial intelligence software: A research agenda")</f>
        <v>Continuous experimentation on artificial intelligence software: A research agenda</v>
      </c>
      <c r="F829" s="7" t="str">
        <f>IFERROR(__xludf.DUMMYFUNCTION("""COMPUTED_VALUE"""),"ESEC/FSE")</f>
        <v>ESEC/FSE</v>
      </c>
      <c r="G829" s="7" t="str">
        <f>IFERROR(__xludf.DUMMYFUNCTION("""COMPUTED_VALUE"""),"Moving from experiments to industrial level AI software development requires a shift from understanding AI/ ML model attributes as a standalone experiment to know-how integrating and operating AI models in a large-scale software system. It is a growing de"&amp;"mand for adopting state-of-the-art software engineering paradigms into AI development, so that the development efforts can be aligned with business strategies in a lean and fast-paced manner. We describe AI development as an ""unknown unknown""problem whe"&amp;"re both business needs and AI models evolve over time. We describe a holistic view of an iterative, continuous approach to develop industrial AI software basing on business goals, requirements and Minimum Viable Products. From this, five areas of challeng"&amp;"es are presented with the focus on experimentation. In the end, we propose a research agenda with seven questions for future studies. © 2020 ACM.")</f>
        <v>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 © 2020 ACM.</v>
      </c>
      <c r="H829" s="8" t="str">
        <f>IFERROR(__xludf.DUMMYFUNCTION("""COMPUTED_VALUE"""),"AI software; AI system; Continuous Experimentation; Industrial Artificial Intelligence")</f>
        <v>AI software; AI system; Continuous Experimentation; Industrial Artificial Intelligence</v>
      </c>
      <c r="I829" s="10" t="b">
        <v>0</v>
      </c>
      <c r="J829" s="10" t="b">
        <v>0</v>
      </c>
      <c r="K829" s="10" t="b">
        <v>0</v>
      </c>
      <c r="L829" s="10" t="b">
        <v>0</v>
      </c>
      <c r="M829" s="10" t="b">
        <v>0</v>
      </c>
      <c r="N829" s="10" t="b">
        <v>0</v>
      </c>
      <c r="O829" s="11" t="b">
        <f t="shared" si="1"/>
        <v>0</v>
      </c>
      <c r="P829" s="16" t="b">
        <v>0</v>
      </c>
      <c r="Q829" s="7"/>
    </row>
    <row r="830">
      <c r="A830" s="5" t="b">
        <v>1</v>
      </c>
      <c r="B830" s="5" t="s">
        <v>874</v>
      </c>
      <c r="C830" s="6"/>
      <c r="D830" s="7" t="str">
        <f>IFERROR(__xludf.DUMMYFUNCTION("""COMPUTED_VALUE"""),"Dickinson W.; Leon D.; Podgurski A.")</f>
        <v>Dickinson W.; Leon D.; Podgurski A.</v>
      </c>
      <c r="E830" s="7" t="str">
        <f>IFERROR(__xludf.DUMMYFUNCTION("""COMPUTED_VALUE"""),"Pursuing failure: The distribution of program failures in a profile space")</f>
        <v>Pursuing failure: The distribution of program failures in a profile space</v>
      </c>
      <c r="F830" s="7" t="str">
        <f>IFERROR(__xludf.DUMMYFUNCTION("""COMPUTED_VALUE"""),"ESEC/FSE")</f>
        <v>ESEC/FSE</v>
      </c>
      <c r="G830" s="7" t="str">
        <f>IFERROR(__xludf.DUMMYFUNCTION("""COMPUTED_VALUE"""),"Observation-based testing calls for analyzing profiles of executions induced by potential test cases, in order to select a subset of executions to be checked for conformance to requirements. A family of techniques for selecting such a subset is evaluated "&amp;"experimentally. These techniques employ automatic cluster analysis to partition executions, and they use various sampling techniques to select executions from clusters. The experimental results support the hypothesis that with appropriate profiling, failu"&amp;"res often have unusual profiles that are revealed by cluster analysis. The results also suggest that failures often form small clusters or chains in sparsely-populated areas of the profile space. A form of adaptive sampling called failure-pursuit sampling"&amp;" is proposed for revealing failures in such regions, and this sampling method is evaluated experimentally. The results suggest that failure-pursuit sampling is effective.")</f>
        <v>Observation-based testing calls for analyzing profiles of executions induced by potential test cases, in order to select a subset of executions to be checked for conformance to requirements. A family of techniques for selecting such a subset is evaluated experimentally. These techniques employ automatic cluster analysis to partition executions, and they use various sampling techniques to select executions from clusters. The experimental results support the hypothesis that with appropriate profiling, failures often have unusual profiles that are revealed by cluster analysis. The results also suggest that failures often form small clusters or chains in sparsely-populated areas of the profile space. A form of adaptive sampling called failure-pursuit sampling is proposed for revealing failures in such regions, and this sampling method is evaluated experimentally. The results suggest that failure-pursuit sampling is effective.</v>
      </c>
      <c r="H830" s="8" t="str">
        <f>IFERROR(__xludf.DUMMYFUNCTION("""COMPUTED_VALUE"""),"Adaptive sampling; Cluster analysis; Cluster filtering; Failure-pursuit sampling; Multivariate data analysis; Observation-based testing; Software testing")</f>
        <v>Adaptive sampling; Cluster analysis; Cluster filtering; Failure-pursuit sampling; Multivariate data analysis; Observation-based testing; Software testing</v>
      </c>
      <c r="I830" s="10" t="b">
        <v>0</v>
      </c>
      <c r="J830" s="10" t="b">
        <v>0</v>
      </c>
      <c r="K830" s="10" t="b">
        <v>0</v>
      </c>
      <c r="L830" s="10" t="b">
        <v>0</v>
      </c>
      <c r="M830" s="10" t="b">
        <v>0</v>
      </c>
      <c r="N830" s="10" t="b">
        <v>0</v>
      </c>
      <c r="O830" s="11" t="b">
        <f t="shared" si="1"/>
        <v>0</v>
      </c>
      <c r="P830" s="16" t="b">
        <v>0</v>
      </c>
      <c r="Q830" s="7"/>
    </row>
    <row r="831">
      <c r="A831" s="5" t="b">
        <v>1</v>
      </c>
      <c r="B831" s="5" t="s">
        <v>875</v>
      </c>
      <c r="C831" s="6" t="str">
        <f>IFERROR(__xludf.DUMMYFUNCTION("""COMPUTED_VALUE"""),"10.1145/2491411.2491429")</f>
        <v>10.1145/2491411.2491429</v>
      </c>
      <c r="D831" s="7" t="str">
        <f>IFERROR(__xludf.DUMMYFUNCTION("""COMPUTED_VALUE"""),"Beyer D.; Löwe S.; Novikov E.; Stahlbauer A.; Wendler P.")</f>
        <v>Beyer D.; Löwe S.; Novikov E.; Stahlbauer A.; Wendler P.</v>
      </c>
      <c r="E831" s="7" t="str">
        <f>IFERROR(__xludf.DUMMYFUNCTION("""COMPUTED_VALUE"""),"Precision reuse for efficient regression verification")</f>
        <v>Precision reuse for efficient regression verification</v>
      </c>
      <c r="F831" s="7" t="str">
        <f>IFERROR(__xludf.DUMMYFUNCTION("""COMPUTED_VALUE"""),"ESEC/FSE")</f>
        <v>ESEC/FSE</v>
      </c>
      <c r="G831" s="7" t="str">
        <f>IFERROR(__xludf.DUMMYFUNCTION("""COMPUTED_VALUE"""),"Continuous testing during development is a well-established technique for software-quality assurance. Continuous model checking from revision to revision is not yet established as a standard practice, because the enormous resource consumption makes its ap"&amp;"plication impractical. Model checkers compute a large number of verification facts that are necessary for verifying if a given specification holds. We have identified a category of such intermediate results that are easy to store and efficient to reuse: a"&amp;"bstraction precisions. The precision of an abstract domain specifies the level of abstraction that the analysis works on. Precisions are thus a precious result of the verification effort and it is a waste of resources to throw them away after each verific"&amp;"ation run. In particular, precisions are reasonably small and thus easy to store; they are easy to process and have a large impact on resource consumption. We experimentally show the impact of precision reuse on industrial verification problems created fr"&amp;"om 62 Linux kernel device drivers with 1 119 revisions. Copyright 2013 ACM.")</f>
        <v>Continuous testing during development is a well-established technique for software-quality assurance. Continuous model checking from revision to revision is not yet established as a standard practice, because the enormous resource consumption makes its application impractical. Model checkers compute a large number of verification facts that are necessary for verifying if a given specification holds. We have identified a category of such intermediate results that are easy to store and efficient to reuse: abstraction precisions. The precision of an abstract domain specifies the level of abstraction that the analysis works on. Precisions are thus a precious result of the verification effort and it is a waste of resources to throw them away after each verification run. In particular, precisions are reasonably small and thus easy to store; they are easy to process and have a large impact on resource consumption. We experimentally show the impact of precision reuse on industrial verification problems created from 62 Linux kernel device drivers with 1 119 revisions. Copyright 2013 ACM.</v>
      </c>
      <c r="H831" s="8" t="str">
        <f>IFERROR(__xludf.DUMMYFUNCTION("""COMPUTED_VALUE"""),"Formal verification; Regression checking")</f>
        <v>Formal verification; Regression checking</v>
      </c>
      <c r="I831" s="10" t="b">
        <v>0</v>
      </c>
      <c r="J831" s="10" t="b">
        <v>0</v>
      </c>
      <c r="K831" s="10" t="b">
        <v>0</v>
      </c>
      <c r="L831" s="10" t="b">
        <v>0</v>
      </c>
      <c r="M831" s="10" t="b">
        <v>0</v>
      </c>
      <c r="N831" s="10" t="b">
        <v>0</v>
      </c>
      <c r="O831" s="11" t="b">
        <f t="shared" si="1"/>
        <v>0</v>
      </c>
      <c r="P831" s="16" t="b">
        <v>0</v>
      </c>
      <c r="Q831" s="7"/>
    </row>
    <row r="832">
      <c r="A832" s="5" t="b">
        <v>1</v>
      </c>
      <c r="B832" s="5" t="s">
        <v>876</v>
      </c>
      <c r="C832" s="6" t="str">
        <f>IFERROR(__xludf.DUMMYFUNCTION("""COMPUTED_VALUE"""),"10.1145/3540250.3558965")</f>
        <v>10.1145/3540250.3558965</v>
      </c>
      <c r="D832" s="7" t="str">
        <f>IFERROR(__xludf.DUMMYFUNCTION("""COMPUTED_VALUE"""),"Shen S.; Zhu X.; Dong Y.; Guo Q.; Zhen Y.; Li G.")</f>
        <v>Shen S.; Zhu X.; Dong Y.; Guo Q.; Zhen Y.; Li G.</v>
      </c>
      <c r="E832" s="7" t="str">
        <f>IFERROR(__xludf.DUMMYFUNCTION("""COMPUTED_VALUE"""),"Incorporating domain knowledge through task augmentation for front-end JavaScript code generation")</f>
        <v>Incorporating domain knowledge through task augmentation for front-end JavaScript code generation</v>
      </c>
      <c r="F832" s="7" t="str">
        <f>IFERROR(__xludf.DUMMYFUNCTION("""COMPUTED_VALUE"""),"ESEC/FSE")</f>
        <v>ESEC/FSE</v>
      </c>
      <c r="G832" s="7" t="str">
        <f>IFERROR(__xludf.DUMMYFUNCTION("""COMPUTED_VALUE"""),"Code generation aims to generate a code snippet automatically from natural language descriptions. Generally, the mainstream code generation methods rely on a large amount of paired training data, including both the natural language description and the cod"&amp;"e. However, in some domain-specific scenarios, building such a large paired corpus for code generation is difficult because there is no directly available pairing data, and a lot of effort is required to manually write the code descriptions to construct a"&amp;" high-quality training dataset. Due to the limited training data, the generation model cannot be well trained and is likely to be overfitting, making the model's performance unsatisfactory for real-world use. To this end, in this paper, we propose a task "&amp;"augmentation method that incorporates domain knowledge into code generation models through auxiliary tasks and a Subtoken-TranX model by extending the original TranX model to support subtoken-level code generation. To verify our proposed approach, we coll"&amp;"ect a real-world code generation dataset and conduct experiments on it. Our experimental results demonstrate that the subtoken-level TranX model outperforms the original TranX model and the Transformer model on our dataset, and the exact match accuracy of"&amp;" Subtoken-TranX improves significantly by 12.75% with the help of our task augmentation method. The model performance on several code categories has satisfied the requirements for application in industrial systems. Our proposed approach has been adopted b"&amp;"y Alibaba's BizCook platform. To the best of our knowledge, this is the first domain code generation system adopted in industrial development environments.  © 2022 ACM.")</f>
        <v>Code generation aims to generate a code snippet automatically from natural language descriptions. Generally, the mainstream code generation methods rely on a large amount of paired training data, including both the natural language description and the code. However, in some domain-specific scenarios, building such a large paired corpus for code generation is difficult because there is no directly available pairing data, and a lot of effort is required to manually write the code descriptions to construct a high-quality training dataset. Due to the limited training data, the generation model cannot be well trained and is likely to be overfitting, making the model's performance unsatisfactory for real-world use. To this end, in this paper, we propose a task augmentation method that incorporates domain knowledge into code generation models through auxiliary tasks and a Subtoken-TranX model by extending the original TranX model to support subtoken-level code generation. To verify our proposed approach, we collect a real-world code generation dataset and conduct experiments on it. Our experimental results demonstrate that the subtoken-level TranX model outperforms the original TranX model and the Transformer model on our dataset, and the exact match accuracy of Subtoken-TranX improves significantly by 12.75% with the help of our task augmentation method. The model performance on several code categories has satisfied the requirements for application in industrial systems. Our proposed approach has been adopted by Alibaba's BizCook platform. To the best of our knowledge, this is the first domain code generation system adopted in industrial development environments.  © 2022 ACM.</v>
      </c>
      <c r="H832" s="8" t="str">
        <f>IFERROR(__xludf.DUMMYFUNCTION("""COMPUTED_VALUE"""),"Code Generation; Domain Knowledge; Task Augmentation")</f>
        <v>Code Generation; Domain Knowledge; Task Augmentation</v>
      </c>
      <c r="I832" s="10" t="b">
        <v>0</v>
      </c>
      <c r="J832" s="10" t="b">
        <v>0</v>
      </c>
      <c r="K832" s="10" t="b">
        <v>0</v>
      </c>
      <c r="L832" s="10" t="b">
        <v>0</v>
      </c>
      <c r="M832" s="10" t="b">
        <v>0</v>
      </c>
      <c r="N832" s="10" t="b">
        <v>0</v>
      </c>
      <c r="O832" s="11" t="b">
        <f t="shared" si="1"/>
        <v>0</v>
      </c>
      <c r="P832" s="16" t="b">
        <v>0</v>
      </c>
      <c r="Q832" s="7"/>
    </row>
    <row r="833">
      <c r="A833" s="5" t="b">
        <v>1</v>
      </c>
      <c r="B833" s="5" t="s">
        <v>877</v>
      </c>
      <c r="C833" s="6"/>
      <c r="D833" s="7"/>
      <c r="E833" s="7" t="str">
        <f>IFERROR(__xludf.DUMMYFUNCTION("""COMPUTED_VALUE"""),"Proceedings of the ACM SIGSOFT Symposium on the Foundations of Software Engineering")</f>
        <v>Proceedings of the ACM SIGSOFT Symposium on the Foundations of Software Engineering</v>
      </c>
      <c r="F833" s="7" t="str">
        <f>IFERROR(__xludf.DUMMYFUNCTION("""COMPUTED_VALUE"""),"ESEC/FSE")</f>
        <v>ESEC/FSE</v>
      </c>
      <c r="G833" s="7" t="str">
        <f>IFERROR(__xludf.DUMMYFUNCTION("""COMPUTED_VALUE"""),"The proceedings contain 97 papers. The topics discussed include: a fast causal profiler for task parallel programs; on the scalability of linux kernel maintainers' work; finding near-optimal configurations in product lines by random sampling; where is the"&amp;" bug and how is it fixed? an experiment with practitioners; understanding misunderstandings in source code; trade-offs in continuous integration: assurance, security, and flexibility; PATDroid: permission-aware GUI testing of Android; enabling mutation te"&amp;"sting for android apps; attributed variability models: outside the comfort zone; is there a mismatch between real-world feature; models and product-line research?; adaptively generating high quality fixes for atomicity violations; AtexRace: across thread "&amp;"and execution sampling for in-house race detection; a symbolic justice violations transition system for unrealizable GR(1) specifications; why do developers use trivial packages? an empirical case study on npm; continuous variable-specific resolutions of "&amp;"feature interactions; probabilistic model checking of perturbed MDPs with applications to cloud computing; understanding the impact of refactoring on smells: a longitudinal study of 23 software projects; generalized observational slicing for tree-represen"&amp;"ted modelling languages; CodeMatch: obfuscation won�t conceal your repackaged app; and a compiler and verifier for page access oblivious computation.")</f>
        <v>The proceedings contain 97 papers. The topics discussed include: a fast causal profiler for task parallel programs; on the scalability of linux kernel maintainers' work; finding near-optimal configurations in product lines by random sampling; where is the bug and how is it fixed? an experiment with practitioners; understanding misunderstandings in source code; trade-offs in continuous integration: assurance, security, and flexibility; PATDroid: permission-aware GUI testing of Android; enabling mutation testing for android apps; attributed variability models: outside the comfort zone; is there a mismatch between real-world feature; models and product-line research?; adaptively generating high quality fixes for atomicity violations; AtexRace: across thread and execution sampling for in-house race detection; a symbolic justice violations transition system for unrealizable GR(1) specifications; why do developers use trivial packages? an empirical case study on npm; continuous variable-specific resolutions of feature interactions; probabilistic model checking of perturbed MDPs with applications to cloud computing; understanding the impact of refactoring on smells: a longitudinal study of 23 software projects; generalized observational slicing for tree-represented modelling languages; CodeMatch: obfuscation won�t conceal your repackaged app; and a compiler and verifier for page access oblivious computation.</v>
      </c>
      <c r="H833" s="8"/>
      <c r="I833" s="10" t="b">
        <v>0</v>
      </c>
      <c r="J833" s="10" t="b">
        <v>0</v>
      </c>
      <c r="K833" s="10" t="b">
        <v>0</v>
      </c>
      <c r="L833" s="10" t="b">
        <v>0</v>
      </c>
      <c r="M833" s="10" t="b">
        <v>0</v>
      </c>
      <c r="N833" s="10" t="b">
        <v>0</v>
      </c>
      <c r="O833" s="11" t="b">
        <f t="shared" si="1"/>
        <v>0</v>
      </c>
      <c r="P833" s="16" t="b">
        <v>0</v>
      </c>
      <c r="Q833" s="7"/>
    </row>
    <row r="834">
      <c r="A834" s="5" t="b">
        <v>1</v>
      </c>
      <c r="B834" s="5" t="s">
        <v>878</v>
      </c>
      <c r="C834" s="6" t="str">
        <f>IFERROR(__xludf.DUMMYFUNCTION("""COMPUTED_VALUE"""),"10.1145/1287624.1287699")</f>
        <v>10.1145/1287624.1287699</v>
      </c>
      <c r="D834" s="7" t="str">
        <f>IFERROR(__xludf.DUMMYFUNCTION("""COMPUTED_VALUE"""),"Zhou X.; Liu Y.; Zhu J.")</f>
        <v>Zhou X.; Liu Y.; Zhu J.</v>
      </c>
      <c r="E834" s="7" t="str">
        <f>IFERROR(__xludf.DUMMYFUNCTION("""COMPUTED_VALUE"""),"A segment-based approach for reconcilable model transformation")</f>
        <v>A segment-based approach for reconcilable model transformation</v>
      </c>
      <c r="F834" s="7" t="str">
        <f>IFERROR(__xludf.DUMMYFUNCTION("""COMPUTED_VALUE"""),"ESEC/FSE")</f>
        <v>ESEC/FSE</v>
      </c>
      <c r="G834" s="7" t="str">
        <f>IFERROR(__xludf.DUMMYFUNCTION("""COMPUTED_VALUE"""),"Model transformation transforms a high level source model into the skeleton of a low level target model, thereafter developers continue to refine and concretize the skeleton. With the changing requirements, the source model will be consequently modified a"&amp;"nd such modification should be reflected incrementally in the refined target model. This paper presents an end-to-end segment-based reconcilable model transformation approach to identify the conflict between source model changes and target model changes a"&amp;"nd generate a new target model which accommodates all the changes if no conflict exists. The approach is experimented in three real transformation cases. Copyright 2007 ACM.")</f>
        <v>Model transformation transforms a high level source model into the skeleton of a low level target model, thereafter developers continue to refine and concretize the skeleton. With the changing requirements, the source model will be consequently modified and such modification should be reflected incrementally in the refined target model. This paper presents an end-to-end segment-based reconcilable model transformation approach to identify the conflict between source model changes and target model changes and generate a new target model which accommodates all the changes if no conflict exists. The approach is experimented in three real transformation cases. Copyright 2007 ACM.</v>
      </c>
      <c r="H834" s="8" t="str">
        <f>IFERROR(__xludf.DUMMYFUNCTION("""COMPUTED_VALUE"""),"Model driven development; Model segment; Model transformation; Reconcilable model transformation; Transformation linkage")</f>
        <v>Model driven development; Model segment; Model transformation; Reconcilable model transformation; Transformation linkage</v>
      </c>
      <c r="I834" s="10" t="b">
        <v>0</v>
      </c>
      <c r="J834" s="10" t="b">
        <v>0</v>
      </c>
      <c r="K834" s="10" t="b">
        <v>0</v>
      </c>
      <c r="L834" s="10" t="b">
        <v>0</v>
      </c>
      <c r="M834" s="10" t="b">
        <v>0</v>
      </c>
      <c r="N834" s="10" t="b">
        <v>0</v>
      </c>
      <c r="O834" s="11" t="b">
        <f t="shared" si="1"/>
        <v>0</v>
      </c>
      <c r="P834" s="16" t="b">
        <v>0</v>
      </c>
      <c r="Q834" s="7"/>
    </row>
    <row r="835">
      <c r="A835" s="5" t="b">
        <v>1</v>
      </c>
      <c r="B835" s="5" t="s">
        <v>879</v>
      </c>
      <c r="C835" s="6" t="str">
        <f>IFERROR(__xludf.DUMMYFUNCTION("""COMPUTED_VALUE"""),"10.1145/2786805.2803198")</f>
        <v>10.1145/2786805.2803198</v>
      </c>
      <c r="D835" s="7" t="str">
        <f>IFERROR(__xludf.DUMMYFUNCTION("""COMPUTED_VALUE"""),"Busany N.; Maoz S.")</f>
        <v>Busany N.; Maoz S.</v>
      </c>
      <c r="E835" s="7" t="str">
        <f>IFERROR(__xludf.DUMMYFUNCTION("""COMPUTED_VALUE"""),"Behavioral log analysis with statistical guarantees")</f>
        <v>Behavioral log analysis with statistical guarantees</v>
      </c>
      <c r="F835" s="7" t="str">
        <f>IFERROR(__xludf.DUMMYFUNCTION("""COMPUTED_VALUE"""),"ESEC/FSE")</f>
        <v>ESEC/FSE</v>
      </c>
      <c r="G835" s="7" t="str">
        <f>IFERROR(__xludf.DUMMYFUNCTION("""COMPUTED_VALUE"""),"Scalability is a major challenge for existing behavioral log analysis algorithms, which extract finite-state automaton models or temporal properties from logs generated by running systems. In this work we propose to address scalability using statistical t"&amp;"ools. The key to our approach is to consider behavioral log analysis as a statistical experiment. Rather than analyzing the entire log, we suggest to analyze only a sample of traces from the log and, most importantly, provide means to compute statistical "&amp;"guarantees for the correctness of the analysis result. We present two example applications of our approach as well as initial evidence for its effectiveness. © 2015 ACM.")</f>
        <v>Scalability is a major challenge for existing behavioral log analysis algorithms, which extract finite-state automaton models or temporal properties from logs generated by running systems. In this work we propose to address scalability using statistical tools. The key to our approach is to consider behavioral log analysis as a statistical experiment. Rather than analyzing the entire log, we suggest to analyze only a sample of traces from the log and, most importantly, provide means to compute statistical guarantees for the correctness of the analysis result. We present two example applications of our approach as well as initial evidence for its effectiveness. © 2015 ACM.</v>
      </c>
      <c r="H835" s="8" t="str">
        <f>IFERROR(__xludf.DUMMYFUNCTION("""COMPUTED_VALUE"""),"Log analysis; Specification mining")</f>
        <v>Log analysis; Specification mining</v>
      </c>
      <c r="I835" s="10" t="b">
        <v>0</v>
      </c>
      <c r="J835" s="10" t="b">
        <v>0</v>
      </c>
      <c r="K835" s="10" t="b">
        <v>0</v>
      </c>
      <c r="L835" s="10" t="b">
        <v>0</v>
      </c>
      <c r="M835" s="10" t="b">
        <v>0</v>
      </c>
      <c r="N835" s="10" t="b">
        <v>0</v>
      </c>
      <c r="O835" s="11" t="b">
        <f t="shared" si="1"/>
        <v>0</v>
      </c>
      <c r="P835" s="16" t="b">
        <v>0</v>
      </c>
      <c r="Q835" s="7"/>
    </row>
    <row r="836">
      <c r="A836" s="5" t="b">
        <v>1</v>
      </c>
      <c r="B836" s="5" t="s">
        <v>880</v>
      </c>
      <c r="C836" s="6" t="str">
        <f>IFERROR(__xludf.DUMMYFUNCTION("""COMPUTED_VALUE"""),"10.1145/239098.239114")</f>
        <v>10.1145/239098.239114</v>
      </c>
      <c r="D836" s="7" t="str">
        <f>IFERROR(__xludf.DUMMYFUNCTION("""COMPUTED_VALUE"""),"Naumovich Gleb N.; Clarke Lori A.; Osterweil Leon J.")</f>
        <v>Naumovich Gleb N.; Clarke Lori A.; Osterweil Leon J.</v>
      </c>
      <c r="E836" s="7" t="str">
        <f>IFERROR(__xludf.DUMMYFUNCTION("""COMPUTED_VALUE"""),"Verification of communication protocols using data flow analysis")</f>
        <v>Verification of communication protocols using data flow analysis</v>
      </c>
      <c r="F836" s="7" t="str">
        <f>IFERROR(__xludf.DUMMYFUNCTION("""COMPUTED_VALUE"""),"ESEC/FSE")</f>
        <v>ESEC/FSE</v>
      </c>
      <c r="G836" s="7" t="str">
        <f>IFERROR(__xludf.DUMMYFUNCTION("""COMPUTED_VALUE"""),"In this paper we demonstrate the effectiveness of data flow analysis for verifying requirements of communication protocols. Data flow analysis is a static analysis method for increasing confidence in the correctness of software systems by automatically ve"&amp;"rifying that a given software artifact (e.g., design or code) must behave consistently with a specified requirement. In this case study, we apply the FLAVERS data flow analysis tool to pseudocode designs of the three way handshake connection establishment"&amp;" protocol and of the alternating bit protocol and prove that the behavior of the pseudocode is consistent with protocol behavioral requirement specifications. We show how FLAVERS is a particularly effective because it is computationally inexpensive, requi"&amp;"res minimal human interaction, and is a general approach that can be applied incrementally until the desired accuracy is achieved. In addition, we show how assumptions about the environment in which a software system is executed can be incorporated into t"&amp;"he analysis, using message losses as an example. We present experimental results and derive some guidelines about the classes of protocol requirement specifications that may be amenable to verification using FLAVERS.")</f>
        <v>In this paper we demonstrate the effectiveness of data flow analysis for verifying requirements of communication protocols. Data flow analysis is a static analysis method for increasing confidence in the correctness of software systems by automatically verifying that a given software artifact (e.g., design or code) must behave consistently with a specified requirement. In this case study, we apply the FLAVERS data flow analysis tool to pseudocode designs of the three way handshake connection establishment protocol and of the alternating bit protocol and prove that the behavior of the pseudocode is consistent with protocol behavioral requirement specifications. We show how FLAVERS is a particularly effective because it is computationally inexpensive, requires minimal human interaction, and is a general approach that can be applied incrementally until the desired accuracy is achieved. In addition, we show how assumptions about the environment in which a software system is executed can be incorporated into the analysis, using message losses as an example. We present experimental results and derive some guidelines about the classes of protocol requirement specifications that may be amenable to verification using FLAVERS.</v>
      </c>
      <c r="H836" s="8"/>
      <c r="I836" s="10" t="b">
        <v>0</v>
      </c>
      <c r="J836" s="10" t="b">
        <v>0</v>
      </c>
      <c r="K836" s="10" t="b">
        <v>0</v>
      </c>
      <c r="L836" s="10" t="b">
        <v>0</v>
      </c>
      <c r="M836" s="10" t="b">
        <v>0</v>
      </c>
      <c r="N836" s="10" t="b">
        <v>0</v>
      </c>
      <c r="O836" s="11" t="b">
        <f t="shared" si="1"/>
        <v>0</v>
      </c>
      <c r="P836" s="16" t="b">
        <v>0</v>
      </c>
      <c r="Q836" s="7"/>
    </row>
    <row r="837">
      <c r="A837" s="5" t="b">
        <v>1</v>
      </c>
      <c r="B837" s="5" t="s">
        <v>881</v>
      </c>
      <c r="C837" s="6" t="str">
        <f>IFERROR(__xludf.DUMMYFUNCTION("""COMPUTED_VALUE"""),"10.1145/3540250.3549102")</f>
        <v>10.1145/3540250.3549102</v>
      </c>
      <c r="D837" s="7" t="str">
        <f>IFERROR(__xludf.DUMMYFUNCTION("""COMPUTED_VALUE"""),"Chen S.; Liu C.; Haque M.; Song Z.; Yang W.")</f>
        <v>Chen S.; Liu C.; Haque M.; Song Z.; Yang W.</v>
      </c>
      <c r="E837" s="7" t="str">
        <f>IFERROR(__xludf.DUMMYFUNCTION("""COMPUTED_VALUE"""),"NMTSloth: understanding and testing efficiency degradation of neural machine translation systems")</f>
        <v>NMTSloth: understanding and testing efficiency degradation of neural machine translation systems</v>
      </c>
      <c r="F837" s="7" t="str">
        <f>IFERROR(__xludf.DUMMYFUNCTION("""COMPUTED_VALUE"""),"ESEC/FSE")</f>
        <v>ESEC/FSE</v>
      </c>
      <c r="G837" s="7" t="str">
        <f>IFERROR(__xludf.DUMMYFUNCTION("""COMPUTED_VALUE"""),"Neural Machine Translation (NMT) systems have received much recent attention due to their human-level accuracy. While existing works mostly focus on either improving accuracy or testing accuracy robustness, the computation efficiency of NMT systems, which"&amp;" is of paramount importance due to often vast translation demands and real-time requirements, has surprisingly received little attention. In this paper, we make the first attempt to understand and test potential computation efficiency robustness in state-"&amp;"of-the-art NMT systems. By analyzing the working mechanism and implementation of 1455 public-accessible NMT systems, we observe a fundamental property in NMT systems that could be manipulated in an adversarial manner to reduce computation efficiency signi"&amp;"ficantly. Our interesting observation is that the output length determines the computation efficiency of NMT systems instead of the input, where the output length depends on two factors: an often sufficiently large yet pessimistic pre-configured threshold"&amp;" controlling the max number of iterations and a runtime generated end of sentence (EOS) token. Our key motivation is to generate test inputs that could sufficiently delay the generation of EOS such that NMT systems would have to go through enough iteratio"&amp;"ns to satisfy the pre-configured threshold. We present NMTSloth, which develops a gradient-guided technique that searches for a minimal and unnoticeable perturbation at character-level, token-level, and structure-level, which sufficiently delays the appea"&amp;"rance of EOS and forces these inputs to reach the naturally-unreachable threshold. To demonstrate the effectiveness of NMTSloth, we conduct a systematic evaluation on three public-available NMT systems: Google T5, AllenAI WMT14, and Helsinki-NLP translato"&amp;"rs. Experimental results show that NMTSloth can increase NMT systems' response latency and energy consumption by 85% to 3153% and 86% to 3052%, respectively, by perturbing just one character or token in the input sentence. Our case study shows that inputs"&amp;" generated by NMTSloth significantly affect the battery power in real-world mobile devices (i.e., drain more than 30 times battery power than normal inputs).  © 2022 ACM.")</f>
        <v>Neural Machine Translation (NMT) systems have received much recent attention due to their human-level accuracy. While existing works mostly focus on either improving accuracy or testing accuracy robustness, the computation efficiency of NMT systems, which is of paramount importance due to often vast translation demands and real-time requirements, has surprisingly received little attention. In this paper, we make the first attempt to understand and test potential computation efficiency robustness in state-of-the-art NMT systems. By analyzing the working mechanism and implementation of 1455 public-accessible NMT systems, we observe a fundamental property in NMT systems that could be manipulated in an adversarial manner to reduce computation efficiency significantly. Our interesting observation is that the output length determines the computation efficiency of NMT systems instead of the input, where the output length depends on two factors: an often sufficiently large yet pessimistic pre-configured threshold controlling the max number of iterations and a runtime generated end of sentence (EOS) token. Our key motivation is to generate test inputs that could sufficiently delay the generation of EOS such that NMT systems would have to go through enough iterations to satisfy the pre-configured threshold. We present NMTSloth, which develops a gradient-guided technique that searches for a minimal and unnoticeable perturbation at character-level, token-level, and structure-level, which sufficiently delays the appearance of EOS and forces these inputs to reach the naturally-unreachable threshold. To demonstrate the effectiveness of NMTSloth, we conduct a systematic evaluation on three public-available NMT systems: Google T5, AllenAI WMT14, and Helsinki-NLP translators. Experimental results show that NMTSloth can increase NMT systems' response latency and energy consumption by 85% to 3153% and 86% to 3052%, respectively, by perturbing just one character or token in the input sentence. Our case study shows that inputs generated by NMTSloth significantly affect the battery power in real-world mobile devices (i.e., drain more than 30 times battery power than normal inputs).  © 2022 ACM.</v>
      </c>
      <c r="H837" s="8" t="str">
        <f>IFERROR(__xludf.DUMMYFUNCTION("""COMPUTED_VALUE"""),"Machine learning; neural machine translation; software testing")</f>
        <v>Machine learning; neural machine translation; software testing</v>
      </c>
      <c r="I837" s="10" t="b">
        <v>0</v>
      </c>
      <c r="J837" s="10" t="b">
        <v>0</v>
      </c>
      <c r="K837" s="10" t="b">
        <v>0</v>
      </c>
      <c r="L837" s="10" t="b">
        <v>0</v>
      </c>
      <c r="M837" s="10" t="b">
        <v>0</v>
      </c>
      <c r="N837" s="10" t="b">
        <v>0</v>
      </c>
      <c r="O837" s="11" t="b">
        <f t="shared" si="1"/>
        <v>0</v>
      </c>
      <c r="P837" s="16" t="b">
        <v>0</v>
      </c>
      <c r="Q837" s="7"/>
    </row>
    <row r="838">
      <c r="A838" s="5" t="b">
        <v>1</v>
      </c>
      <c r="B838" s="5" t="s">
        <v>882</v>
      </c>
      <c r="C838" s="6" t="str">
        <f>IFERROR(__xludf.DUMMYFUNCTION("""COMPUTED_VALUE"""),"10.1145/3338906.3338951")</f>
        <v>10.1145/3338906.3338951</v>
      </c>
      <c r="D838" s="7" t="str">
        <f>IFERROR(__xludf.DUMMYFUNCTION("""COMPUTED_VALUE"""),"Chen Y.; Martins R.; Feng Y.")</f>
        <v>Chen Y.; Martins R.; Feng Y.</v>
      </c>
      <c r="E838" s="7" t="str">
        <f>IFERROR(__xludf.DUMMYFUNCTION("""COMPUTED_VALUE"""),"Maximal multi-layer specification synthesis")</f>
        <v>Maximal multi-layer specification synthesis</v>
      </c>
      <c r="F838" s="7" t="str">
        <f>IFERROR(__xludf.DUMMYFUNCTION("""COMPUTED_VALUE"""),"ESEC/FSE")</f>
        <v>ESEC/FSE</v>
      </c>
      <c r="G838" s="7" t="str">
        <f>IFERROR(__xludf.DUMMYFUNCTION("""COMPUTED_VALUE"""),"There has been a significant interest in applying programming-by-example to automate repetitive and tedious tasks. However, due to the incomplete nature of input-output examples, a synthesizer may generate programs that pass the examples but do not match "&amp;"the user intent. In this paper, we propose MARS, a novel synthesis framework that takes as input a multi-layer specification composed by input-output examples, textual description, and partial code snippets that capture the user intent. To accurately capt"&amp;"ure the user intent from the noisy and ambiguous description, we propose a hybrid model that combines the power of an LSTM-based sequence-to-sequence model with the apriori algorithm for mining association rules through unsupervised learning. We reduce th"&amp;"e problem of solving a multi-layer specification synthesis to a Max-SMT problem, where hard constraints encode well-typed concrete programs and soft constraints encode the user intent learned by the hybrid model. We instantiate our hybrid model to the dat"&amp;"a wrangling domain and compare its performance against Morpheus, a state-of-the-art synthesizer for data wrangling tasks. Our experiments demonstrate that our approach outperforms MORPHEUS in terms of running time and solved benchmarks. For challenging be"&amp;"nchmarks, our approach can suggest candidates with rankings that are an order of magnitude better than MORPHEUS which leads to running times that are 15x faster than MORPHEUS. © 2019 ACM.")</f>
        <v>There has been a significant interest in applying programming-by-example to automate repetitive and tedious tasks. However, due to the incomplete nature of input-output examples, a synthesizer may generate programs that pass the examples but do not match the user intent. In this paper, we propose MARS, a novel synthesis framework that takes as input a multi-layer specification composed by input-output examples, textual description, and partial code snippets that capture the user intent. To accurately capture the user intent from the noisy and ambiguous description, we propose a hybrid model that combines the power of an LSTM-based sequence-to-sequence model with the apriori algorithm for mining association rules through unsupervised learning. We reduce the problem of solving a multi-layer specification synthesis to a Max-SMT problem, where hard constraints encode well-typed concrete programs and soft constraints encode the user intent learned by the hybrid model. We instantiate our hybrid model to the data wrangling domain and compare its performance against Morpheus, a state-of-the-art synthesizer for data wrangling tasks. Our experiments demonstrate that our approach outperforms MORPHEUS in terms of running time and solved benchmarks. For challenging benchmarks, our approach can suggest candidates with rankings that are an order of magnitude better than MORPHEUS which leads to running times that are 15x faster than MORPHEUS. © 2019 ACM.</v>
      </c>
      <c r="H838" s="8" t="str">
        <f>IFERROR(__xludf.DUMMYFUNCTION("""COMPUTED_VALUE"""),"Machine learning; Max-SMT; Neural networks; Program synthesis")</f>
        <v>Machine learning; Max-SMT; Neural networks; Program synthesis</v>
      </c>
      <c r="I838" s="10" t="b">
        <v>0</v>
      </c>
      <c r="J838" s="10" t="b">
        <v>0</v>
      </c>
      <c r="K838" s="10" t="b">
        <v>0</v>
      </c>
      <c r="L838" s="10" t="b">
        <v>0</v>
      </c>
      <c r="M838" s="10" t="b">
        <v>0</v>
      </c>
      <c r="N838" s="10" t="b">
        <v>0</v>
      </c>
      <c r="O838" s="11" t="b">
        <f t="shared" si="1"/>
        <v>0</v>
      </c>
      <c r="P838" s="16" t="b">
        <v>0</v>
      </c>
      <c r="Q838" s="7"/>
    </row>
    <row r="839">
      <c r="A839" s="5" t="b">
        <v>1</v>
      </c>
      <c r="B839" s="5" t="s">
        <v>883</v>
      </c>
      <c r="C839" s="6" t="str">
        <f>IFERROR(__xludf.DUMMYFUNCTION("""COMPUTED_VALUE"""),"10.1145/2786805.2786867")</f>
        <v>10.1145/2786805.2786867</v>
      </c>
      <c r="D839" s="7" t="str">
        <f>IFERROR(__xludf.DUMMYFUNCTION("""COMPUTED_VALUE"""),"Beyer D.; Dangl M.; Dietsch D.; Heizmann M.; Stahlbauer A.")</f>
        <v>Beyer D.; Dangl M.; Dietsch D.; Heizmann M.; Stahlbauer A.</v>
      </c>
      <c r="E839" s="7" t="str">
        <f>IFERROR(__xludf.DUMMYFUNCTION("""COMPUTED_VALUE"""),"Witness validation and stepwise testification across software verifiers")</f>
        <v>Witness validation and stepwise testification across software verifiers</v>
      </c>
      <c r="F839" s="7" t="str">
        <f>IFERROR(__xludf.DUMMYFUNCTION("""COMPUTED_VALUE"""),"ESEC/FSE")</f>
        <v>ESEC/FSE</v>
      </c>
      <c r="G839" s="7" t="str">
        <f>IFERROR(__xludf.DUMMYFUNCTION("""COMPUTED_VALUE"""),"It is commonly understood that a verification tool should provide a counterexample to witness a specification violation. Until recently, software verifiers dumped error witnesses in proprietary formats, which are often neither human- nor machine-readable,"&amp;" and an exchange of witnesses between different verifiers was impossible. To close this gap in softwareverification technology, we have defined an exchange format for error witnesses that is easy to write and read by verification tools (for further proces"&amp;"sing, e.g., witness validation) and that is easy to convert into visualizations that conveniently let developers inspect an error path. To eliminate manual inspection of false alarms, we develop the notion of stepwise testification: in a first step, a ver"&amp;"ifier finds a problematic program path and, in addition to the verification result false, constructs a witness for this path; in the next step, another verifier re-verifies that the witness indeed violates the specification. This process can have more tha"&amp;"n two steps, each reducing the state space around the error path, making it easier to validate the witness in a later step. An obvious application for testification is the setting where we have two verifiers: one that is efficient but imprecise and anothe"&amp;"r one that is precise but expensive. We have implemented the technique of error-witness-driven program analysis in two state-of-the-art verification tools, CPAchecker and Ultimate Automizer, and show by experimental evaluation that the approach is applica"&amp;"ble to a large set of verification tasks. © 2015 ACM.")</f>
        <v>It is commonly understood that a verification tool should provide a counterexample to witness a specification violation. Until recently, software verifiers dumped error witnesses in proprietary formats, which are often neither human- nor machine-readable, and an exchange of witnesses between different verifiers was impossible. To close this gap in softwareverification technology, we have defined an exchange format for error witnesses that is easy to write and read by verification tools (for further processing, e.g., witness validation) and that is easy to convert into visualizations that conveniently let developers inspect an error path. To eliminate manual inspection of false alarms, we develop the notion of stepwise testification: in a first step, a verifier finds a problematic program path and, in addition to the verification result false, constructs a witness for this path; in the next step, another verifier re-verifies that the witness indeed violates the specification. This process can have more than two steps, each reducing the state space around the error path, making it easier to validate the witness in a later step. An obvious application for testification is the setting where we have two verifiers: one that is efficient but imprecise and another one that is precise but expensive. We have implemented the technique of error-witness-driven program analysis in two state-of-the-art verification tools, CPAchecker and Ultimate Automizer, and show by experimental evaluation that the approach is applicable to a large set of verification tasks. © 2015 ACM.</v>
      </c>
      <c r="H839" s="8" t="str">
        <f>IFERROR(__xludf.DUMMYFUNCTION("""COMPUTED_VALUE"""),"Counterexample validation; Error witness; Model checking; Program analysis; Software verification")</f>
        <v>Counterexample validation; Error witness; Model checking; Program analysis; Software verification</v>
      </c>
      <c r="I839" s="10" t="b">
        <v>0</v>
      </c>
      <c r="J839" s="10" t="b">
        <v>0</v>
      </c>
      <c r="K839" s="10" t="b">
        <v>0</v>
      </c>
      <c r="L839" s="10" t="b">
        <v>0</v>
      </c>
      <c r="M839" s="10" t="b">
        <v>0</v>
      </c>
      <c r="N839" s="10" t="b">
        <v>0</v>
      </c>
      <c r="O839" s="11" t="b">
        <f t="shared" si="1"/>
        <v>0</v>
      </c>
      <c r="P839" s="16" t="b">
        <v>0</v>
      </c>
      <c r="Q839" s="7"/>
    </row>
    <row r="840">
      <c r="A840" s="5" t="b">
        <v>1</v>
      </c>
      <c r="B840" s="5" t="s">
        <v>884</v>
      </c>
      <c r="C840" s="6" t="str">
        <f>IFERROR(__xludf.DUMMYFUNCTION("""COMPUTED_VALUE"""),"10.1145/2950290.2983932")</f>
        <v>10.1145/2950290.2983932</v>
      </c>
      <c r="D840" s="7" t="str">
        <f>IFERROR(__xludf.DUMMYFUNCTION("""COMPUTED_VALUE"""),"Gyori A.; Lambeth B.; Shi A.; Legunsen O.; Marinov D.")</f>
        <v>Gyori A.; Lambeth B.; Shi A.; Legunsen O.; Marinov D.</v>
      </c>
      <c r="E840" s="7" t="str">
        <f>IFERROR(__xludf.DUMMYFUNCTION("""COMPUTED_VALUE"""),"NonDex: A tool for detecting and debugging wrong assumptions on Java api specifications")</f>
        <v>NonDex: A tool for detecting and debugging wrong assumptions on Java api specifications</v>
      </c>
      <c r="F840" s="7" t="str">
        <f>IFERROR(__xludf.DUMMYFUNCTION("""COMPUTED_VALUE"""),"ESEC/FSE")</f>
        <v>ESEC/FSE</v>
      </c>
      <c r="G840" s="7" t="str">
        <f>IFERROR(__xludf.DUMMYFUNCTION("""COMPUTED_VALUE"""),"We present NonDex, a tool for detecting and debugging wrong assumptions on Java APIs. Some APIs have underde-termined specifications to allow implementations to achieve different goals, e.g., to optimize performance. When clients of such APIs assume stron"&amp;"ger-Than-specified guarantees, the resulting client code can fail. For example, HashSet's iter-ation order is underdetermined, and code assuming some implementation-specific iteration order can fail. NonDex helps to proactively detect and debug such wrong"&amp;" assump-tions. NonDex performs detection by randomly exploring different behaviors of underdetermined APIs during test ex-ecution. When a test fails during exploration, NonDex searches for the invocation instance of the API that caused the failure. NonDex"&amp;" is open source, well-integrated with Maven, and also runs from the command line. During our experiments with the NonDex Maven plugin, we detected 21 new bugs in eight Java projects from GitHub, and, using the debugging feature of NonDex, we identifed the"&amp;" un-derlying wrong assumptions for these 21 new bugs and 54 previously detected bugs. We opened 13 pull requests; de-velopers already accepted 12, and one project changed the continuous-integration configuration to run NonDex on ev-ery push.")</f>
        <v>We present NonDex, a tool for detecting and debugging wrong assumptions on Java APIs. Some APIs have underde-termined specifications to allow implementations to achieve different goals, e.g., to optimize performance. When clients of such APIs assume stronger-Than-specified guarantees, the resulting client code can fail. For example, HashSet's iter-ation order is underdetermined, and code assuming some implementation-specific iteration order can fail. NonDex helps to proactively detect and debug such wrong assump-tions. NonDex performs detection by randomly exploring different behaviors of underdetermined APIs during test ex-ecution. When a test fails during exploration, NonDex searches for the invocation instance of the API that caused the failure. NonDex is open source, well-integrated with Maven, and also runs from the command line. During our experiments with the NonDex Maven plugin, we detected 21 new bugs in eight Java projects from GitHub, and, using the debugging feature of NonDex, we identifed the un-derlying wrong assumptions for these 21 new bugs and 54 previously detected bugs. We opened 13 pull requests; de-velopers already accepted 12, and one project changed the continuous-integration configuration to run NonDex on ev-ery push.</v>
      </c>
      <c r="H840" s="8" t="str">
        <f>IFERROR(__xludf.DUMMYFUNCTION("""COMPUTED_VALUE"""),"Aky tests; NonDex; Underdetermined API")</f>
        <v>Aky tests; NonDex; Underdetermined API</v>
      </c>
      <c r="I840" s="10" t="b">
        <v>0</v>
      </c>
      <c r="J840" s="10" t="b">
        <v>0</v>
      </c>
      <c r="K840" s="10" t="b">
        <v>0</v>
      </c>
      <c r="L840" s="10" t="b">
        <v>0</v>
      </c>
      <c r="M840" s="10" t="b">
        <v>0</v>
      </c>
      <c r="N840" s="10" t="b">
        <v>0</v>
      </c>
      <c r="O840" s="11" t="b">
        <f t="shared" si="1"/>
        <v>0</v>
      </c>
      <c r="P840" s="16" t="b">
        <v>0</v>
      </c>
      <c r="Q840" s="7"/>
    </row>
    <row r="841">
      <c r="A841" s="5" t="b">
        <v>1</v>
      </c>
      <c r="B841" s="5" t="s">
        <v>885</v>
      </c>
      <c r="C841" s="6"/>
      <c r="D841" s="7"/>
      <c r="E841" s="7" t="str">
        <f>IFERROR(__xludf.DUMMYFUNCTION("""COMPUTED_VALUE"""),"Proceedings of the ACM SIGSOFT Symposium on the Foundations of Software Engineering")</f>
        <v>Proceedings of the ACM SIGSOFT Symposium on the Foundations of Software Engineering</v>
      </c>
      <c r="F841" s="7" t="str">
        <f>IFERROR(__xludf.DUMMYFUNCTION("""COMPUTED_VALUE"""),"ESEC/FSE")</f>
        <v>ESEC/FSE</v>
      </c>
      <c r="G841" s="7" t="str">
        <f>IFERROR(__xludf.DUMMYFUNCTION("""COMPUTED_VALUE"""),"The proceedings contain 11 papers. The topics discussed include: introducing TDD on a free libre open source software project: a simulation experiment; deploying, updating, and managing tools for collecting software metrics; experience report on software "&amp;"product line evolution due to market reposition; using a roles scheme to derive software project metrics; non-invasive product metrics collection: an architecture; ontology-based multi-agent system to multi-site software development; agile management of u"&amp;"ncertain requirements via generalizations: a case study; XPSuite: tracking and managing XP projects in the IDE; motivations and measurements in an agile case study; FMESP: framework for the modeling and evaluation of software processes; and non-invasive p"&amp;"roduct metrics collection: an architecture.")</f>
        <v>The proceedings contain 11 papers. The topics discussed include: introducing TDD on a free libre open source software project: a simulation experiment; deploying, updating, and managing tools for collecting software metrics; experience report on software product line evolution due to market reposition; using a roles scheme to derive software project metrics; non-invasive product metrics collection: an architecture; ontology-based multi-agent system to multi-site software development; agile management of uncertain requirements via generalizations: a case study; XPSuite: tracking and managing XP projects in the IDE; motivations and measurements in an agile case study; FMESP: framework for the modeling and evaluation of software processes; and non-invasive product metrics collection: an architecture.</v>
      </c>
      <c r="H841" s="8"/>
      <c r="I841" s="10" t="b">
        <v>0</v>
      </c>
      <c r="J841" s="10" t="b">
        <v>0</v>
      </c>
      <c r="K841" s="10" t="b">
        <v>0</v>
      </c>
      <c r="L841" s="10" t="b">
        <v>0</v>
      </c>
      <c r="M841" s="10" t="b">
        <v>0</v>
      </c>
      <c r="N841" s="10" t="b">
        <v>0</v>
      </c>
      <c r="O841" s="11" t="b">
        <f t="shared" si="1"/>
        <v>0</v>
      </c>
      <c r="P841" s="16" t="b">
        <v>0</v>
      </c>
      <c r="Q841" s="7"/>
    </row>
    <row r="842">
      <c r="A842" s="5" t="b">
        <v>1</v>
      </c>
      <c r="B842" s="5" t="s">
        <v>886</v>
      </c>
      <c r="C842" s="6" t="str">
        <f>IFERROR(__xludf.DUMMYFUNCTION("""COMPUTED_VALUE"""),"10.1145/3468264.3473921")</f>
        <v>10.1145/3468264.3473921</v>
      </c>
      <c r="D842" s="7" t="str">
        <f>IFERROR(__xludf.DUMMYFUNCTION("""COMPUTED_VALUE"""),"Joshi V.; Anish P.R.; Ghaisas S.")</f>
        <v>Joshi V.; Anish P.R.; Ghaisas S.</v>
      </c>
      <c r="E842" s="7" t="str">
        <f>IFERROR(__xludf.DUMMYFUNCTION("""COMPUTED_VALUE"""),"Domain adaptation for an automated classification of deontic modalities in software engineering contracts")</f>
        <v>Domain adaptation for an automated classification of deontic modalities in software engineering contracts</v>
      </c>
      <c r="F842" s="7" t="str">
        <f>IFERROR(__xludf.DUMMYFUNCTION("""COMPUTED_VALUE"""),"ESEC/FSE")</f>
        <v>ESEC/FSE</v>
      </c>
      <c r="G842" s="7" t="str">
        <f>IFERROR(__xludf.DUMMYFUNCTION("""COMPUTED_VALUE"""),"Contracts are agreements between parties engaging in economic transactions. They specify deontic modalities that the signatories should be held responsible for and state the penalties or actions to be taken if the stated agreements are not met. Additional"&amp;"ly, contracts have also been known to be source of Software Engineering (SE) requirements. Identifying the deontic modalities in contracts can therefore add value to the Requirements Engineering (RE) phase of SE. The complex and ambiguous language of cont"&amp;"racts make it difficult and time-consuming to identify the deontic modalities (obligations, permissions, prohibitions), embedded in the text. State-of-art neural network models are effective for text classification; however, they require substantial amoun"&amp;"ts of training data. The availability of contracts data is sparse owing to the confidentiality concerns of customers. In this paper, we leverage the linguistic and taxonomical similarities between regulations (available abundantly in the public domain) an"&amp;"d contracts to demonstrate that it is possible to use regulations as training data for classifying deontic modalities in real-life contracts. We discuss the results of a range of experiments from the use of rule-based approach to Bidirectional Encoder Rep"&amp;"resentations from Transformers (BERT) for automating the classification of deontic modalities. With BERT, we obtained an average precision and recall of 90% and 89.66% respectively.  © 2021 ACM.")</f>
        <v>Contracts are agreements between parties engaging in economic transactions. They specify deontic modalities that the signatories should be held responsible for and state the penalties or actions to be taken if the stated agreements are not met. Additionally, contracts have also been known to be source of Software Engineering (SE) requirements. Identifying the deontic modalities in contracts can therefore add value to the Requirements Engineering (RE) phase of SE. The complex and ambiguous language of contracts make it difficult and time-consuming to identify the deontic modalities (obligations, permissions, prohibitions), embedded in the text. State-of-art neural network models are effective for text classification; however, they require substantial amounts of training data. The availability of contracts data is sparse owing to the confidentiality concerns of customers. In this paper, we leverage the linguistic and taxonomical similarities between regulations (available abundantly in the public domain) and contracts to demonstrate that it is possible to use regulations as training data for classifying deontic modalities in real-life contracts. We discuss the results of a range of experiments from the use of rule-based approach to Bidirectional Encoder Representations from Transformers (BERT) for automating the classification of deontic modalities. With BERT, we obtained an average precision and recall of 90% and 89.66% respectively.  © 2021 ACM.</v>
      </c>
      <c r="H842" s="8" t="str">
        <f>IFERROR(__xludf.DUMMYFUNCTION("""COMPUTED_VALUE"""),"BERT; BiLSTM; Business Contract; Deep Learning Models; Deontic Modality; Domain Adaptation; Regulation")</f>
        <v>BERT; BiLSTM; Business Contract; Deep Learning Models; Deontic Modality; Domain Adaptation; Regulation</v>
      </c>
      <c r="I842" s="10" t="b">
        <v>0</v>
      </c>
      <c r="J842" s="10" t="b">
        <v>0</v>
      </c>
      <c r="K842" s="10" t="b">
        <v>0</v>
      </c>
      <c r="L842" s="10" t="b">
        <v>0</v>
      </c>
      <c r="M842" s="10" t="b">
        <v>0</v>
      </c>
      <c r="N842" s="10" t="b">
        <v>0</v>
      </c>
      <c r="O842" s="11" t="b">
        <f t="shared" si="1"/>
        <v>0</v>
      </c>
      <c r="P842" s="16" t="b">
        <v>0</v>
      </c>
      <c r="Q842" s="7"/>
    </row>
    <row r="843">
      <c r="A843" s="5" t="b">
        <v>1</v>
      </c>
      <c r="B843" s="5" t="s">
        <v>887</v>
      </c>
      <c r="C843" s="6" t="str">
        <f>IFERROR(__xludf.DUMMYFUNCTION("""COMPUTED_VALUE"""),"10.1145/587059.587060")</f>
        <v>10.1145/587059.587060</v>
      </c>
      <c r="D843" s="7" t="str">
        <f>IFERROR(__xludf.DUMMYFUNCTION("""COMPUTED_VALUE"""),"Xie Y.; Engler D.")</f>
        <v>Xie Y.; Engler D.</v>
      </c>
      <c r="E843" s="7" t="str">
        <f>IFERROR(__xludf.DUMMYFUNCTION("""COMPUTED_VALUE"""),"Using redundancies to find errors")</f>
        <v>Using redundancies to find errors</v>
      </c>
      <c r="F843" s="7" t="str">
        <f>IFERROR(__xludf.DUMMYFUNCTION("""COMPUTED_VALUE"""),"ESEC/FSE")</f>
        <v>ESEC/FSE</v>
      </c>
      <c r="G843" s="7" t="str">
        <f>IFERROR(__xludf.DUMMYFUNCTION("""COMPUTED_VALUE"""),"This paper explores the idea that redundant operations, like type errors, commonly flag correctness errors. We experimentally test this idea by writing and applying four redundancy checkers to the Linux operating system, finding many errors. We then use t"&amp;"hese errors to demonstrate that redundancies, even when harmless, strongly correlate with the presence of traditional hard errors (e.g., null pointer dereferences, unreleased locks). Finally we show that how flagging redundant operations gives a way to ma"&amp;"ke specifications ""fail stop"" by detecting dangerous omissions.")</f>
        <v>This paper explores the idea that redundant operations, like type errors, commonly flag correctness errors. We experimentally test this idea by writing and applying four redundancy checkers to the Linux operating system, finding many errors. We then use these errors to demonstrate that redundancies, even when harmless, strongly correlate with the presence of traditional hard errors (e.g., null pointer dereferences, unreleased locks). Finally we show that how flagging redundant operations gives a way to make specifications "fail stop" by detecting dangerous omissions.</v>
      </c>
      <c r="H843" s="8" t="str">
        <f>IFERROR(__xludf.DUMMYFUNCTION("""COMPUTED_VALUE"""),"Error detection; Extensible compilation")</f>
        <v>Error detection; Extensible compilation</v>
      </c>
      <c r="I843" s="10" t="b">
        <v>0</v>
      </c>
      <c r="J843" s="10" t="b">
        <v>0</v>
      </c>
      <c r="K843" s="10" t="b">
        <v>0</v>
      </c>
      <c r="L843" s="10" t="b">
        <v>0</v>
      </c>
      <c r="M843" s="10" t="b">
        <v>0</v>
      </c>
      <c r="N843" s="10" t="b">
        <v>0</v>
      </c>
      <c r="O843" s="11" t="b">
        <f t="shared" si="1"/>
        <v>0</v>
      </c>
      <c r="P843" s="16" t="b">
        <v>0</v>
      </c>
      <c r="Q843" s="7"/>
    </row>
    <row r="844">
      <c r="A844" s="5" t="b">
        <v>1</v>
      </c>
      <c r="B844" s="5" t="s">
        <v>888</v>
      </c>
      <c r="C844" s="6" t="str">
        <f>IFERROR(__xludf.DUMMYFUNCTION("""COMPUTED_VALUE"""),"10.1145/3540250.3549159")</f>
        <v>10.1145/3540250.3549159</v>
      </c>
      <c r="D844" s="7" t="str">
        <f>IFERROR(__xludf.DUMMYFUNCTION("""COMPUTED_VALUE"""),"Guo S.; Jiang H.; Xu Z.; Li X.; Ren Z.; Zhou Z.; Chen R.")</f>
        <v>Guo S.; Jiang H.; Xu Z.; Li X.; Ren Z.; Zhou Z.; Chen R.</v>
      </c>
      <c r="E844" s="7" t="str">
        <f>IFERROR(__xludf.DUMMYFUNCTION("""COMPUTED_VALUE"""),"Detecting Simulink compiler bugs via controllable zombie blocks mutation")</f>
        <v>Detecting Simulink compiler bugs via controllable zombie blocks mutation</v>
      </c>
      <c r="F844" s="7" t="str">
        <f>IFERROR(__xludf.DUMMYFUNCTION("""COMPUTED_VALUE"""),"ESEC/FSE")</f>
        <v>ESEC/FSE</v>
      </c>
      <c r="G844" s="7" t="str">
        <f>IFERROR(__xludf.DUMMYFUNCTION("""COMPUTED_VALUE"""),"As a popular Cyber-Physical System (CPS) development tool chain, MathWorks Simulink is widely used to prototype CPS models in safety-critical applications, e.g., aerospace and healthcare. It is crucial to ensure the correctness and reliability of Simulink"&amp;" compiler (i.e., the compiler module of Simulink) in practice since all CPS models depend on compilation. However, Simulink compiler testing is challenging due to millions of lines of source code and the lack of the complete formal language specification."&amp;" Although several methods have been proposed to automatically test Simulink compiler, there still remains two challenges to be tackled, namely the limited variant space and the insufficient mutation diversity. To address these challenges, we propose COMBA"&amp;"T, a new differential testing method for Simulink compiler testing. COMBAT includes an EMI (Equivalence Modulo Input) mutation component and a diverse variant generation component. The EMI mutation component inserts assertion statements (e.g., If /While b"&amp;"locks) at arbitrary points of the seed CPS model. These statements break each insertion point into true and false branches. Then, COMBAT feeds all the data passed through the insertion point into the true branch to preserve the equivalence of CPS variants"&amp;". In such a way, the body of the false branch could be viewed as a new variant space, thus addressing the first challenge. The diverse variant generation component uses Markov chain Monte Carlo optimization to sample the seed CPS model and generate comple"&amp;"x mutations of long sequences of blocks in the variant space, thus addressing the second challenge. Experiments demonstrate that COMBAT significantly outperforms the state-of-the-art approaches in Simulink compiler testing. Within five months, COMBAT has "&amp;"reported 16 valid bugs for Simulink R2021b, of which 11 bugs have been confirmed as new bugs by MathWorks Support.  © 2022 ACM.")</f>
        <v>As a popular Cyber-Physical System (CPS) development tool chain, MathWorks Simulink is widely used to prototype CPS models in safety-critical applications, e.g., aerospace and healthcare. It is crucial to ensure the correctness and reliability of Simulink compiler (i.e., the compiler module of Simulink) in practice since all CPS models depend on compilation. However, Simulink compiler testing is challenging due to millions of lines of source code and the lack of the complete formal language specification. Although several methods have been proposed to automatically test Simulink compiler, there still remains two challenges to be tackled, namely the limited variant space and the insufficient mutation diversity. To address these challenges, we propose COMBAT, a new differential testing method for Simulink compiler testing. COMBAT includes an EMI (Equivalence Modulo Input) mutation component and a diverse variant generation component. The EMI mutation component inserts assertion statements (e.g., If /While blocks) at arbitrary points of the seed CPS model. These statements break each insertion point into true and false branches. Then, COMBAT feeds all the data passed through the insertion point into the true branch to preserve the equivalence of CPS variants. In such a way, the body of the false branch could be viewed as a new variant space, thus addressing the first challenge. The diverse variant generation component uses Markov chain Monte Carlo optimization to sample the seed CPS model and generate complex mutations of long sequences of blocks in the variant space, thus addressing the second challenge. Experiments demonstrate that COMBAT significantly outperforms the state-of-the-art approaches in Simulink compiler testing. Within five months, COMBAT has reported 16 valid bugs for Simulink R2021b, of which 11 bugs have been confirmed as new bugs by MathWorks Support.  © 2022 ACM.</v>
      </c>
      <c r="H844" s="8" t="str">
        <f>IFERROR(__xludf.DUMMYFUNCTION("""COMPUTED_VALUE"""),"compiler bug; Cyber-physical system; differential testing; Simulink")</f>
        <v>compiler bug; Cyber-physical system; differential testing; Simulink</v>
      </c>
      <c r="I844" s="10" t="b">
        <v>0</v>
      </c>
      <c r="J844" s="10" t="b">
        <v>0</v>
      </c>
      <c r="K844" s="10" t="b">
        <v>0</v>
      </c>
      <c r="L844" s="10" t="b">
        <v>0</v>
      </c>
      <c r="M844" s="10" t="b">
        <v>0</v>
      </c>
      <c r="N844" s="10" t="b">
        <v>0</v>
      </c>
      <c r="O844" s="11" t="b">
        <f t="shared" si="1"/>
        <v>0</v>
      </c>
      <c r="P844" s="16" t="b">
        <v>0</v>
      </c>
      <c r="Q844" s="7"/>
    </row>
    <row r="845">
      <c r="A845" s="5" t="b">
        <v>1</v>
      </c>
      <c r="B845" s="5" t="s">
        <v>889</v>
      </c>
      <c r="C845" s="6" t="str">
        <f>IFERROR(__xludf.DUMMYFUNCTION("""COMPUTED_VALUE"""),"10.1145/3106237.3106279")</f>
        <v>10.1145/3106237.3106279</v>
      </c>
      <c r="D845" s="7" t="str">
        <f>IFERROR(__xludf.DUMMYFUNCTION("""COMPUTED_VALUE"""),"Smith C.; Ferns G.; Albarghouthi A.")</f>
        <v>Smith C.; Ferns G.; Albarghouthi A.</v>
      </c>
      <c r="E845" s="7" t="str">
        <f>IFERROR(__xludf.DUMMYFUNCTION("""COMPUTED_VALUE"""),"Discovering relational specifications")</f>
        <v>Discovering relational specifications</v>
      </c>
      <c r="F845" s="7" t="str">
        <f>IFERROR(__xludf.DUMMYFUNCTION("""COMPUTED_VALUE"""),"ESEC/FSE")</f>
        <v>ESEC/FSE</v>
      </c>
      <c r="G845" s="7" t="str">
        <f>IFERROR(__xludf.DUMMYFUNCTION("""COMPUTED_VALUE"""),"Formal specifications of library functions play a critical role in a number of program analysis and development tasks. We present Bach, a technique for discovering likely relational specifications from data describing input-output behavior of a set of fun"&amp;"ctions comprising a library or a program. Relational specifications correlate different executions of different functions; for instance, commutativity, transitivity, equivalence of two functions, etc. Bach combines novel insights from program synthesis an"&amp;"d databases to discover a rich array of specifications. We apply Bach to learn specifications from data generated for a number of standard libraries. Our experimental evaluation demonstrates Bach's ability to learn useful and deep specifications in a smal"&amp;"l amount of time. © 2017 Copyright held by the owner/author(s).")</f>
        <v>Formal specifications of library functions play a critical role in a number of program analysis and development tasks. We present Bach, a technique for discovering likely relational specifications from data describing input-output behavior of a set of functions comprising a library or a program. Relational specifications correlate different executions of different functions; for instance, commutativity, transitivity, equivalence of two functions, etc. Bach combines novel insights from program synthesis and databases to discover a rich array of specifications. We apply Bach to learn specifications from data generated for a number of standard libraries. Our experimental evaluation demonstrates Bach's ability to learn useful and deep specifications in a small amount of time. © 2017 Copyright held by the owner/author(s).</v>
      </c>
      <c r="H845" s="8" t="str">
        <f>IFERROR(__xludf.DUMMYFUNCTION("""COMPUTED_VALUE"""),"Datalog; Hyperproperties; Specification mining")</f>
        <v>Datalog; Hyperproperties; Specification mining</v>
      </c>
      <c r="I845" s="10" t="b">
        <v>0</v>
      </c>
      <c r="J845" s="10" t="b">
        <v>0</v>
      </c>
      <c r="K845" s="10" t="b">
        <v>0</v>
      </c>
      <c r="L845" s="10" t="b">
        <v>0</v>
      </c>
      <c r="M845" s="10" t="b">
        <v>0</v>
      </c>
      <c r="N845" s="10" t="b">
        <v>0</v>
      </c>
      <c r="O845" s="11" t="b">
        <f t="shared" si="1"/>
        <v>0</v>
      </c>
      <c r="P845" s="16" t="b">
        <v>0</v>
      </c>
      <c r="Q845" s="7"/>
    </row>
    <row r="846">
      <c r="A846" s="5" t="b">
        <v>1</v>
      </c>
      <c r="B846" s="5" t="s">
        <v>890</v>
      </c>
      <c r="C846" s="6" t="str">
        <f>IFERROR(__xludf.DUMMYFUNCTION("""COMPUTED_VALUE"""),"10.1145/2025113.2025191")</f>
        <v>10.1145/2025113.2025191</v>
      </c>
      <c r="D846" s="7" t="str">
        <f>IFERROR(__xludf.DUMMYFUNCTION("""COMPUTED_VALUE"""),"Falessi D.; Nejati S.; Sabetzadeh M.; Briand L.; Messina A.")</f>
        <v>Falessi D.; Nejati S.; Sabetzadeh M.; Briand L.; Messina A.</v>
      </c>
      <c r="E846" s="7" t="str">
        <f>IFERROR(__xludf.DUMMYFUNCTION("""COMPUTED_VALUE"""),"SafeSlice: A model slicing and design safety inspection tool for SysML")</f>
        <v>SafeSlice: A model slicing and design safety inspection tool for SysML</v>
      </c>
      <c r="F846" s="7" t="str">
        <f>IFERROR(__xludf.DUMMYFUNCTION("""COMPUTED_VALUE"""),"ESEC/FSE")</f>
        <v>ESEC/FSE</v>
      </c>
      <c r="G846" s="7" t="str">
        <f>IFERROR(__xludf.DUMMYFUNCTION("""COMPUTED_VALUE"""),"Software safety certification involves checking that the software design meets the (software) safety requirements. In practice, inspections are one of the primary vehicles for ensuring that safety requirements are satisfied by the design. Unless the safet"&amp;"y-related aspects of the design are clearly delineated, the inspections conducted by safety assessors would have to consider the entire design, although only small fragments of the design may be related to safety. In a model-driven development context, th"&amp;"is means that the assessors have to browse through large models, understand them, and identify the safety-related fragments. This is time-consuming and error-prone, specially noting that the assessors are often third-party regulatory bodies who were not i"&amp;"nvolved in the design. To address this problem, we describe in this paper a prototype tool called, SafeSlice, that enables one to automatically extract the safety-related slices (fragments) of design models. The main enabler for our slicing technique is t"&amp;"he traceability between the safety requirements and the design, established by following a structured design methodology that we propose. Our work is grounded on SysML, which is being increasingly used for expressing the design of safety-critical systems."&amp;" We have validated our work through two case studies and a control experiment which we briefly outline in the paper. © 2011 ACM.")</f>
        <v>Software safety certification involves checking that the software design meets the (software) safety requirements. In practice, inspections are one of the primary vehicles for ensuring that safety requirements are satisfied by the design. Unless the safety-related aspects of the design are clearly delineated, the inspections conducted by safety assessors would have to consider the entire design, although only small fragments of the design may be related to safety. In a model-driven development context, this means that the assessors have to browse through large models, understand them, and identify the safety-related fragments. This is time-consuming and error-prone, specially noting that the assessors are often third-party regulatory bodies who were not involved in the design. To address this problem, we describe in this paper a prototype tool called, SafeSlice, that enables one to automatically extract the safety-related slices (fragments) of design models. The main enabler for our slicing technique is the traceability between the safety requirements and the design, established by following a structured design methodology that we propose. Our work is grounded on SysML, which is being increasingly used for expressing the design of safety-critical systems. We have validated our work through two case studies and a control experiment which we briefly outline in the paper. © 2011 ACM.</v>
      </c>
      <c r="H846" s="8" t="str">
        <f>IFERROR(__xludf.DUMMYFUNCTION("""COMPUTED_VALUE"""),"Model slicing; Safety certification; SysML; Traceability")</f>
        <v>Model slicing; Safety certification; SysML; Traceability</v>
      </c>
      <c r="I846" s="10" t="b">
        <v>0</v>
      </c>
      <c r="J846" s="10" t="b">
        <v>0</v>
      </c>
      <c r="K846" s="10" t="b">
        <v>0</v>
      </c>
      <c r="L846" s="10" t="b">
        <v>0</v>
      </c>
      <c r="M846" s="10" t="b">
        <v>0</v>
      </c>
      <c r="N846" s="10" t="b">
        <v>0</v>
      </c>
      <c r="O846" s="11" t="b">
        <f t="shared" si="1"/>
        <v>0</v>
      </c>
      <c r="P846" s="16" t="b">
        <v>0</v>
      </c>
      <c r="Q846" s="7"/>
    </row>
    <row r="847">
      <c r="A847" s="5" t="b">
        <v>1</v>
      </c>
      <c r="B847" s="5" t="s">
        <v>891</v>
      </c>
      <c r="C847" s="6"/>
      <c r="D847" s="7"/>
      <c r="E847" s="7" t="str">
        <f>IFERROR(__xludf.DUMMYFUNCTION("""COMPUTED_VALUE"""),"Proceedings of the ACM SIGSOFT Symposium on the Foundations of Software Engineering")</f>
        <v>Proceedings of the ACM SIGSOFT Symposium on the Foundations of Software Engineering</v>
      </c>
      <c r="F847" s="7" t="str">
        <f>IFERROR(__xludf.DUMMYFUNCTION("""COMPUTED_VALUE"""),"ESEC/FSE")</f>
        <v>ESEC/FSE</v>
      </c>
      <c r="G847" s="7" t="str">
        <f>IFERROR(__xludf.DUMMYFUNCTION("""COMPUTED_VALUE"""),"The proceedings contain 31 papers. The topics discussed include: rapid prototyping in the OBJ executable specification language; rapid prototyping by means of abstract module specifications written as trace axioms; rapid prototyping of information managem"&amp;"ent systems; implementation prototypes in the development of programming language features; a prototyping language for text-processing applications; experience from computer supported prototyping for information flow in hospitals; prototyping: a more reas"&amp;"onable approach to system development; using symbolic execution to characterize behavior; scenario-based prototyping for requirements identification; the use of quick prototypes in the secure military message systems project; rapid prototyping, automatic "&amp;"programming, and experimental sciences; a language for fast prototyping in data processing environments; ACT/1: a tool for information systems prototyping; the disciplined use of simplifying assumptions; system sketching: the generation of rapid prototype"&amp;"s for transaction based systems; approaches to executable specifications; use of annotated schemes for developing prototype programs; initial thoughts on rapid prototyping techniques; models as executable designs; and prototyping and small scale software "&amp;"projects.")</f>
        <v>The proceedings contain 31 papers. The topics discussed include: rapid prototyping in the OBJ executable specification language; rapid prototyping by means of abstract module specifications written as trace axioms; rapid prototyping of information management systems; implementation prototypes in the development of programming language features; a prototyping language for text-processing applications; experience from computer supported prototyping for information flow in hospitals; prototyping: a more reasonable approach to system development; using symbolic execution to characterize behavior; scenario-based prototyping for requirements identification; the use of quick prototypes in the secure military message systems project; rapid prototyping, automatic programming, and experimental sciences; a language for fast prototyping in data processing environments; ACT/1: a tool for information systems prototyping; the disciplined use of simplifying assumptions; system sketching: the generation of rapid prototypes for transaction based systems; approaches to executable specifications; use of annotated schemes for developing prototype programs; initial thoughts on rapid prototyping techniques; models as executable designs; and prototyping and small scale software projects.</v>
      </c>
      <c r="H847" s="8"/>
      <c r="I847" s="10" t="b">
        <v>0</v>
      </c>
      <c r="J847" s="10" t="b">
        <v>0</v>
      </c>
      <c r="K847" s="10" t="b">
        <v>0</v>
      </c>
      <c r="L847" s="10" t="b">
        <v>0</v>
      </c>
      <c r="M847" s="10" t="b">
        <v>0</v>
      </c>
      <c r="N847" s="10" t="b">
        <v>0</v>
      </c>
      <c r="O847" s="11" t="b">
        <f t="shared" si="1"/>
        <v>0</v>
      </c>
      <c r="P847" s="16" t="b">
        <v>0</v>
      </c>
      <c r="Q847" s="7"/>
    </row>
    <row r="848">
      <c r="A848" s="5" t="b">
        <v>1</v>
      </c>
      <c r="B848" s="5" t="s">
        <v>892</v>
      </c>
      <c r="C848" s="6" t="str">
        <f>IFERROR(__xludf.DUMMYFUNCTION("""COMPUTED_VALUE"""),"10.1145/2950290.2983940")</f>
        <v>10.1145/2950290.2983940</v>
      </c>
      <c r="D848" s="7" t="str">
        <f>IFERROR(__xludf.DUMMYFUNCTION("""COMPUTED_VALUE"""),"Braione P.; Denaro G.; Pezzè M.")</f>
        <v>Braione P.; Denaro G.; Pezzè M.</v>
      </c>
      <c r="E848" s="7" t="str">
        <f>IFERROR(__xludf.DUMMYFUNCTION("""COMPUTED_VALUE"""),"JBSE: A symbolic executor for Java programs with complex heap inputs")</f>
        <v>JBSE: A symbolic executor for Java programs with complex heap inputs</v>
      </c>
      <c r="F848" s="7" t="str">
        <f>IFERROR(__xludf.DUMMYFUNCTION("""COMPUTED_VALUE"""),"ESEC/FSE")</f>
        <v>ESEC/FSE</v>
      </c>
      <c r="G848" s="7" t="str">
        <f>IFERROR(__xludf.DUMMYFUNCTION("""COMPUTED_VALUE"""),"We present the Java Bytecode Symbolic Executor (JBSE), a symbolic executor for Java programs that operates on complex heap inputs. JBSE implements both the novel Heap EXploration Logic (HEX), a symbolic execution approach to deal with heap inputs, and the"&amp;" main state-of-The-Art approaches that handle data structure constraints expressed as either executable programs (repOk methods) or declarative specifications. JBSE is the first symbolic executor specifically designed to deal with programs that operate on"&amp;" complex heap inputs, to experiment with the main state-of-The-Art approaches, and to combine different decision procedures to explore possible synergies among approaches for handling symbolic data structures. © 2016 ACM.")</f>
        <v>We present the Java Bytecode Symbolic Executor (JBSE), a symbolic executor for Java programs that operates on complex heap inputs. JBSE implements both the novel Heap EXploration Logic (HEX), a symbolic execution approach to deal with heap inputs, and the main state-of-The-Art approaches that handle data structure constraints expressed as either executable programs (repOk methods) or declarative specifications. JBSE is the first symbolic executor specifically designed to deal with programs that operate on complex heap inputs, to experiment with the main state-of-The-Art approaches, and to combine different decision procedures to explore possible synergies among approaches for handling symbolic data structures. © 2016 ACM.</v>
      </c>
      <c r="H848" s="8" t="str">
        <f>IFERROR(__xludf.DUMMYFUNCTION("""COMPUTED_VALUE"""),"Alloy; Heap data structures; Heap Exploration Logic; Pointer Assertion Logic; RepOk; Symbolic Execution")</f>
        <v>Alloy; Heap data structures; Heap Exploration Logic; Pointer Assertion Logic; RepOk; Symbolic Execution</v>
      </c>
      <c r="I848" s="10" t="b">
        <v>0</v>
      </c>
      <c r="J848" s="10" t="b">
        <v>0</v>
      </c>
      <c r="K848" s="10" t="b">
        <v>0</v>
      </c>
      <c r="L848" s="10" t="b">
        <v>0</v>
      </c>
      <c r="M848" s="10" t="b">
        <v>0</v>
      </c>
      <c r="N848" s="10" t="b">
        <v>0</v>
      </c>
      <c r="O848" s="11" t="b">
        <f t="shared" si="1"/>
        <v>0</v>
      </c>
      <c r="P848" s="16" t="b">
        <v>0</v>
      </c>
      <c r="Q848" s="7"/>
    </row>
    <row r="849">
      <c r="A849" s="5" t="b">
        <v>1</v>
      </c>
      <c r="B849" s="5" t="s">
        <v>893</v>
      </c>
      <c r="C849" s="6" t="str">
        <f>IFERROR(__xludf.DUMMYFUNCTION("""COMPUTED_VALUE"""),"10.1145/1595696.1595724")</f>
        <v>10.1145/1595696.1595724</v>
      </c>
      <c r="D849" s="7" t="str">
        <f>IFERROR(__xludf.DUMMYFUNCTION("""COMPUTED_VALUE"""),"Grunske L.; Zhang P.")</f>
        <v>Grunske L.; Zhang P.</v>
      </c>
      <c r="E849" s="7" t="str">
        <f>IFERROR(__xludf.DUMMYFUNCTION("""COMPUTED_VALUE"""),"Monitoring probabilistic properties")</f>
        <v>Monitoring probabilistic properties</v>
      </c>
      <c r="F849" s="7" t="str">
        <f>IFERROR(__xludf.DUMMYFUNCTION("""COMPUTED_VALUE"""),"ESEC/FSE")</f>
        <v>ESEC/FSE</v>
      </c>
      <c r="G849" s="7" t="str">
        <f>IFERROR(__xludf.DUMMYFUNCTION("""COMPUTED_VALUE"""),"Monitoring allows for checking if a system fulfils its requirements at runtime. This is required for quality assurance purposes. Currently several approaches exist to monitor standard and timing properties. However, a current challenge is to provide a com"&amp;"prehensive approach for monitoring probabilistic properties, as they are used to formulate performance, reliability, safety, and availability requirements. The main problem of these probabilistic properties is that there is no binary acceptance condition."&amp;" To overcome this problem, this paper describes a monitoring approach called ProMo that is based on acceptance sampling and sequential hypothesis testing. This approach is validated based on several experiments that have been performed on an example syste"&amp;"m which provides medical assistance in remote areas. Copyright 2009 ACM.")</f>
        <v>Monitoring allows for checking if a system fulfils its requirements at runtime. This is required for quality assurance purposes. Currently several approaches exist to monitor standard and timing properties. However, a current challenge is to provide a comprehensive approach for monitoring probabilistic properties, as they are used to formulate performance, reliability, safety, and availability requirements. The main problem of these probabilistic properties is that there is no binary acceptance condition. To overcome this problem, this paper describes a monitoring approach called ProMo that is based on acceptance sampling and sequential hypothesis testing. This approach is validated based on several experiments that have been performed on an example system which provides medical assistance in remote areas. Copyright 2009 ACM.</v>
      </c>
      <c r="H849" s="8" t="str">
        <f>IFERROR(__xludf.DUMMYFUNCTION("""COMPUTED_VALUE"""),"Performance; Probabilistic properties; Reliability; Runtime monitoring; Safety; Security; Web services")</f>
        <v>Performance; Probabilistic properties; Reliability; Runtime monitoring; Safety; Security; Web services</v>
      </c>
      <c r="I849" s="10" t="b">
        <v>0</v>
      </c>
      <c r="J849" s="10" t="b">
        <v>0</v>
      </c>
      <c r="K849" s="10" t="b">
        <v>0</v>
      </c>
      <c r="L849" s="10" t="b">
        <v>0</v>
      </c>
      <c r="M849" s="10" t="b">
        <v>0</v>
      </c>
      <c r="N849" s="10" t="b">
        <v>0</v>
      </c>
      <c r="O849" s="11" t="b">
        <f t="shared" si="1"/>
        <v>0</v>
      </c>
      <c r="P849" s="16" t="b">
        <v>0</v>
      </c>
      <c r="Q849" s="7"/>
    </row>
    <row r="850">
      <c r="A850" s="5" t="b">
        <v>1</v>
      </c>
      <c r="B850" s="5" t="s">
        <v>894</v>
      </c>
      <c r="C850" s="6" t="str">
        <f>IFERROR(__xludf.DUMMYFUNCTION("""COMPUTED_VALUE"""),"10.1145/3106237.3106247")</f>
        <v>10.1145/3106237.3106247</v>
      </c>
      <c r="D850" s="7" t="str">
        <f>IFERROR(__xludf.DUMMYFUNCTION("""COMPUTED_VALUE"""),"Maggio M.; Papadopoulos A.V.; Filieri A.; Hoffmann H.")</f>
        <v>Maggio M.; Papadopoulos A.V.; Filieri A.; Hoffmann H.</v>
      </c>
      <c r="E850" s="7" t="str">
        <f>IFERROR(__xludf.DUMMYFUNCTION("""COMPUTED_VALUE"""),"Automated control of multiple software goals using multiple actuators")</f>
        <v>Automated control of multiple software goals using multiple actuators</v>
      </c>
      <c r="F850" s="7" t="str">
        <f>IFERROR(__xludf.DUMMYFUNCTION("""COMPUTED_VALUE"""),"ESEC/FSE")</f>
        <v>ESEC/FSE</v>
      </c>
      <c r="G850" s="7" t="str">
        <f>IFERROR(__xludf.DUMMYFUNCTION("""COMPUTED_VALUE"""),"Modern software should satisfy multiple goals simultaneously: it should provide predictable performance, be robust to failures, handle peak loads and deal seamlessly with unexpected conditions and changes in the execution environment. For this to happen, "&amp;"software designs should account for the possibility of runtime changes and provide formal guarantees of the software's behavior. Control theory is one of the possible design drivers for runtime adaptation, but adopting control theoretic principles often r"&amp;"equires additional, specialized knowledge. To overcome this limitation, automated methodologies have been proposed to extract the necessary information from experimental data and design a control system for runtime adaptation. These proposals, however, on"&amp;"ly process one goal at a time, creating a chain of controllers. In this paper, we propose and evaluate the first automated strategy that takes into account multiple goals without separating them into multiple control strategies. Avoiding the separation al"&amp;"lows us to tackle a larger class of problems and provide stronger guarantees. We test our methodology's generality with three case studies that demonstrate its broad applicability in meeting performance, reliability, quality, security, and energy goals de"&amp;"spite environmental or requirements changes. © 2017 Association for Computing Machinery.")</f>
        <v>Modern software should satisfy multiple goals simultaneously: it should provide predictable performance, be robust to failures, handle peak loads and deal seamlessly with unexpected conditions and changes in the execution environment. For this to happen, software designs should account for the possibility of runtime changes and provide formal guarantees of the software's behavior. Control theory is one of the possible design drivers for runtime adaptation, but adopting control theoretic principles often requires additional, specialized knowledge. To overcome this limitation, automated methodologies have been proposed to extract the necessary information from experimental data and design a control system for runtime adaptation. These proposals, however, only process one goal at a time, creating a chain of controllers. In this paper, we propose and evaluate the first automated strategy that takes into account multiple goals without separating them into multiple control strategies. Avoiding the separation allows us to tackle a larger class of problems and provide stronger guarantees. We test our methodology's generality with three case studies that demonstrate its broad applicability in meeting performance, reliability, quality, security, and energy goals despite environmental or requirements changes. © 2017 Association for Computing Machinery.</v>
      </c>
      <c r="H850" s="8" t="str">
        <f>IFERROR(__xludf.DUMMYFUNCTION("""COMPUTED_VALUE"""),"Adaptive software; Control theory; Dynamic systems; Non-functional requirements")</f>
        <v>Adaptive software; Control theory; Dynamic systems; Non-functional requirements</v>
      </c>
      <c r="I850" s="10" t="b">
        <v>0</v>
      </c>
      <c r="J850" s="10" t="b">
        <v>0</v>
      </c>
      <c r="K850" s="10" t="b">
        <v>0</v>
      </c>
      <c r="L850" s="10" t="b">
        <v>0</v>
      </c>
      <c r="M850" s="10" t="b">
        <v>0</v>
      </c>
      <c r="N850" s="10" t="b">
        <v>0</v>
      </c>
      <c r="O850" s="11" t="b">
        <f t="shared" si="1"/>
        <v>0</v>
      </c>
      <c r="P850" s="16" t="b">
        <v>0</v>
      </c>
      <c r="Q850" s="7"/>
    </row>
    <row r="851">
      <c r="A851" s="5" t="b">
        <v>1</v>
      </c>
      <c r="B851" s="5" t="s">
        <v>895</v>
      </c>
      <c r="C851" s="6" t="str">
        <f>IFERROR(__xludf.DUMMYFUNCTION("""COMPUTED_VALUE"""),"10.1145/3338906.3341465")</f>
        <v>10.1145/3338906.3341465</v>
      </c>
      <c r="D851" s="7" t="str">
        <f>IFERROR(__xludf.DUMMYFUNCTION("""COMPUTED_VALUE"""),"Melegati J.")</f>
        <v>Melegati J.</v>
      </c>
      <c r="E851" s="7" t="str">
        <f>IFERROR(__xludf.DUMMYFUNCTION("""COMPUTED_VALUE"""),"Improving requirements engineering practices to support experimentation in software startups")</f>
        <v>Improving requirements engineering practices to support experimentation in software startups</v>
      </c>
      <c r="F851" s="7" t="str">
        <f>IFERROR(__xludf.DUMMYFUNCTION("""COMPUTED_VALUE"""),"ESEC/FSE")</f>
        <v>ESEC/FSE</v>
      </c>
      <c r="G851" s="7" t="str">
        <f>IFERROR(__xludf.DUMMYFUNCTION("""COMPUTED_VALUE"""),"The importance of startups to economic development is indisputable. Software startups are startups that develop an innovative software-intensive product or service. In spite of the rising of several methodologies to improve their efficiency, most of softw"&amp;"are startups still fail. There are several possible reasons to failure including under or over-engineering the product because of not-suitable engineering practices, wasted resources, and missed market opportunities. The literature argues that experimenta"&amp;"tion is essential to innovation and entrepreneurship. Even though well-known startup development methodologies employ it, studies revealed that practitioners still do not use it. Given that requirements engineering is in between software engineering and b"&amp;"usiness, in this study, I aim to improve these practices to foster experimentation in software startups. To achieve that, first I investigated how requirements engineering activities are performed in software startups. Then, my goal is to propose new requ"&amp;"irements engineering practices to foster experimentation in this context. © 2019 ACM.")</f>
        <v>The importance of startups to economic development is indisputable. Software startups are startups that develop an innovative software-intensive product or service. In spite of the rising of several methodologies to improve their efficiency, most of software startups still fail. There are several possible reasons to failure including under or over-engineering the product because of not-suitable engineering practices, wasted resources, and missed market opportunities. The literature argues that experimentation is essential to innovation and entrepreneurship. Even though well-known startup development methodologies employ it, studies revealed that practitioners still do not use it. Given that requirements engineering is in between software engineering and business, in this study, I aim to improve these practices to foster experimentation in software startups. To achieve that, first I investigated how requirements engineering activities are performed in software startups. Then, my goal is to propose new requirements engineering practices to foster experimentation in this context. © 2019 ACM.</v>
      </c>
      <c r="H851" s="8" t="str">
        <f>IFERROR(__xludf.DUMMYFUNCTION("""COMPUTED_VALUE"""),"Continuous experimentation; Experiment-driven software development; Requirements engineering; Software startups")</f>
        <v>Continuous experimentation; Experiment-driven software development; Requirements engineering; Software startups</v>
      </c>
      <c r="I851" s="10" t="b">
        <v>0</v>
      </c>
      <c r="J851" s="10" t="b">
        <v>0</v>
      </c>
      <c r="K851" s="10" t="b">
        <v>0</v>
      </c>
      <c r="L851" s="10" t="b">
        <v>0</v>
      </c>
      <c r="M851" s="10" t="b">
        <v>0</v>
      </c>
      <c r="N851" s="10" t="b">
        <v>0</v>
      </c>
      <c r="O851" s="11" t="b">
        <f t="shared" si="1"/>
        <v>0</v>
      </c>
      <c r="P851" s="16" t="b">
        <v>0</v>
      </c>
      <c r="Q851" s="7"/>
    </row>
    <row r="852">
      <c r="A852" s="5" t="b">
        <v>1</v>
      </c>
      <c r="B852" s="5" t="s">
        <v>896</v>
      </c>
      <c r="C852" s="6" t="str">
        <f>IFERROR(__xludf.DUMMYFUNCTION("""COMPUTED_VALUE"""),"10.1145/1882291.1882350")</f>
        <v>10.1145/1882291.1882350</v>
      </c>
      <c r="D852" s="7" t="str">
        <f>IFERROR(__xludf.DUMMYFUNCTION("""COMPUTED_VALUE"""),"Liu Y.; Sun J.; Dong J.S.")</f>
        <v>Liu Y.; Sun J.; Dong J.S.</v>
      </c>
      <c r="E852" s="7" t="str">
        <f>IFERROR(__xludf.DUMMYFUNCTION("""COMPUTED_VALUE"""),"Analyzing hierarchical complex real-time systems")</f>
        <v>Analyzing hierarchical complex real-time systems</v>
      </c>
      <c r="F852" s="7" t="str">
        <f>IFERROR(__xludf.DUMMYFUNCTION("""COMPUTED_VALUE"""),"ESEC/FSE")</f>
        <v>ESEC/FSE</v>
      </c>
      <c r="G852" s="7" t="str">
        <f>IFERROR(__xludf.DUMMYFUNCTION("""COMPUTED_VALUE"""),"Specification and verification of real-time systems are important research topics which have practical implications. In this work, we present a self-contained toolkit to analyze real-time systems, which supports system modeling, animated simulation and au"&amp;"tomatic verification (based on advanced model checking techniques like dynamic zone abstraction). In this tool, we adopt an event-based modeling language for describing real-time systems with hierarchical structure. Experiments show that our tool has comp"&amp;"atible performance with the state-of-the-art verifiers, and complement them with additional capabilities like LTL model checking, timed refinement checking.")</f>
        <v>Specification and verification of real-time systems are important research topics which have practical implications. In this work, we present a self-contained toolkit to analyze real-time systems, which supports system modeling, animated simulation and automatic verification (based on advanced model checking techniques like dynamic zone abstraction). In this tool, we adopt an event-based modeling language for describing real-time systems with hierarchical structure. Experiments show that our tool has compatible performance with the state-of-the-art verifiers, and complement them with additional capabilities like LTL model checking, timed refinement checking.</v>
      </c>
      <c r="H852" s="8" t="str">
        <f>IFERROR(__xludf.DUMMYFUNCTION("""COMPUTED_VALUE"""),"real-time system; zone abstraction")</f>
        <v>real-time system; zone abstraction</v>
      </c>
      <c r="I852" s="10" t="b">
        <v>0</v>
      </c>
      <c r="J852" s="10" t="b">
        <v>0</v>
      </c>
      <c r="K852" s="10" t="b">
        <v>0</v>
      </c>
      <c r="L852" s="10" t="b">
        <v>0</v>
      </c>
      <c r="M852" s="10" t="b">
        <v>0</v>
      </c>
      <c r="N852" s="10" t="b">
        <v>0</v>
      </c>
      <c r="O852" s="11" t="b">
        <f t="shared" si="1"/>
        <v>0</v>
      </c>
      <c r="P852" s="16" t="b">
        <v>0</v>
      </c>
      <c r="Q852" s="7"/>
    </row>
    <row r="853">
      <c r="A853" s="5" t="b">
        <v>1</v>
      </c>
      <c r="B853" s="5" t="s">
        <v>897</v>
      </c>
      <c r="C853" s="6" t="str">
        <f>IFERROR(__xludf.DUMMYFUNCTION("""COMPUTED_VALUE"""),"10.1145/2950290.2950337")</f>
        <v>10.1145/2950290.2950337</v>
      </c>
      <c r="D853" s="7" t="str">
        <f>IFERROR(__xludf.DUMMYFUNCTION("""COMPUTED_VALUE"""),"Bagheri H.; Malek S.")</f>
        <v>Bagheri H.; Malek S.</v>
      </c>
      <c r="E853" s="7" t="str">
        <f>IFERROR(__xludf.DUMMYFUNCTION("""COMPUTED_VALUE"""),"Titanium: Efficient analysis of evolving alloy specifications")</f>
        <v>Titanium: Efficient analysis of evolving alloy specifications</v>
      </c>
      <c r="F853" s="7" t="str">
        <f>IFERROR(__xludf.DUMMYFUNCTION("""COMPUTED_VALUE"""),"ESEC/FSE")</f>
        <v>ESEC/FSE</v>
      </c>
      <c r="G853" s="7" t="str">
        <f>IFERROR(__xludf.DUMMYFUNCTION("""COMPUTED_VALUE"""),"The Alloy specification language, and the corresponding Alloy Analyzer, have received much attention in the last two decades with applications in many areas of software engineering. Increasingly, formal analyses enabled by Alloy are desired for use in an "&amp;"on-line mode, where the specifications are automatically kept in sync with the running, possibly changing, software system. However, given Alloy Analyzer's reliance on computationally expensive SAT solvers, an important challenge is the time it takes for "&amp;"such analyses to execute at runtime. The fact that in an on-line mode, the analyses are often repeated on slightly revised versions of a given specification, presents us with an opportunity to tackle this challenge. We present Titanium, an extension of Al"&amp;"loy for formal analysis of evolving specifications. By leveraging the results from previous analyses, Titanium narrows the state space of the revised specification, thereby greatly reducing the required computational effort. We describe the semantic basis"&amp;" of Titanium in terms of models specified in relational logic. We show how the approach can be realized atop an existing relational logic model finder. Our experimental results show Titanium achieves a significant speed-up over Alloy Analyzer when applied"&amp;" to the analysis of evolving specifications. © 2016 ACM.")</f>
        <v>The Alloy specification language, and the corresponding Alloy Analyzer, have received much attention in the last two decades with applications in many areas of software engineering. Increasingly, formal analyses enabled by Alloy are desired for use in an on-line mode, where the specifications are automatically kept in sync with the running, possibly changing, software system. However, given Alloy Analyzer's reliance on computationally expensive SAT solvers, an important challenge is the time it takes for such analyses to execute at runtime. The fact that in an on-line mode, the analyses are often repeated on slightly revised versions of a given specification, presents us with an opportunity to tackle this challenge. We present Titanium, an extension of Alloy for formal analysis of evolving specifications. By leveraging the results from previous analyses, Titanium narrows the state space of the revised specification, thereby greatly reducing the required computational effort. We describe the semantic basis of Titanium in terms of models specified in relational logic. We show how the approach can be realized atop an existing relational logic model finder. Our experimental results show Titanium achieves a significant speed-up over Alloy Analyzer when applied to the analysis of evolving specifications. © 2016 ACM.</v>
      </c>
      <c r="H853" s="8" t="str">
        <f>IFERROR(__xludf.DUMMYFUNCTION("""COMPUTED_VALUE"""),"Evolving Software; Formal Verication; Partial Models; Relational Logic")</f>
        <v>Evolving Software; Formal Verication; Partial Models; Relational Logic</v>
      </c>
      <c r="I853" s="10" t="b">
        <v>0</v>
      </c>
      <c r="J853" s="10" t="b">
        <v>0</v>
      </c>
      <c r="K853" s="10" t="b">
        <v>0</v>
      </c>
      <c r="L853" s="10" t="b">
        <v>0</v>
      </c>
      <c r="M853" s="10" t="b">
        <v>0</v>
      </c>
      <c r="N853" s="10" t="b">
        <v>0</v>
      </c>
      <c r="O853" s="11" t="b">
        <f t="shared" si="1"/>
        <v>0</v>
      </c>
      <c r="P853" s="16" t="b">
        <v>0</v>
      </c>
      <c r="Q853" s="7"/>
    </row>
    <row r="854">
      <c r="A854" s="5" t="b">
        <v>1</v>
      </c>
      <c r="B854" s="5" t="s">
        <v>898</v>
      </c>
      <c r="C854" s="6" t="str">
        <f>IFERROR(__xludf.DUMMYFUNCTION("""COMPUTED_VALUE"""),"10.1145/3468264.3473116")</f>
        <v>10.1145/3468264.3473116</v>
      </c>
      <c r="D854" s="7" t="str">
        <f>IFERROR(__xludf.DUMMYFUNCTION("""COMPUTED_VALUE"""),"Khan T.A.; Sullivan A.; Wang K.")</f>
        <v>Khan T.A.; Sullivan A.; Wang K.</v>
      </c>
      <c r="E854" s="7" t="str">
        <f>IFERROR(__xludf.DUMMYFUNCTION("""COMPUTED_VALUE"""),"AlloyFL: A fault localization framework for Alloy")</f>
        <v>AlloyFL: A fault localization framework for Alloy</v>
      </c>
      <c r="F854" s="7" t="str">
        <f>IFERROR(__xludf.DUMMYFUNCTION("""COMPUTED_VALUE"""),"ESEC/FSE")</f>
        <v>ESEC/FSE</v>
      </c>
      <c r="G854" s="7" t="str">
        <f>IFERROR(__xludf.DUMMYFUNCTION("""COMPUTED_VALUE"""),"Declarative models help improve the reliability of software systems: models can be used to convey requirements, analyze system designs and verify implementation properties. Alloy is a commonly used modeling language. A key strength of Alloy is the Analyze"&amp;"r, Alloy's integrated development environment (IDE), which allows users to write and execute models by leveraging a fully automatic SAT based analysis engine. Unfortunately, writing correct constraints of complex properties is difficult. To help users ide"&amp;"ntify fault locations, AlloyFL is a fault localization technique that takes as input a faulty Alloy model and a fault-revealing test suite. As output, AlloyFL returns a ranked list of locations from most to least suspicious. This paper describes our Java "&amp;"implementation of AlloyFL as an extension to the Analyzer. Our experimental results show AlloyFL is capable of detecting the location of real world faults and works in the presence of multiple faulty locations. The demo video for AlloyFL can be found at h"&amp;"ttps://youtu.be/ZwgP58Nsbx8.  © 2021 Owner/Author.")</f>
        <v>Declarative models help improve the reliability of software systems: models can be used to convey requirements, analyze system designs and verify implementation properties. Alloy is a commonly used modeling language. A key strength of Alloy is the Analyzer, Alloy's integrated development environment (IDE), which allows users to write and execute models by leveraging a fully automatic SAT based analysis engine. Unfortunately, writing correct constraints of complex properties is difficult. To help users identify fault locations, AlloyFL is a fault localization technique that takes as input a faulty Alloy model and a fault-revealing test suite. As output, AlloyFL returns a ranked list of locations from most to least suspicious. This paper describes our Java implementation of AlloyFL as an extension to the Analyzer. Our experimental results show AlloyFL is capable of detecting the location of real world faults and works in the presence of multiple faulty locations. The demo video for AlloyFL can be found at https://youtu.be/ZwgP58Nsbx8.  © 2021 Owner/Author.</v>
      </c>
      <c r="H854" s="8" t="str">
        <f>IFERROR(__xludf.DUMMYFUNCTION("""COMPUTED_VALUE"""),"Alloy; Declarative programming; Fault localization")</f>
        <v>Alloy; Declarative programming; Fault localization</v>
      </c>
      <c r="I854" s="10" t="b">
        <v>0</v>
      </c>
      <c r="J854" s="10" t="b">
        <v>0</v>
      </c>
      <c r="K854" s="10" t="b">
        <v>0</v>
      </c>
      <c r="L854" s="10" t="b">
        <v>0</v>
      </c>
      <c r="M854" s="10" t="b">
        <v>0</v>
      </c>
      <c r="N854" s="10" t="b">
        <v>0</v>
      </c>
      <c r="O854" s="11" t="b">
        <f t="shared" si="1"/>
        <v>0</v>
      </c>
      <c r="P854" s="16" t="b">
        <v>0</v>
      </c>
      <c r="Q854" s="7"/>
    </row>
    <row r="855">
      <c r="A855" s="5" t="b">
        <v>1</v>
      </c>
      <c r="B855" s="5" t="s">
        <v>899</v>
      </c>
      <c r="C855" s="6" t="str">
        <f>IFERROR(__xludf.DUMMYFUNCTION("""COMPUTED_VALUE"""),"10.1145/1287624.1287628")</f>
        <v>10.1145/1287624.1287628</v>
      </c>
      <c r="D855" s="7" t="str">
        <f>IFERROR(__xludf.DUMMYFUNCTION("""COMPUTED_VALUE"""),"Christodorescu M.; Jha S.; Kruegel C.")</f>
        <v>Christodorescu M.; Jha S.; Kruegel C.</v>
      </c>
      <c r="E855" s="7" t="str">
        <f>IFERROR(__xludf.DUMMYFUNCTION("""COMPUTED_VALUE"""),"Mining specifications of malicious behavior")</f>
        <v>Mining specifications of malicious behavior</v>
      </c>
      <c r="F855" s="7" t="str">
        <f>IFERROR(__xludf.DUMMYFUNCTION("""COMPUTED_VALUE"""),"ESEC/FSE")</f>
        <v>ESEC/FSE</v>
      </c>
      <c r="G855" s="7" t="str">
        <f>IFERROR(__xludf.DUMMYFUNCTION("""COMPUTED_VALUE"""),"Malware detectors require a specification of malicious behavior. Typically, these specifications are manually constructed by investigating known malware. We present an automatic technique to overcome this laborious manual process. Our technique derives su"&amp;"ch a specification by comparing the execution behavior of a known malware against the execution behaviors of a set of benign programs. In other words, we mine the malicious behavior present in a known malware that is not present in a set of benign program"&amp;"s. The output of our algorithm can be used by malware detectors to detect malware variants. Since our algorithm provides a succinct description of malicious behavior present in a malware, it can also be used by security analysts for understanding the malw"&amp;"are. We have implemented a prototype based on our algorithm and tested it on several malware programs. Experimental results obtained from our prototype indicate that our algorithm is effective in extracting malicious behaviors that can be used to detect m"&amp;"alware variants. Copyright 2007 ACM.")</f>
        <v>Malware detectors require a specification of malicious behavior. Typically, these specifications are manually constructed by investigating known malware. We present an automatic technique to overcome this laborious manual process. Our technique derives such a specification by comparing the execution behavior of a known malware against the execution behaviors of a set of benign programs. In other words, we mine the malicious behavior present in a known malware that is not present in a set of benign programs. The output of our algorithm can be used by malware detectors to detect malware variants. Since our algorithm provides a succinct description of malicious behavior present in a malware, it can also be used by security analysts for understanding the malware. We have implemented a prototype based on our algorithm and tested it on several malware programs. Experimental results obtained from our prototype indicate that our algorithm is effective in extracting malicious behaviors that can be used to detect malware variants. Copyright 2007 ACM.</v>
      </c>
      <c r="H855" s="8" t="str">
        <f>IFERROR(__xludf.DUMMYFUNCTION("""COMPUTED_VALUE"""),"Behavior-based detection; Differential analysis; Malspec")</f>
        <v>Behavior-based detection; Differential analysis; Malspec</v>
      </c>
      <c r="I855" s="10" t="b">
        <v>0</v>
      </c>
      <c r="J855" s="10" t="b">
        <v>0</v>
      </c>
      <c r="K855" s="10" t="b">
        <v>0</v>
      </c>
      <c r="L855" s="10" t="b">
        <v>0</v>
      </c>
      <c r="M855" s="10" t="b">
        <v>0</v>
      </c>
      <c r="N855" s="10" t="b">
        <v>0</v>
      </c>
      <c r="O855" s="11" t="b">
        <f t="shared" si="1"/>
        <v>0</v>
      </c>
      <c r="P855" s="16" t="b">
        <v>0</v>
      </c>
      <c r="Q855" s="7"/>
    </row>
    <row r="856">
      <c r="A856" s="5" t="b">
        <v>1</v>
      </c>
      <c r="B856" s="5" t="s">
        <v>900</v>
      </c>
      <c r="C856" s="6" t="str">
        <f>IFERROR(__xludf.DUMMYFUNCTION("""COMPUTED_VALUE"""),"10.1145/1181775.1181801")</f>
        <v>10.1145/1181775.1181801</v>
      </c>
      <c r="D856" s="7" t="str">
        <f>IFERROR(__xludf.DUMMYFUNCTION("""COMPUTED_VALUE"""),"Cobleigh R.L.; Avrunin G.S.; Clarke L.A.")</f>
        <v>Cobleigh R.L.; Avrunin G.S.; Clarke L.A.</v>
      </c>
      <c r="E856" s="7" t="str">
        <f>IFERROR(__xludf.DUMMYFUNCTION("""COMPUTED_VALUE"""),"User guidance for creating precise and accessible property specifications")</f>
        <v>User guidance for creating precise and accessible property specifications</v>
      </c>
      <c r="F856" s="7" t="str">
        <f>IFERROR(__xludf.DUMMYFUNCTION("""COMPUTED_VALUE"""),"ESEC/FSE")</f>
        <v>ESEC/FSE</v>
      </c>
      <c r="G856" s="7" t="str">
        <f>IFERROR(__xludf.DUMMYFUNCTION("""COMPUTED_VALUE"""),"Property specifications concisely describe aspects of what a system is supposed to do. No matter what notation is used to describe them, however, it is difficult to represent these properties correctly, since there are often subtle, but important, details"&amp;" that need to be considered. Propel aims to guide users through the process of creating properties that are both accessible and mathematically precise, by providing templates for commonly-occurring property patterns. These templates explicitly represent t"&amp;"hese subtle details as options. In this paper, we present a new representation of these templates, a Question Tree that asks users a hierarchical sequence of questions about their intended properties. The Question Tree representation is particularly usefu"&amp;"l for helping users select the appropriate template, but it also complements the finite-state automaton and disciplined natural language representations provided by Propel. We also report on some case studies and on an experimental evaluation of the under"&amp;"standability of the disciplined natural language representation. Copyright ACM 2006.")</f>
        <v>Property specifications concisely describe aspects of what a system is supposed to do. No matter what notation is used to describe them, however, it is difficult to represent these properties correctly, since there are often subtle, but important, details that need to be considered. Propel aims to guide users through the process of creating properties that are both accessible and mathematically precise, by providing templates for commonly-occurring property patterns. These templates explicitly represent these subtle details as options. In this paper, we present a new representation of these templates, a Question Tree that asks users a hierarchical sequence of questions about their intended properties. The Question Tree representation is particularly useful for helping users select the appropriate template, but it also complements the finite-state automaton and disciplined natural language representations provided by Propel. We also report on some case studies and on an experimental evaluation of the understandability of the disciplined natural language representation. Copyright ACM 2006.</v>
      </c>
      <c r="H856" s="8" t="str">
        <f>IFERROR(__xludf.DUMMYFUNCTION("""COMPUTED_VALUE"""),"Property specifications")</f>
        <v>Property specifications</v>
      </c>
      <c r="I856" s="9" t="b">
        <v>1</v>
      </c>
      <c r="J856" s="9" t="b">
        <v>1</v>
      </c>
      <c r="K856" s="9" t="b">
        <v>1</v>
      </c>
      <c r="L856" s="10" t="b">
        <v>0</v>
      </c>
      <c r="M856" s="10" t="b">
        <v>0</v>
      </c>
      <c r="N856" s="10" t="b">
        <v>0</v>
      </c>
      <c r="O856" s="11" t="b">
        <f t="shared" si="1"/>
        <v>1</v>
      </c>
      <c r="P856" s="12" t="b">
        <v>0</v>
      </c>
      <c r="Q856" s="7"/>
    </row>
    <row r="857">
      <c r="A857" s="5" t="b">
        <v>1</v>
      </c>
      <c r="B857" s="5" t="s">
        <v>901</v>
      </c>
      <c r="C857" s="6" t="str">
        <f>IFERROR(__xludf.DUMMYFUNCTION("""COMPUTED_VALUE"""),"10.1145/3368089.3409719")</f>
        <v>10.1145/3368089.3409719</v>
      </c>
      <c r="D857" s="7" t="str">
        <f>IFERROR(__xludf.DUMMYFUNCTION("""COMPUTED_VALUE"""),"Godefroid P.; Huang B.-Y.; Polishchuk M.")</f>
        <v>Godefroid P.; Huang B.-Y.; Polishchuk M.</v>
      </c>
      <c r="E857" s="7" t="str">
        <f>IFERROR(__xludf.DUMMYFUNCTION("""COMPUTED_VALUE"""),"Intelligent REST API data fuzzing")</f>
        <v>Intelligent REST API data fuzzing</v>
      </c>
      <c r="F857" s="7" t="str">
        <f>IFERROR(__xludf.DUMMYFUNCTION("""COMPUTED_VALUE"""),"ESEC/FSE")</f>
        <v>ESEC/FSE</v>
      </c>
      <c r="G857" s="7" t="str">
        <f>IFERROR(__xludf.DUMMYFUNCTION("""COMPUTED_VALUE"""),"The cloud runs on REST APIs. In this paper, we study how to intelligently generate data payloads embedded in REST API requests in order to find data-processing bugs in cloud services. We discuss how to leverage REST API specifications, which, by definitio"&amp;"n, contain data schemas for API request bodies. We then propose and evaluate a range of data fuzzing techniques, including structural schema fuzzing rules, various rule combinations, search heuristics, extracting data values from examples included in REST"&amp;" API specifications, and learning data values on-the-fly from previous service responses. After evaluating these techniques, we identify the top-performing combination and use this algorithm to fuzz several Microsoft Azure cloud services. During our exper"&amp;"iments, we found 100s of ""Internal Server Error""service crashes, which we triaged into 17 unique bugs and reported to Azure developers. All these bugs are reproducible, confirmed, and fixed or in the process of being fixed. © 2020 ACM.")</f>
        <v>The cloud runs on REST APIs. In this paper, we study how to intelligently generate data payloads embedded in REST API requests in order to find data-processing bugs in cloud services. We discuss how to leverage REST API specifications, which, by definition, contain data schemas for API request bodies. We then propose and evaluate a range of data fuzzing techniques, including structural schema fuzzing rules, various rule combinations, search heuristics, extracting data values from examples included in REST API specifications, and learning data values on-the-fly from previous service responses. After evaluating these techniques, we identify the top-performing combination and use this algorithm to fuzz several Microsoft Azure cloud services. During our experiments, we found 100s of "Internal Server Error"service crashes, which we triaged into 17 unique bugs and reported to Azure developers. All these bugs are reproducible, confirmed, and fixed or in the process of being fixed. © 2020 ACM.</v>
      </c>
      <c r="H857" s="8" t="str">
        <f>IFERROR(__xludf.DUMMYFUNCTION("""COMPUTED_VALUE"""),"API data-payload testing; Cloud security and reliability; JSON data fuzzing; REST APIs")</f>
        <v>API data-payload testing; Cloud security and reliability; JSON data fuzzing; REST APIs</v>
      </c>
      <c r="I857" s="10" t="b">
        <v>0</v>
      </c>
      <c r="J857" s="10" t="b">
        <v>0</v>
      </c>
      <c r="K857" s="10" t="b">
        <v>0</v>
      </c>
      <c r="L857" s="10" t="b">
        <v>0</v>
      </c>
      <c r="M857" s="10" t="b">
        <v>0</v>
      </c>
      <c r="N857" s="10" t="b">
        <v>0</v>
      </c>
      <c r="O857" s="11" t="b">
        <f t="shared" si="1"/>
        <v>0</v>
      </c>
      <c r="P857" s="16" t="b">
        <v>0</v>
      </c>
      <c r="Q857" s="7"/>
    </row>
    <row r="858">
      <c r="A858" s="5" t="b">
        <v>1</v>
      </c>
      <c r="B858" s="5" t="s">
        <v>902</v>
      </c>
      <c r="C858" s="6" t="str">
        <f>IFERROR(__xludf.DUMMYFUNCTION("""COMPUTED_VALUE"""),"10.1145/3106237.3106284")</f>
        <v>10.1145/3106237.3106284</v>
      </c>
      <c r="D858" s="7" t="str">
        <f>IFERROR(__xludf.DUMMYFUNCTION("""COMPUTED_VALUE"""),"Murali V.; Chaudhuri S.; Jermaine C.")</f>
        <v>Murali V.; Chaudhuri S.; Jermaine C.</v>
      </c>
      <c r="E858" s="7" t="str">
        <f>IFERROR(__xludf.DUMMYFUNCTION("""COMPUTED_VALUE"""),"Bayesian specification learning for finding API usage errors")</f>
        <v>Bayesian specification learning for finding API usage errors</v>
      </c>
      <c r="F858" s="7" t="str">
        <f>IFERROR(__xludf.DUMMYFUNCTION("""COMPUTED_VALUE"""),"ESEC/FSE")</f>
        <v>ESEC/FSE</v>
      </c>
      <c r="G858" s="7" t="str">
        <f>IFERROR(__xludf.DUMMYFUNCTION("""COMPUTED_VALUE"""),"We present a Bayesian framework for learning probabilistic specifications from large, unstructured code corpora, and then using these specifications to statically detect anomalous, hence likely buggy, program behavior. Our key insight is to build a statis"&amp;"tical model that correlates all specifications hidden inside a corpus with the syntax and observed behavior of programs that implement these specifications. During the analysis of a particular program, this model is conditioned into a posterior distributi"&amp;"on that prioritizes specifications that are relevant to the program. The problem of finding anomalies is now framed quantitatively, as a problem of computing a distance between a ""reference distribution""over program behaviors that our model expects from"&amp;" the program, and the distribution over behaviors that the program actually produces. We implement our ideas in a system, called Salento, for finding anomalous API usage in Android programs. Salento learns specifications using a combination of a topic mod"&amp;"el and a neural network model. Our encouraging experimental results show that the system can automatically discover subtle errors in Android applications in the wild, and has high precision and recall compared to competing probabilistic approaches.  © 201"&amp;"7 ACM.")</f>
        <v>We present a Bayesian framework for learning probabilistic specifications from large, unstructured code corpora, and then using these specifications to statically detect anomalous, hence likely buggy, program behavior. Our key insight is to build a statistical model that correlates all specifications hidden inside a corpus with the syntax and observed behavior of programs that implement these specifications. During the analysis of a particular program, this model is conditioned into a posterior distribution that prioritizes specifications that are relevant to the program. The problem of finding anomalies is now framed quantitatively, as a problem of computing a distance between a "reference distribution"over program behaviors that our model expects from the program, and the distribution over behaviors that the program actually produces. We implement our ideas in a system, called Salento, for finding anomalous API usage in Android programs. Salento learns specifications using a combination of a topic model and a neural network model. Our encouraging experimental results show that the system can automatically discover subtle errors in Android applications in the wild, and has high precision and recall compared to competing probabilistic approaches.  © 2017 ACM.</v>
      </c>
      <c r="H858" s="8" t="str">
        <f>IFERROR(__xludf.DUMMYFUNCTION("""COMPUTED_VALUE"""),"Anomaly Detection; APIs; Bug Finding; Specification Learning")</f>
        <v>Anomaly Detection; APIs; Bug Finding; Specification Learning</v>
      </c>
      <c r="I858" s="10" t="b">
        <v>0</v>
      </c>
      <c r="J858" s="10" t="b">
        <v>0</v>
      </c>
      <c r="K858" s="10" t="b">
        <v>0</v>
      </c>
      <c r="L858" s="10" t="b">
        <v>0</v>
      </c>
      <c r="M858" s="10" t="b">
        <v>0</v>
      </c>
      <c r="N858" s="10" t="b">
        <v>0</v>
      </c>
      <c r="O858" s="11" t="b">
        <f t="shared" si="1"/>
        <v>0</v>
      </c>
      <c r="P858" s="16" t="b">
        <v>0</v>
      </c>
      <c r="Q858" s="7"/>
    </row>
    <row r="859">
      <c r="A859" s="5" t="b">
        <v>1</v>
      </c>
      <c r="B859" s="5" t="s">
        <v>903</v>
      </c>
      <c r="C859" s="6" t="str">
        <f>IFERROR(__xludf.DUMMYFUNCTION("""COMPUTED_VALUE"""),"10.1145/222124.222144")</f>
        <v>10.1145/222124.222144</v>
      </c>
      <c r="D859" s="7" t="str">
        <f>IFERROR(__xludf.DUMMYFUNCTION("""COMPUTED_VALUE"""),"Porter A.; Siy H.; Toman C.A.; Votta L.G.")</f>
        <v>Porter A.; Siy H.; Toman C.A.; Votta L.G.</v>
      </c>
      <c r="E859" s="7" t="str">
        <f>IFERROR(__xludf.DUMMYFUNCTION("""COMPUTED_VALUE"""),"Experiment to assess the cost-benefits of code inspections in large scale software development")</f>
        <v>Experiment to assess the cost-benefits of code inspections in large scale software development</v>
      </c>
      <c r="F859" s="7" t="str">
        <f>IFERROR(__xludf.DUMMYFUNCTION("""COMPUTED_VALUE"""),"ESEC/FSE")</f>
        <v>ESEC/FSE</v>
      </c>
      <c r="G859" s="7" t="str">
        <f>IFERROR(__xludf.DUMMYFUNCTION("""COMPUTED_VALUE"""),"A long-term experiment is being conducted to compare the costs and benefits of several different software inspection methods. For each inspection, three independent variables are assigned: the number of reviewers on each inspection team, the number of tea"&amp;"ms inspecting the code unit and the requirement that defects be repaired between the first and second team's inspections. The reviewers for each inspection are randomly selected without replacement from a pool of 11 experienced software developers. The de"&amp;"pendent variables for each inspection include inspection interval, total effort and defect detection rate.")</f>
        <v>A long-term experiment is being conducted to compare the costs and benefits of several different software inspection methods. For each inspection, three independent variables are assigned: the number of reviewers on each inspection team, the number of teams inspecting the code unit and the requirement that defects be repaired between the first and second team's inspections. The reviewers for each inspection are randomly selected without replacement from a pool of 11 experienced software developers. The dependent variables for each inspection include inspection interval, total effort and defect detection rate.</v>
      </c>
      <c r="H859" s="8"/>
      <c r="I859" s="9" t="b">
        <v>1</v>
      </c>
      <c r="J859" s="10" t="b">
        <v>0</v>
      </c>
      <c r="K859" s="9" t="b">
        <v>1</v>
      </c>
      <c r="L859" s="10" t="b">
        <v>0</v>
      </c>
      <c r="M859" s="10" t="b">
        <v>0</v>
      </c>
      <c r="N859" s="10" t="b">
        <v>0</v>
      </c>
      <c r="O859" s="11" t="b">
        <f t="shared" si="1"/>
        <v>0</v>
      </c>
      <c r="P859" s="16" t="b">
        <v>0</v>
      </c>
      <c r="Q859" s="7"/>
    </row>
    <row r="860">
      <c r="A860" s="5" t="b">
        <v>1</v>
      </c>
      <c r="B860" s="5" t="s">
        <v>904</v>
      </c>
      <c r="C860" s="6" t="str">
        <f>IFERROR(__xludf.DUMMYFUNCTION("""COMPUTED_VALUE"""),"10.1145/2635868.2635888")</f>
        <v>10.1145/2635868.2635888</v>
      </c>
      <c r="D860" s="7" t="str">
        <f>IFERROR(__xludf.DUMMYFUNCTION("""COMPUTED_VALUE"""),"Goffi A.; Gorla A.; Mattavelli A.; Pezzè M.; Tonellax P.")</f>
        <v>Goffi A.; Gorla A.; Mattavelli A.; Pezzè M.; Tonellax P.</v>
      </c>
      <c r="E860" s="7" t="str">
        <f>IFERROR(__xludf.DUMMYFUNCTION("""COMPUTED_VALUE"""),"Search-based synthesis of equivalent method sequences")</f>
        <v>Search-based synthesis of equivalent method sequences</v>
      </c>
      <c r="F860" s="7" t="str">
        <f>IFERROR(__xludf.DUMMYFUNCTION("""COMPUTED_VALUE"""),"ESEC/FSE")</f>
        <v>ESEC/FSE</v>
      </c>
      <c r="G860" s="7" t="str">
        <f>IFERROR(__xludf.DUMMYFUNCTION("""COMPUTED_VALUE"""),"Software components are usually redundant, since their interface offers different operations that are equivalent in their functional behavior. Several reliability techniques exploit this redundancy to either detect or tolerate faults in software. Metamorp"&amp;"hic testing, for instance, executes pairs of sequences of operations that are expected to produce equivalent results, and identifies faults in case of mismatching outcomes. Some popular fault tolerance and self-healing techniques execute redundant operati"&amp;"ons in an attempt to avoid failures at runtime. The common assumption of these techniques, though, is that such redundancy is known a priori. This means that the set of operations that are supposed to be equivalent in a given component should be available"&amp;" in the specifications. Unfortunately, inferring this information manually can be expensive and error prone. This paper proposes a search-based technique to synthesize sequences of method invocations that are equivalent to a target method within a finite "&amp;"set of execution scenarios. The experimental results obtained on 47 methods from 7 classes show that the proposed approach correctly identifies equivalent method sequences in the majority of the cases where redundancy was known to exist, with very few fal"&amp;"se positives. Copyright 2014 ACM.")</f>
        <v>Software components are usually redundant, since their interface offers different operations that are equivalent in their functional behavior. Several reliability techniques exploit this redundancy to either detect or tolerate faults in software. Metamorphic testing, for instance, executes pairs of sequences of operations that are expected to produce equivalent results, and identifies faults in case of mismatching outcomes. Some popular fault tolerance and self-healing techniques execute redundant operations in an attempt to avoid failures at runtime. The common assumption of these techniques, though, is that such redundancy is known a priori. This means that the set of operations that are supposed to be equivalent in a given component should be available in the specifications. Unfortunately, inferring this information manually can be expensive and error prone. This paper proposes a search-based technique to synthesize sequences of method invocations that are equivalent to a target method within a finite set of execution scenarios. The experimental results obtained on 47 methods from 7 classes show that the proposed approach correctly identifies equivalent method sequences in the majority of the cases where redundancy was known to exist, with very few false positives. Copyright 2014 ACM.</v>
      </c>
      <c r="H860" s="8" t="str">
        <f>IFERROR(__xludf.DUMMYFUNCTION("""COMPUTED_VALUE"""),"Equivalent method sequences; Redundancy; Search-based software engineering; Specification mining")</f>
        <v>Equivalent method sequences; Redundancy; Search-based software engineering; Specification mining</v>
      </c>
      <c r="I860" s="10" t="b">
        <v>0</v>
      </c>
      <c r="J860" s="10" t="b">
        <v>0</v>
      </c>
      <c r="K860" s="10" t="b">
        <v>0</v>
      </c>
      <c r="L860" s="10" t="b">
        <v>0</v>
      </c>
      <c r="M860" s="10" t="b">
        <v>0</v>
      </c>
      <c r="N860" s="10" t="b">
        <v>0</v>
      </c>
      <c r="O860" s="11" t="b">
        <f t="shared" si="1"/>
        <v>0</v>
      </c>
      <c r="P860" s="16" t="b">
        <v>0</v>
      </c>
      <c r="Q860" s="7"/>
    </row>
    <row r="861">
      <c r="A861" s="5" t="b">
        <v>1</v>
      </c>
      <c r="B861" s="5" t="s">
        <v>905</v>
      </c>
      <c r="C861" s="6" t="str">
        <f>IFERROR(__xludf.DUMMYFUNCTION("""COMPUTED_VALUE"""),"10.1145/3468264.3468532")</f>
        <v>10.1145/3468264.3468532</v>
      </c>
      <c r="D861" s="7" t="str">
        <f>IFERROR(__xludf.DUMMYFUNCTION("""COMPUTED_VALUE"""),"Yang C.; Li Y.; Xu M.; Chen Z.; Liu Y.; Huang G.; Liu X.")</f>
        <v>Yang C.; Li Y.; Xu M.; Chen Z.; Liu Y.; Huang G.; Liu X.</v>
      </c>
      <c r="E861" s="7" t="str">
        <f>IFERROR(__xludf.DUMMYFUNCTION("""COMPUTED_VALUE"""),"TaintStream: Fine-grained taint tracking for big data platforms through dynamic code translation")</f>
        <v>TaintStream: Fine-grained taint tracking for big data platforms through dynamic code translation</v>
      </c>
      <c r="F861" s="7" t="str">
        <f>IFERROR(__xludf.DUMMYFUNCTION("""COMPUTED_VALUE"""),"ESEC/FSE")</f>
        <v>ESEC/FSE</v>
      </c>
      <c r="G861" s="7" t="str">
        <f>IFERROR(__xludf.DUMMYFUNCTION("""COMPUTED_VALUE"""),"Big data has become valuable property for enterprises and enabled various intelligent applications. Today, it is common to host data in big data platforms (e.g., Spark), where developers can submit scripts to process the original and intermediate data tab"&amp;"les. Meanwhile, it is highly desirable to manage the data to comply with various privacy requirements. To enable flexible and automated privacy policy enforcement, we propose TaintStream, a fine-grained taint tracking framework for Spark-like big data pla"&amp;"tforms. TaintStream works by automatically injecting taint tracking logic into the data processing scripts, and the injected scripts are dynamically translated to maintain a taint tag for each cell during execution. The dynamic translation rules are caref"&amp;"ully designed to guarantee non-interference in the original data operation. By defining different semantics of taint tags, TaintStream can enable various data management applications such as access control, data retention, and user data erasure. Our exper"&amp;"iments on a self-crafted benchmarksuite show that TaintStream is able to achieve accurate cell-level taint tracking with a precision of 93.0% and less than 15% overhead. We also demonstrate the usefulness of TaintStream through several real-world use case"&amp;"s of privacy policy enforcement.  © 2021 ACM.")</f>
        <v>Big data has become valuable property for enterprises and enabled various intelligent applications. Today, it is common to host data in big data platforms (e.g., Spark), where developers can submit scripts to process the original and intermediate data tables. Meanwhile, it is highly desirable to manage the data to comply with various privacy requirements. To enable flexible and automated privacy policy enforcement, we propose TaintStream, a fine-grained taint tracking framework for Spark-like big data platforms. TaintStream works by automatically injecting taint tracking logic into the data processing scripts, and the injected scripts are dynamically translated to maintain a taint tag for each cell during execution. The dynamic translation rules are carefully designed to guarantee non-interference in the original data operation. By defining different semantics of taint tags, TaintStream can enable various data management applications such as access control, data retention, and user data erasure. Our experiments on a self-crafted benchmarksuite show that TaintStream is able to achieve accurate cell-level taint tracking with a precision of 93.0% and less than 15% overhead. We also demonstrate the usefulness of TaintStream through several real-world use cases of privacy policy enforcement.  © 2021 ACM.</v>
      </c>
      <c r="H861" s="8" t="str">
        <f>IFERROR(__xludf.DUMMYFUNCTION("""COMPUTED_VALUE"""),"big data platform; GDPR; privacy compliance; Taint tracking")</f>
        <v>big data platform; GDPR; privacy compliance; Taint tracking</v>
      </c>
      <c r="I861" s="10" t="b">
        <v>0</v>
      </c>
      <c r="J861" s="10" t="b">
        <v>0</v>
      </c>
      <c r="K861" s="10" t="b">
        <v>0</v>
      </c>
      <c r="L861" s="10" t="b">
        <v>0</v>
      </c>
      <c r="M861" s="10" t="b">
        <v>0</v>
      </c>
      <c r="N861" s="10" t="b">
        <v>0</v>
      </c>
      <c r="O861" s="11" t="b">
        <f t="shared" si="1"/>
        <v>0</v>
      </c>
      <c r="P861" s="16" t="b">
        <v>0</v>
      </c>
      <c r="Q861" s="7"/>
    </row>
    <row r="862">
      <c r="A862" s="5" t="b">
        <v>1</v>
      </c>
      <c r="B862" s="5" t="s">
        <v>906</v>
      </c>
      <c r="C862" s="6" t="str">
        <f>IFERROR(__xludf.DUMMYFUNCTION("""COMPUTED_VALUE"""),"10.1109/ICSE48619.2023.00032")</f>
        <v>10.1109/ICSE48619.2023.00032</v>
      </c>
      <c r="D862" s="7" t="str">
        <f>IFERROR(__xludf.DUMMYFUNCTION("""COMPUTED_VALUE"""),"Wang X.; Zhao L.")</f>
        <v>Wang X.; Zhao L.</v>
      </c>
      <c r="E862" s="7" t="str">
        <f>IFERROR(__xludf.DUMMYFUNCTION("""COMPUTED_VALUE"""),"APICAD: Augmenting API Misuse Detection through Specifications from Code and Documents")</f>
        <v>APICAD: Augmenting API Misuse Detection through Specifications from Code and Documents</v>
      </c>
      <c r="F862" s="7" t="str">
        <f>IFERROR(__xludf.DUMMYFUNCTION("""COMPUTED_VALUE"""),"ICSE")</f>
        <v>ICSE</v>
      </c>
      <c r="G862" s="7" t="str">
        <f>IFERROR(__xludf.DUMMYFUNCTION("""COMPUTED_VALUE"""),"Using API should follow its specifications. Otherwise, it can bring security impacts while the functionality is damaged. To detect API misuse, we need to know what its specifications are. In addition to being provided manually, current tools usually mine "&amp;"the majority usage in the existing codebase as specifications, or capture specifications from its relevant texts in human language. However, the former depends on the quality of the codebase itself, while the latter is limited to the irregularity of the t"&amp;"ext. In this work, we observe that the information carried by code and documents can complement each other. To mitigate the demand for a high-quality codebase and reduce the pressure to capture valid information from texts, we present APICAD to detect API"&amp;" misuse bugs of C/C++ by combining the specifications mined from code and documents. On the one hand, we effectively build the contexts for API invocations and mine specifications from them through a frequency-based method. On the other hand, we acquire t"&amp;"he specifications from documents by using lightweight keyword-based and NLP-assisted techniques. Finally, the combined specifications are generated for bug detection. Experiments show that APICAD can handle diverse API usage semantics to deal with differe"&amp;"nt types of API misuse bugs. With the help of APICAD, we report 153 new bugs in Curl, Httpd, OpenSSL and Linux kernel, 145 of which have been confirmed and 126 have applied our patches. © 2023 IEEE.")</f>
        <v>Using API should follow its specifications. Otherwise, it can bring security impacts while the functionality is damaged. To detect API misuse, we need to know what its specifications are. In addition to being provided manually, current tools usually mine the majority usage in the existing codebase as specifications, or capture specifications from its relevant texts in human language. However, the former depends on the quality of the codebase itself, while the latter is limited to the irregularity of the text. In this work, we observe that the information carried by code and documents can complement each other. To mitigate the demand for a high-quality codebase and reduce the pressure to capture valid information from texts, we present APICAD to detect API misuse bugs of C/C++ by combining the specifications mined from code and documents. On the one hand, we effectively build the contexts for API invocations and mine specifications from them through a frequency-based method. On the other hand, we acquire the specifications from documents by using lightweight keyword-based and NLP-assisted techniques. Finally, the combined specifications are generated for bug detection. Experiments show that APICAD can handle diverse API usage semantics to deal with different types of API misuse bugs. With the help of APICAD, we report 153 new bugs in Curl, Httpd, OpenSSL and Linux kernel, 145 of which have been confirmed and 126 have applied our patches. © 2023 IEEE.</v>
      </c>
      <c r="H862" s="8"/>
      <c r="I862" s="10" t="b">
        <v>0</v>
      </c>
      <c r="J862" s="10" t="b">
        <v>0</v>
      </c>
      <c r="K862" s="10" t="b">
        <v>0</v>
      </c>
      <c r="L862" s="10" t="b">
        <v>0</v>
      </c>
      <c r="M862" s="10" t="b">
        <v>0</v>
      </c>
      <c r="N862" s="10" t="b">
        <v>0</v>
      </c>
      <c r="O862" s="11" t="b">
        <f t="shared" si="1"/>
        <v>0</v>
      </c>
      <c r="P862" s="16" t="b">
        <v>0</v>
      </c>
      <c r="Q862" s="7"/>
    </row>
    <row r="863">
      <c r="A863" s="5" t="b">
        <v>1</v>
      </c>
      <c r="B863" s="5" t="s">
        <v>907</v>
      </c>
      <c r="C863" s="6" t="str">
        <f>IFERROR(__xludf.DUMMYFUNCTION("""COMPUTED_VALUE"""),"10.1109/ICSE-Companion52605.2021.00097")</f>
        <v>10.1109/ICSE-Companion52605.2021.00097</v>
      </c>
      <c r="D863" s="7" t="str">
        <f>IFERROR(__xludf.DUMMYFUNCTION("""COMPUTED_VALUE"""),"Maoz S.; Shalom R.")</f>
        <v>Maoz S.; Shalom R.</v>
      </c>
      <c r="E863" s="7" t="str">
        <f>IFERROR(__xludf.DUMMYFUNCTION("""COMPUTED_VALUE"""),"Unrealizable Cores for Reactive Systems Specifications: Artifact")</f>
        <v>Unrealizable Cores for Reactive Systems Specifications: Artifact</v>
      </c>
      <c r="F863" s="7" t="str">
        <f>IFERROR(__xludf.DUMMYFUNCTION("""COMPUTED_VALUE"""),"ICSE")</f>
        <v>ICSE</v>
      </c>
      <c r="G863" s="7" t="str">
        <f>IFERROR(__xludf.DUMMYFUNCTION("""COMPUTED_VALUE"""),"This document describes the artifact that accompanies the ICSE'21 paper 'Unrealizable Cores for Reactive Systems Specifications'. The artifact includes the specifications that were used in the experiments that are described in the paper. It further includ"&amp;"es an executable that allows interested readers to reproduce these experiments and inspect their results. Additionally, the executable is applicable to any specification in Spectra format, which allows conducting similar experiments over any Spectra speci"&amp;"fication. We hope the artifact will be useful for researchers who are interested in reactive synthesis, specifically in different means to deal with unrealizable specifications. © 2021 IEEE.")</f>
        <v>This document describes the artifact that accompanies the ICSE'21 paper 'Unrealizable Cores for Reactive Systems Specifications'. The artifact includes the specifications that were used in the experiments that are described in the paper. It further includes an executable that allows interested readers to reproduce these experiments and inspect their results. Additionally, the executable is applicable to any specification in Spectra format, which allows conducting similar experiments over any Spectra specification. We hope the artifact will be useful for researchers who are interested in reactive synthesis, specifically in different means to deal with unrealizable specifications. © 2021 IEEE.</v>
      </c>
      <c r="H863" s="8" t="str">
        <f>IFERROR(__xludf.DUMMYFUNCTION("""COMPUTED_VALUE"""),"Reactive systems; Specification; Unrealizability")</f>
        <v>Reactive systems; Specification; Unrealizability</v>
      </c>
      <c r="I863" s="10" t="b">
        <v>0</v>
      </c>
      <c r="J863" s="10" t="b">
        <v>0</v>
      </c>
      <c r="K863" s="10" t="b">
        <v>0</v>
      </c>
      <c r="L863" s="10" t="b">
        <v>0</v>
      </c>
      <c r="M863" s="10" t="b">
        <v>0</v>
      </c>
      <c r="N863" s="10" t="b">
        <v>0</v>
      </c>
      <c r="O863" s="11" t="b">
        <f t="shared" si="1"/>
        <v>0</v>
      </c>
      <c r="P863" s="16" t="b">
        <v>0</v>
      </c>
      <c r="Q863" s="7"/>
    </row>
    <row r="864">
      <c r="A864" s="5" t="b">
        <v>1</v>
      </c>
      <c r="B864" s="5" t="s">
        <v>908</v>
      </c>
      <c r="C864" s="6" t="str">
        <f>IFERROR(__xludf.DUMMYFUNCTION("""COMPUTED_VALUE"""),"10.1145/3196478.3196481")</f>
        <v>10.1145/3196478.3196481</v>
      </c>
      <c r="D864" s="7" t="str">
        <f>IFERROR(__xludf.DUMMYFUNCTION("""COMPUTED_VALUE"""),"Tranoris C.; Denazis S.; Guardalben L.; Pereira J.; Sargento S.")</f>
        <v>Tranoris C.; Denazis S.; Guardalben L.; Pereira J.; Sargento S.</v>
      </c>
      <c r="E864" s="7" t="str">
        <f>IFERROR(__xludf.DUMMYFUNCTION("""COMPUTED_VALUE"""),"Enabling cyber-physical systems for 5G networking: A case study on the automotive vertical domain")</f>
        <v>Enabling cyber-physical systems for 5G networking: A case study on the automotive vertical domain</v>
      </c>
      <c r="F864" s="7" t="str">
        <f>IFERROR(__xludf.DUMMYFUNCTION("""COMPUTED_VALUE"""),"ICSE")</f>
        <v>ICSE</v>
      </c>
      <c r="G864" s="7" t="str">
        <f>IFERROR(__xludf.DUMMYFUNCTION("""COMPUTED_VALUE"""),"5G is the next generation networking infrastructure with a strong focus on requirements of various vertical domains. 5G brings improvements on networking performance but also introduces new services for deploying software involving networking aspects in a"&amp;"n end-to-end manner from the edge to the cloud, affecting the way we will deploy software. One of the most promising verticals is the Automotive Vertical, where 5G will bring characteristics such as low delays and high bandwidth, enabling complex V2X scen"&amp;"arios. This paper reports experiments made using a popular 5G technology, called NFV Management and Orchestration platform, the Open Source MANO (OSM), by remotely placing Virtual Network Functions to Vehicles containing a smart Edge Device for: i) remote"&amp;"ly monitoring through the OBD-II interface and ii) video streaming between V2V for assisted overtaking. The described process can be applied to other types of systems containing a smart Edge Device, enabling them as networking resources of future 5G netwo"&amp;"rk deployments, demonstrating how future CPSs could be engineered and benefit from emerging 5G services∗ © 2018 ACM.")</f>
        <v>5G is the next generation networking infrastructure with a strong focus on requirements of various vertical domains. 5G brings improvements on networking performance but also introduces new services for deploying software involving networking aspects in an end-to-end manner from the edge to the cloud, affecting the way we will deploy software. One of the most promising verticals is the Automotive Vertical, where 5G will bring characteristics such as low delays and high bandwidth, enabling complex V2X scenarios. This paper reports experiments made using a popular 5G technology, called NFV Management and Orchestration platform, the Open Source MANO (OSM), by remotely placing Virtual Network Functions to Vehicles containing a smart Edge Device for: i) remotely monitoring through the OBD-II interface and ii) video streaming between V2V for assisted overtaking. The described process can be applied to other types of systems containing a smart Edge Device, enabling them as networking resources of future 5G network deployments, demonstrating how future CPSs could be engineered and benefit from emerging 5G services∗ © 2018 ACM.</v>
      </c>
      <c r="H864" s="8" t="str">
        <f>IFERROR(__xludf.DUMMYFUNCTION("""COMPUTED_VALUE"""),"5G networking for CPS; NFV MANO; V2V; Vehicle monitoring")</f>
        <v>5G networking for CPS; NFV MANO; V2V; Vehicle monitoring</v>
      </c>
      <c r="I864" s="10" t="b">
        <v>0</v>
      </c>
      <c r="J864" s="10" t="b">
        <v>0</v>
      </c>
      <c r="K864" s="10" t="b">
        <v>0</v>
      </c>
      <c r="L864" s="10" t="b">
        <v>0</v>
      </c>
      <c r="M864" s="10" t="b">
        <v>0</v>
      </c>
      <c r="N864" s="10" t="b">
        <v>0</v>
      </c>
      <c r="O864" s="11" t="b">
        <f t="shared" si="1"/>
        <v>0</v>
      </c>
      <c r="P864" s="16" t="b">
        <v>0</v>
      </c>
      <c r="Q864" s="7"/>
    </row>
    <row r="865">
      <c r="A865" s="5" t="b">
        <v>1</v>
      </c>
      <c r="B865" s="5" t="s">
        <v>909</v>
      </c>
      <c r="C865" s="6" t="str">
        <f>IFERROR(__xludf.DUMMYFUNCTION("""COMPUTED_VALUE"""),"10.1145/1987856.1987859")</f>
        <v>10.1145/1987856.1987859</v>
      </c>
      <c r="D865" s="7" t="str">
        <f>IFERROR(__xludf.DUMMYFUNCTION("""COMPUTED_VALUE"""),"Mahmoud A.; Niu N.")</f>
        <v>Mahmoud A.; Niu N.</v>
      </c>
      <c r="E865" s="7" t="str">
        <f>IFERROR(__xludf.DUMMYFUNCTION("""COMPUTED_VALUE"""),"Source code indexing for automated tracing")</f>
        <v>Source code indexing for automated tracing</v>
      </c>
      <c r="F865" s="7" t="str">
        <f>IFERROR(__xludf.DUMMYFUNCTION("""COMPUTED_VALUE"""),"ICSE")</f>
        <v>ICSE</v>
      </c>
      <c r="G865" s="7" t="str">
        <f>IFERROR(__xludf.DUMMYFUNCTION("""COMPUTED_VALUE"""),"Requirements-to-source-code traceability employs information retrieval (IR) methods to automatically link requirements to the source code that implements them. A crucial step in this process is indexing, where partial and important information from the so"&amp;"ftware artifacts is converted into a representation that is compatible with the underlying IR model. Source code demands special attention in the indexing process. In this paper, we investigate source code indexing for supporting automatic traceability. W"&amp;"e introduce a feature diagram that captures the key components and their relationships in the domain of source code indexing. We then present an experiment to examine the features of the diagram and their dependencies. Results show that utilizing comments"&amp;" has a significant effect on traceability link generation, and stemming is required when comments are considered. © 2011 ACM.")</f>
        <v>Requirements-to-source-code traceability employs information retrieval (IR) methods to automatically link requirements to the source code that implements them. A crucial step in this process is indexing, where partial and important information from the software artifacts is converted into a representation that is compatible with the underlying IR model. Source code demands special attention in the indexing process. In this paper, we investigate source code indexing for supporting automatic traceability. We introduce a feature diagram that captures the key components and their relationships in the domain of source code indexing. We then present an experiment to examine the features of the diagram and their dependencies. Results show that utilizing comments has a significant effect on traceability link generation, and stemming is required when comments are considered. © 2011 ACM.</v>
      </c>
      <c r="H865" s="8" t="str">
        <f>IFERROR(__xludf.DUMMYFUNCTION("""COMPUTED_VALUE"""),"indexing; information retrieval; source code analysis; traceability")</f>
        <v>indexing; information retrieval; source code analysis; traceability</v>
      </c>
      <c r="I865" s="10" t="b">
        <v>0</v>
      </c>
      <c r="J865" s="10" t="b">
        <v>0</v>
      </c>
      <c r="K865" s="10" t="b">
        <v>0</v>
      </c>
      <c r="L865" s="10" t="b">
        <v>0</v>
      </c>
      <c r="M865" s="10" t="b">
        <v>0</v>
      </c>
      <c r="N865" s="10" t="b">
        <v>0</v>
      </c>
      <c r="O865" s="11" t="b">
        <f t="shared" si="1"/>
        <v>0</v>
      </c>
      <c r="P865" s="16" t="b">
        <v>0</v>
      </c>
      <c r="Q865" s="7"/>
    </row>
    <row r="866">
      <c r="A866" s="5" t="b">
        <v>1</v>
      </c>
      <c r="B866" s="5" t="s">
        <v>910</v>
      </c>
      <c r="C866" s="6" t="str">
        <f>IFERROR(__xludf.DUMMYFUNCTION("""COMPUTED_VALUE"""),"10.1145/3377812.3382163")</f>
        <v>10.1145/3377812.3382163</v>
      </c>
      <c r="D866" s="7" t="str">
        <f>IFERROR(__xludf.DUMMYFUNCTION("""COMPUTED_VALUE"""),"Shrestha S.L.")</f>
        <v>Shrestha S.L.</v>
      </c>
      <c r="E866" s="7" t="str">
        <f>IFERROR(__xludf.DUMMYFUNCTION("""COMPUTED_VALUE"""),"Automatic generation of simulink models to find bugs in a cyber-physical system tool chain using deep learning")</f>
        <v>Automatic generation of simulink models to find bugs in a cyber-physical system tool chain using deep learning</v>
      </c>
      <c r="F866" s="7" t="str">
        <f>IFERROR(__xludf.DUMMYFUNCTION("""COMPUTED_VALUE"""),"ICSE")</f>
        <v>ICSE</v>
      </c>
      <c r="G866" s="7" t="str">
        <f>IFERROR(__xludf.DUMMYFUNCTION("""COMPUTED_VALUE"""),"Testing cyber-physical system (CPS) development tools such asMathWorks' Simulink is very important as they are widely used indesign, simulation, and verification of CPS data-flow models. Existing randomized differential testing frameworks such as SLforgel"&amp;"everages semi-formal Simulink specifications to guide randommodel generation which requires significant research and engineering investment along with the need to manually update the tool,whenever MathWorks updates model validity rules. To address thelimi"&amp;"tations, we propose to learn validity rules automatically bylearning a language model using our framework DeepFuzzSL fromexisting corpus of Simulink models. In our experiments, DeepFuzzSL consistently generate over 90% valid Simulink models and alsofound "&amp;"2 confirmed bugs by MathWorks Support. © 2020 Copyright held by the owner/author(s).")</f>
        <v>Testing cyber-physical system (CPS) development tools such asMathWorks' Simulink is very important as they are widely used indesign, simulation, and verification of CPS data-flow models. Existing randomized differential testing frameworks such as SLforgeleverages semi-formal Simulink specifications to guide randommodel generation which requires significant research and engineering investment along with the need to manually update the tool,whenever MathWorks updates model validity rules. To address thelimitations, we propose to learn validity rules automatically bylearning a language model using our framework DeepFuzzSL fromexisting corpus of Simulink models. In our experiments, DeepFuzzSL consistently generate over 90% valid Simulink models and alsofound 2 confirmed bugs by MathWorks Support. © 2020 Copyright held by the owner/author(s).</v>
      </c>
      <c r="H866" s="8"/>
      <c r="I866" s="10" t="b">
        <v>0</v>
      </c>
      <c r="J866" s="10" t="b">
        <v>0</v>
      </c>
      <c r="K866" s="10" t="b">
        <v>0</v>
      </c>
      <c r="L866" s="10" t="b">
        <v>0</v>
      </c>
      <c r="M866" s="10" t="b">
        <v>0</v>
      </c>
      <c r="N866" s="10" t="b">
        <v>0</v>
      </c>
      <c r="O866" s="11" t="b">
        <f t="shared" si="1"/>
        <v>0</v>
      </c>
      <c r="P866" s="16" t="b">
        <v>0</v>
      </c>
      <c r="Q866" s="7"/>
    </row>
    <row r="867">
      <c r="A867" s="5" t="b">
        <v>1</v>
      </c>
      <c r="B867" s="5" t="s">
        <v>911</v>
      </c>
      <c r="C867" s="6" t="str">
        <f>IFERROR(__xludf.DUMMYFUNCTION("""COMPUTED_VALUE"""),"10.1145/2568225.2568291")</f>
        <v>10.1145/2568225.2568291</v>
      </c>
      <c r="D867" s="7" t="str">
        <f>IFERROR(__xludf.DUMMYFUNCTION("""COMPUTED_VALUE"""),"Bagheri H.; Tang C.; Sullivan K.")</f>
        <v>Bagheri H.; Tang C.; Sullivan K.</v>
      </c>
      <c r="E867" s="7" t="str">
        <f>IFERROR(__xludf.DUMMYFUNCTION("""COMPUTED_VALUE"""),"TradeMaker: Automated dynamic analysis of synthesized tradespaces")</f>
        <v>TradeMaker: Automated dynamic analysis of synthesized tradespaces</v>
      </c>
      <c r="F867" s="7" t="str">
        <f>IFERROR(__xludf.DUMMYFUNCTION("""COMPUTED_VALUE"""),"ICSE")</f>
        <v>ICSE</v>
      </c>
      <c r="G867" s="7" t="str">
        <f>IFERROR(__xludf.DUMMYFUNCTION("""COMPUTED_VALUE"""),"System designers today are focusing less on point solutions for complex systems and more on design spaces, often with a focus on understanding tradeoffs among non-functional properties across such spaces. This shift places a premium on the efficient compa"&amp;"rative evaluation of non-functional properties of designs in such spaces. While static analysis of designs will sometimes suffice, often one must run designs dynamically, under comparable loads, to determine properties and tradeoffs. Yet variant designs o"&amp;"ften present variant interfaces, requiring that common loads be specialized to many interfaces. The main contributions of this paper are a mathematical framework, architecture, and tool for specification-driven synthesis of design spaces and common loads "&amp;"specialized to individual designs for dynamic tradeoff analysis of non-functional properties in large design spaces. To test our approach we used it to run an experiment to test the validity of static metrics for object-relational database mappings, requi"&amp;"ring design space and load synthesis for, and dynamic analysis of, hundreds of database designs. © 2014 ACM.")</f>
        <v>System designers today are focusing less on point solutions for complex systems and more on design spaces, often with a focus on understanding tradeoffs among non-functional properties across such spaces. This shift places a premium on the efficient comparative evaluation of non-functional properties of designs in such spaces. While static analysis of designs will sometimes suffice, often one must run designs dynamically, under comparable loads, to determine properties and tradeoffs. Yet variant designs often present variant interfaces, requiring that common loads be specialized to many interfaces. The main contributions of this paper are a mathematical framework, architecture, and tool for specification-driven synthesis of design spaces and common loads specialized to individual designs for dynamic tradeoff analysis of non-functional properties in large design spaces. To test our approach we used it to run an experiment to test the validity of static metrics for object-relational database mappings, requiring design space and load synthesis for, and dynamic analysis of, hundreds of database designs. © 2014 ACM.</v>
      </c>
      <c r="H867" s="8" t="str">
        <f>IFERROR(__xludf.DUMMYFUNCTION("""COMPUTED_VALUE"""),"Dynamic Analysis; ORM; Specication-driven Synthesis; Static Analysis; Tradeo Space")</f>
        <v>Dynamic Analysis; ORM; Specication-driven Synthesis; Static Analysis; Tradeo Space</v>
      </c>
      <c r="I867" s="10" t="b">
        <v>0</v>
      </c>
      <c r="J867" s="10" t="b">
        <v>0</v>
      </c>
      <c r="K867" s="10" t="b">
        <v>0</v>
      </c>
      <c r="L867" s="10" t="b">
        <v>0</v>
      </c>
      <c r="M867" s="10" t="b">
        <v>0</v>
      </c>
      <c r="N867" s="10" t="b">
        <v>0</v>
      </c>
      <c r="O867" s="11" t="b">
        <f t="shared" si="1"/>
        <v>0</v>
      </c>
      <c r="P867" s="16" t="b">
        <v>0</v>
      </c>
      <c r="Q867" s="7"/>
    </row>
    <row r="868">
      <c r="A868" s="5" t="b">
        <v>1</v>
      </c>
      <c r="B868" s="5" t="s">
        <v>912</v>
      </c>
      <c r="C868" s="6" t="str">
        <f>IFERROR(__xludf.DUMMYFUNCTION("""COMPUTED_VALUE"""),"10.1109/ICSE.2015.86")</f>
        <v>10.1109/ICSE.2015.86</v>
      </c>
      <c r="D868" s="7" t="str">
        <f>IFERROR(__xludf.DUMMYFUNCTION("""COMPUTED_VALUE"""),"Regis G.; Degiovanni R.; D'Ippolito N.; Aguirre N.")</f>
        <v>Regis G.; Degiovanni R.; D'Ippolito N.; Aguirre N.</v>
      </c>
      <c r="E868" s="7" t="str">
        <f>IFERROR(__xludf.DUMMYFUNCTION("""COMPUTED_VALUE"""),"Specifying event-based systems with a counting fluent temporal logic")</f>
        <v>Specifying event-based systems with a counting fluent temporal logic</v>
      </c>
      <c r="F868" s="7" t="str">
        <f>IFERROR(__xludf.DUMMYFUNCTION("""COMPUTED_VALUE"""),"ICSE")</f>
        <v>ICSE</v>
      </c>
      <c r="G868" s="7" t="str">
        <f>IFERROR(__xludf.DUMMYFUNCTION("""COMPUTED_VALUE"""),"Fluent linear temporal logic is a formalism for specifying properties of event-based systems, based on propositions called fluents, defined in terms of activating and deactivating events. In this paper, we propose complementing the notion of fluent by the"&amp;" related concept of counting fluent. As opposed to the boolean nature of fluents, counting fluents are numerical values, that enumerate event occurrences, and allow us to specify naturally some properties of reactive systems. Although by extending fluent "&amp;"linear temporal logic with counting fluents we obtain an undecidable, strictly more expressive formalism, we develop a sound (but incomplete) model checking approach for the logic, that reduces to traditional temporal logic model checking, and allows us t"&amp;"o automatically analyse properties involving counting fluents, on finite event-based systems. Our experiments, based on relevant models taken from the literature, show that: (i) counting fluent temporal logic is better suited than traditional temporal log"&amp;"ic for expressing properties in which the number of occurrences of certain events is relevant, and (ii) our model checking approach on counting fluent specifications is more efficient and scales better than model checking equivalent fluent temporal logic "&amp;"specifications. © 2015 IEEE.")</f>
        <v>Fluent linear temporal logic is a formalism for specifying properties of event-based systems, based on propositions called fluents, defined in terms of activating and deactivating events. In this paper, we propose complementing the notion of fluent by the related concept of counting fluent. As opposed to the boolean nature of fluents, counting fluents are numerical values, that enumerate event occurrences, and allow us to specify naturally some properties of reactive systems. Although by extending fluent linear temporal logic with counting fluents we obtain an undecidable, strictly more expressive formalism, we develop a sound (but incomplete) model checking approach for the logic, that reduces to traditional temporal logic model checking, and allows us to automatically analyse properties involving counting fluents, on finite event-based systems. Our experiments, based on relevant models taken from the literature, show that: (i) counting fluent temporal logic is better suited than traditional temporal logic for expressing properties in which the number of occurrences of certain events is relevant, and (ii) our model checking approach on counting fluent specifications is more efficient and scales better than model checking equivalent fluent temporal logic specifications. © 2015 IEEE.</v>
      </c>
      <c r="H868" s="8"/>
      <c r="I868" s="10" t="b">
        <v>0</v>
      </c>
      <c r="J868" s="10" t="b">
        <v>0</v>
      </c>
      <c r="K868" s="10" t="b">
        <v>0</v>
      </c>
      <c r="L868" s="10" t="b">
        <v>0</v>
      </c>
      <c r="M868" s="10" t="b">
        <v>0</v>
      </c>
      <c r="N868" s="10" t="b">
        <v>0</v>
      </c>
      <c r="O868" s="11" t="b">
        <f t="shared" si="1"/>
        <v>0</v>
      </c>
      <c r="P868" s="16" t="b">
        <v>0</v>
      </c>
      <c r="Q868" s="7"/>
    </row>
    <row r="869">
      <c r="A869" s="5" t="b">
        <v>1</v>
      </c>
      <c r="B869" s="5" t="s">
        <v>913</v>
      </c>
      <c r="C869" s="6" t="str">
        <f>IFERROR(__xludf.DUMMYFUNCTION("""COMPUTED_VALUE"""),"10.1109/ICSE.2012.6227160")</f>
        <v>10.1109/ICSE.2012.6227160</v>
      </c>
      <c r="D869" s="7" t="str">
        <f>IFERROR(__xludf.DUMMYFUNCTION("""COMPUTED_VALUE"""),"Razavi A.; Kontogiannis K.")</f>
        <v>Razavi A.; Kontogiannis K.</v>
      </c>
      <c r="E869" s="7" t="str">
        <f>IFERROR(__xludf.DUMMYFUNCTION("""COMPUTED_VALUE"""),"Partial evaluation of model transformations")</f>
        <v>Partial evaluation of model transformations</v>
      </c>
      <c r="F869" s="7" t="str">
        <f>IFERROR(__xludf.DUMMYFUNCTION("""COMPUTED_VALUE"""),"ICSE")</f>
        <v>ICSE</v>
      </c>
      <c r="G869" s="7" t="str">
        <f>IFERROR(__xludf.DUMMYFUNCTION("""COMPUTED_VALUE"""),"Model Transformation is considered an important enabling factor for Model Driven Development. Transformations can be applied not only for the generation of new models from existing ones, but also for the consistent co-evolution of software artifacts that "&amp;"pertain to various phases of software lifecycle such as requirement models, design documents and source code. Furthermore, it is often common in practical scenarios to apply such transformations repeatedly and frequently; an activity that can take a signi"&amp;"ficant amount of time and resources, especially when the affected models are complex and highly interdependent. In this paper, we discuss a novel approach for deriving incremental model transformations by the partial evaluation of original model transform"&amp;"ation programs. Partial evaluation involves pre-computing parts of the transformation program based on known model dependencies and the type of the applied model change. Such pre-evaluation allows for significant reduction of transformation time in large "&amp;"and complex model repositories. To evaluate the approach, we have implemented QvtMix, a prototype partial evaluator for the Query, View and Transformation Operational Mappings (QVT-OM) language. The experiments indicate that the proposed technique can be "&amp;"used for significantly improving the performance of repetitive applications of model transformations. © 2012 IEEE.")</f>
        <v>Model Transformation is considered an important enabling factor for Model Driven Development. Transformations can be applied not only for the generation of new models from existing ones, but also for the consistent co-evolution of software artifacts that pertain to various phases of software lifecycle such as requirement models, design documents and source code. Furthermore, it is often common in practical scenarios to apply such transformations repeatedly and frequently; an activity that can take a significant amount of time and resources, especially when the affected models are complex and highly interdependent. In this paper, we discuss a novel approach for deriving incremental model transformations by the partial evaluation of original model transformation programs. Partial evaluation involves pre-computing parts of the transformation program based on known model dependencies and the type of the applied model change. Such pre-evaluation allows for significant reduction of transformation time in large and complex model repositories. To evaluate the approach, we have implemented QvtMix, a prototype partial evaluator for the Query, View and Transformation Operational Mappings (QVT-OM) language. The experiments indicate that the proposed technique can be used for significantly improving the performance of repetitive applications of model transformations. © 2012 IEEE.</v>
      </c>
      <c r="H869" s="8"/>
      <c r="I869" s="10" t="b">
        <v>0</v>
      </c>
      <c r="J869" s="10" t="b">
        <v>0</v>
      </c>
      <c r="K869" s="10" t="b">
        <v>0</v>
      </c>
      <c r="L869" s="10" t="b">
        <v>0</v>
      </c>
      <c r="M869" s="10" t="b">
        <v>0</v>
      </c>
      <c r="N869" s="10" t="b">
        <v>0</v>
      </c>
      <c r="O869" s="11" t="b">
        <f t="shared" si="1"/>
        <v>0</v>
      </c>
      <c r="P869" s="16" t="b">
        <v>0</v>
      </c>
      <c r="Q869" s="7"/>
    </row>
    <row r="870">
      <c r="A870" s="5" t="b">
        <v>1</v>
      </c>
      <c r="B870" s="5" t="s">
        <v>914</v>
      </c>
      <c r="C870" s="6" t="str">
        <f>IFERROR(__xludf.DUMMYFUNCTION("""COMPUTED_VALUE"""),"10.1145/3510003.3510109")</f>
        <v>10.1145/3510003.3510109</v>
      </c>
      <c r="D870" s="7" t="str">
        <f>IFERROR(__xludf.DUMMYFUNCTION("""COMPUTED_VALUE"""),"Hu B.C.; Marsso L.; Czarnecki K.; Salay R.; Shen H.; Chechik M.")</f>
        <v>Hu B.C.; Marsso L.; Czarnecki K.; Salay R.; Shen H.; Chechik M.</v>
      </c>
      <c r="E870" s="7" t="str">
        <f>IFERROR(__xludf.DUMMYFUNCTION("""COMPUTED_VALUE"""),"If a Human Can See It, So Should Your System: Reliability Requirements for Machine Vision Components")</f>
        <v>If a Human Can See It, So Should Your System: Reliability Requirements for Machine Vision Components</v>
      </c>
      <c r="F870" s="7" t="str">
        <f>IFERROR(__xludf.DUMMYFUNCTION("""COMPUTED_VALUE"""),"ICSE")</f>
        <v>ICSE</v>
      </c>
      <c r="G870" s="7" t="str">
        <f>IFERROR(__xludf.DUMMYFUNCTION("""COMPUTED_VALUE"""),"Machine Vision Components (MVC) are becoming safety-critical. Assuring their quality, including safety, is essential for their successful deployment. Assurance relies on the availability of precisely specified and, ideally, machine-verifiable requirements"&amp;". MVCs with state-of-the-art performance rely on machine learning (ML) and training data, but largely lack such requirements. In this paper, we address the need for defining machine-verifiable reliability requirements for MVCs against transformations that"&amp;" simulate the full range of realistic and safety-critical changes in the environment. Using human performance as a baseline, we define reliability requirements as: 'if the changes in an image do not affect a human's decision, neither should they affect th"&amp;"e MVC's.' To this end, we provide: (1) a class of safety-related image transformations; (2) reliability requirement classes to specify correctness-preservation and prediction-preservation for MVCs; (3) a method to instantiate machine-verifiable requiremen"&amp;"ts from these requirements classes using human performance experiment data; (4) human performance experiment data for image recognition involving eight commonly used transformations, from about 2000 human participants; and (5) a method for automatically c"&amp;"hecking whether an MVC satisfies our requirements. Further, we show that our reliability requirements are feasible and reusable by evaluating our methods on 13 state-of-the-art pre-trained image classification models. Finally, we demonstrate that our appr"&amp;"oach detects reliability gaps in MVCs that other existing methods are unable to detect. © 2022 ACM.")</f>
        <v>Machine Vision Components (MVC) are becoming safety-critical. Assuring their quality, including safety, is essential for their successful deployment. Assurance relies on the availability of precisely specified and, ideally, machine-verifiable requirements. MVCs with state-of-the-art performance rely on machine learning (ML) and training data, but largely lack such requirements. In this paper, we address the need for defining machine-verifiable reliability requirements for MVCs against transformations that simulate the full range of realistic and safety-critical changes in the environment. Using human performance as a baseline, we define reliability requirements as: 'if the changes in an image do not affect a human's decision, neither should they affect the MVC's.' To this end, we provide: (1) a class of safety-related image transformations; (2) reliability requirement classes to specify correctness-preservation and prediction-preservation for MVCs; (3) a method to instantiate machine-verifiable requirements from these requirements classes using human performance experiment data; (4) human performance experiment data for image recognition involving eight commonly used transformations, from about 2000 human participants; and (5) a method for automatically checking whether an MVC satisfies our requirements. Further, we show that our reliability requirements are feasible and reusable by evaluating our methods on 13 state-of-the-art pre-trained image classification models. Finally, we demonstrate that our approach detects reliability gaps in MVCs that other existing methods are unable to detect. © 2022 ACM.</v>
      </c>
      <c r="H870" s="8" t="str">
        <f>IFERROR(__xludf.DUMMYFUNCTION("""COMPUTED_VALUE"""),"Requirements Engineering; Software Analysis; Software Engineering for Artificial Intelligence")</f>
        <v>Requirements Engineering; Software Analysis; Software Engineering for Artificial Intelligence</v>
      </c>
      <c r="I870" s="9" t="b">
        <v>1</v>
      </c>
      <c r="J870" s="10" t="b">
        <v>0</v>
      </c>
      <c r="K870" s="10" t="b">
        <v>0</v>
      </c>
      <c r="L870" s="10" t="b">
        <v>0</v>
      </c>
      <c r="M870" s="10" t="b">
        <v>0</v>
      </c>
      <c r="N870" s="10" t="b">
        <v>0</v>
      </c>
      <c r="O870" s="11" t="b">
        <f t="shared" si="1"/>
        <v>0</v>
      </c>
      <c r="P870" s="16" t="b">
        <v>0</v>
      </c>
      <c r="Q870" s="7"/>
    </row>
    <row r="871">
      <c r="A871" s="5" t="b">
        <v>1</v>
      </c>
      <c r="B871" s="5" t="s">
        <v>915</v>
      </c>
      <c r="C871" s="6" t="str">
        <f>IFERROR(__xludf.DUMMYFUNCTION("""COMPUTED_VALUE"""),"10.1109/ICSE48619.2023.00137")</f>
        <v>10.1109/ICSE48619.2023.00137</v>
      </c>
      <c r="D871" s="7" t="str">
        <f>IFERROR(__xludf.DUMMYFUNCTION("""COMPUTED_VALUE"""),"Zhao K.; Zhan X.; Yu L.; Zhou S.; Zhou H.; Luo X.; Wang H.; Liu Y.")</f>
        <v>Zhao K.; Zhan X.; Yu L.; Zhou S.; Zhou H.; Luo X.; Wang H.; Liu Y.</v>
      </c>
      <c r="E871" s="7" t="str">
        <f>IFERROR(__xludf.DUMMYFUNCTION("""COMPUTED_VALUE"""),"Demystifying Privacy Policy of Third-Party Libraries in Mobile Apps")</f>
        <v>Demystifying Privacy Policy of Third-Party Libraries in Mobile Apps</v>
      </c>
      <c r="F871" s="7" t="str">
        <f>IFERROR(__xludf.DUMMYFUNCTION("""COMPUTED_VALUE"""),"ICSE")</f>
        <v>ICSE</v>
      </c>
      <c r="G871" s="7" t="str">
        <f>IFERROR(__xludf.DUMMYFUNCTION("""COMPUTED_VALUE"""),"The privacy of personal information has received significant attention in mobile software. Although researchers have designed methods to identify the conflict between app behavior and privacy policies, little is known about the privacy compliance issues r"&amp;"elevant to third-party libraries (TPLs). The regulators enacted articles to regulate the usage of personal information for TPLs (e.g., the CCPA requires businesses clearly notify consumers if they share consumers' data with third parties or not). However,"&amp;" it remains challenging to investigate the privacy compliance issues of TPLs due to three reasons: 1) Difficulties in collecting TPLs' privacy policies. In contrast to Android apps, which are distributed through markets like Google Play and must provide p"&amp;"rivacy policies, there is no unique platform for collecting privacy policies of TPLs. 2) Difficulties in analyzing TPL's user privacy access behaviors. TPLs are mainly provided in binary files, such as jar or aar, and their whole functionalities usually c"&amp;"annot be executed independently without host apps. 3) Difficulties in identifying consistency between TPL's functionalities and privacy policies, and host app's privacy policy and data sharing with TPLs. This requires analyzing not only the privacy polici"&amp;"es of TPLs and host apps but also their functionalities. In this paper, we propose an automated system named ATPChecker to analyze whether Android TPLs comply with the privacy-related regulations. We construct a data set that contains a list of 458 TPLs, "&amp;"247 TPL's privacy policies, 187 TPL's binary files and 641 host apps and their privacy policies. Then, we analyze the bytecode of TPLs and host apps, design natural language processing systems to analyze privacy policies, and implement an expert system to"&amp;" identify TPL usage-related regulation compliance. The experimental results show that 23% TPLs violate regulation requirements for providing privacy policies. Over 47% TPLs miss disclosing data usage in their privacy policies. Over 65% host apps share use"&amp;"r data with TPLs while 65% of them miss disclosing interactions with TPLs. Our findings remind developers to be mindful of TPL usage when developing apps or writing privacy policies to avoid violating regulations. © 2023 IEEE.")</f>
        <v>The privacy of personal information has received significant attention in mobile software. Although researchers have designed methods to identify the conflict between app behavior and privacy policies, little is known about the privacy compliance issues relevant to third-party libraries (TPLs). The regulators enacted articles to regulate the usage of personal information for TPLs (e.g., the CCPA requires businesses clearly notify consumers if they share consumers' data with third parties or not). However, it remains challenging to investigate the privacy compliance issues of TPLs due to three reasons: 1) Difficulties in collecting TPLs' privacy policies. In contrast to Android apps, which are distributed through markets like Google Play and must provide privacy policies, there is no unique platform for collecting privacy policies of TPLs. 2) Difficulties in analyzing TPL's user privacy access behaviors. TPLs are mainly provided in binary files, such as jar or aar, and their whole functionalities usually cannot be executed independently without host apps. 3) Difficulties in identifying consistency between TPL's functionalities and privacy policies, and host app's privacy policy and data sharing with TPLs. This requires analyzing not only the privacy policies of TPLs and host apps but also their functionalities. In this paper, we propose an automated system named ATPChecker to analyze whether Android TPLs comply with the privacy-related regulations. We construct a data set that contains a list of 458 TPLs, 247 TPL's privacy policies, 187 TPL's binary files and 641 host apps and their privacy policies. Then, we analyze the bytecode of TPLs and host apps, design natural language processing systems to analyze privacy policies, and implement an expert system to identify TPL usage-related regulation compliance. The experimental results show that 23% TPLs violate regulation requirements for providing privacy policies. Over 47% TPLs miss disclosing data usage in their privacy policies. Over 65% host apps share user data with TPLs while 65% of them miss disclosing interactions with TPLs. Our findings remind developers to be mindful of TPL usage when developing apps or writing privacy policies to avoid violating regulations. © 2023 IEEE.</v>
      </c>
      <c r="H871" s="8" t="str">
        <f>IFERROR(__xludf.DUMMYFUNCTION("""COMPUTED_VALUE"""),"Android; Privacy policy; third-party library")</f>
        <v>Android; Privacy policy; third-party library</v>
      </c>
      <c r="I871" s="10" t="b">
        <v>0</v>
      </c>
      <c r="J871" s="10" t="b">
        <v>0</v>
      </c>
      <c r="K871" s="10" t="b">
        <v>0</v>
      </c>
      <c r="L871" s="10" t="b">
        <v>0</v>
      </c>
      <c r="M871" s="10" t="b">
        <v>0</v>
      </c>
      <c r="N871" s="10" t="b">
        <v>0</v>
      </c>
      <c r="O871" s="11" t="b">
        <f t="shared" si="1"/>
        <v>0</v>
      </c>
      <c r="P871" s="16" t="b">
        <v>0</v>
      </c>
      <c r="Q871" s="7"/>
    </row>
    <row r="872">
      <c r="A872" s="5" t="b">
        <v>1</v>
      </c>
      <c r="B872" s="5" t="s">
        <v>916</v>
      </c>
      <c r="C872" s="6" t="str">
        <f>IFERROR(__xludf.DUMMYFUNCTION("""COMPUTED_VALUE"""),"10.1145/3377812.3382143")</f>
        <v>10.1145/3377812.3382143</v>
      </c>
      <c r="D872" s="7" t="str">
        <f>IFERROR(__xludf.DUMMYFUNCTION("""COMPUTED_VALUE"""),"Garciá S.; Pelliccione P.; Menghi C.; Berger T.; Bures T.")</f>
        <v>Garciá S.; Pelliccione P.; Menghi C.; Berger T.; Bures T.</v>
      </c>
      <c r="E872" s="7" t="str">
        <f>IFERROR(__xludf.DUMMYFUNCTION("""COMPUTED_VALUE"""),"PROMISE: High-level mission specification for multiple robots")</f>
        <v>PROMISE: High-level mission specification for multiple robots</v>
      </c>
      <c r="F872" s="7" t="str">
        <f>IFERROR(__xludf.DUMMYFUNCTION("""COMPUTED_VALUE"""),"ICSE")</f>
        <v>ICSE</v>
      </c>
      <c r="G872" s="7" t="str">
        <f>IFERROR(__xludf.DUMMYFUNCTION("""COMPUTED_VALUE"""),"Service robots, a type of robots that perform useful tasks forhumans, are foreseen to be broadly used in the near futurein both social and industrial scenarios. Those robots will berequired to operate in dynamic environments, collaboratingamong them or wi"&amp;"th users. Specifying the list of requestedtasks to be achieved by a robotic team is far from being trivial. Therefore, mission specification languages and tools needto be expressive enough to allow the specification of complexmissions (e.g., detailing rec"&amp;"overy actions), while being reachable by domain experts who might not be knowledgeable ofprogramming languages. To support domain experts, we developed PROMISE, a Domain-Specific Language that allowsmission specification for multiple robots in a user-frie"&amp;"ndly,yet rigorous manner. PROMISE is built as an Eclipse pluginthat provides a textual and a graphical interface for missionspecification. Our tool is in turn integrated into a softwareframework, which provides functionalities as: (1) automaticgeneration "&amp;"from specification, (2) sending of missions to therobotic team; and (3) interpretation and management of missions during execution time. PROMISE and its frameworkimplementation have been validated through simulation andreal-world experiments with four dif"&amp;"ferent robotic models. © 2020 Copyright held by the owner/author(s).")</f>
        <v>Service robots, a type of robots that perform useful tasks forhumans, are foreseen to be broadly used in the near futurein both social and industrial scenarios. Those robots will berequired to operate in dynamic environments, collaboratingamong them or with users. Specifying the list of requestedtasks to be achieved by a robotic team is far from being trivial. Therefore, mission specification languages and tools needto be expressive enough to allow the specification of complexmissions (e.g., detailing recovery actions), while being reachable by domain experts who might not be knowledgeable ofprogramming languages. To support domain experts, we developed PROMISE, a Domain-Specific Language that allowsmission specification for multiple robots in a user-friendly,yet rigorous manner. PROMISE is built as an Eclipse pluginthat provides a textual and a graphical interface for missionspecification. Our tool is in turn integrated into a softwareframework, which provides functionalities as: (1) automaticgeneration from specification, (2) sending of missions to therobotic team; and (3) interpretation and management of missions during execution time. PROMISE and its frameworkimplementation have been validated through simulation andreal-world experiments with four different robotic models. © 2020 Copyright held by the owner/author(s).</v>
      </c>
      <c r="H872" s="8"/>
      <c r="I872" s="10" t="b">
        <v>0</v>
      </c>
      <c r="J872" s="10" t="b">
        <v>0</v>
      </c>
      <c r="K872" s="10" t="b">
        <v>0</v>
      </c>
      <c r="L872" s="10" t="b">
        <v>0</v>
      </c>
      <c r="M872" s="10" t="b">
        <v>0</v>
      </c>
      <c r="N872" s="10" t="b">
        <v>0</v>
      </c>
      <c r="O872" s="11" t="b">
        <f t="shared" si="1"/>
        <v>0</v>
      </c>
      <c r="P872" s="16" t="b">
        <v>0</v>
      </c>
      <c r="Q872" s="7"/>
    </row>
    <row r="873">
      <c r="A873" s="5" t="b">
        <v>1</v>
      </c>
      <c r="B873" s="5" t="s">
        <v>917</v>
      </c>
      <c r="C873" s="6"/>
      <c r="D873" s="7"/>
      <c r="E873" s="7" t="str">
        <f>IFERROR(__xludf.DUMMYFUNCTION("""COMPUTED_VALUE"""),"Proceedings - International Conference on Software Engineering")</f>
        <v>Proceedings - International Conference on Software Engineering</v>
      </c>
      <c r="F873" s="7" t="str">
        <f>IFERROR(__xludf.DUMMYFUNCTION("""COMPUTED_VALUE"""),"ICSE")</f>
        <v>ICSE</v>
      </c>
      <c r="G873" s="7" t="str">
        <f>IFERROR(__xludf.DUMMYFUNCTION("""COMPUTED_VALUE"""),"The proceedings contain 6 papers. The topics discussed include: comparing reliability levels of software releases; experiences in using practitioner's checklists to evaluate the industrial relevance of requirements engineering experiments; experience of i"&amp;"ndustry case studies: a comparison of multi-case and embedded case study methods; toward an experiment line on software inspection with human computation; a preliminary checklist for capturing baseline situations in studying the impacts of agile practices"&amp;" introduction; and protocol and tools for conducting agile software engineering research in an industrial-academic setting: a preliminary study.")</f>
        <v>The proceedings contain 6 papers. The topics discussed include: comparing reliability levels of software releases; experiences in using practitioner's checklists to evaluate the industrial relevance of requirements engineering experiments; experience of industry case studies: a comparison of multi-case and embedded case study methods; toward an experiment line on software inspection with human computation; a preliminary checklist for capturing baseline situations in studying the impacts of agile practices introduction; and protocol and tools for conducting agile software engineering research in an industrial-academic setting: a preliminary study.</v>
      </c>
      <c r="H873" s="8"/>
      <c r="I873" s="10" t="b">
        <v>0</v>
      </c>
      <c r="J873" s="10" t="b">
        <v>0</v>
      </c>
      <c r="K873" s="10" t="b">
        <v>0</v>
      </c>
      <c r="L873" s="10" t="b">
        <v>0</v>
      </c>
      <c r="M873" s="10" t="b">
        <v>0</v>
      </c>
      <c r="N873" s="10" t="b">
        <v>0</v>
      </c>
      <c r="O873" s="11" t="b">
        <f t="shared" si="1"/>
        <v>0</v>
      </c>
      <c r="P873" s="16" t="b">
        <v>0</v>
      </c>
      <c r="Q873" s="7"/>
    </row>
    <row r="874">
      <c r="A874" s="5" t="b">
        <v>1</v>
      </c>
      <c r="B874" s="5" t="s">
        <v>918</v>
      </c>
      <c r="C874" s="6" t="str">
        <f>IFERROR(__xludf.DUMMYFUNCTION("""COMPUTED_VALUE"""),"10.1109/ICSE.2013.6606572")</f>
        <v>10.1109/ICSE.2013.6606572</v>
      </c>
      <c r="D874" s="7" t="str">
        <f>IFERROR(__xludf.DUMMYFUNCTION("""COMPUTED_VALUE"""),"Polikarpova N.; Furia C.A.; Pei Y.; Wei Y.; Meyer B.")</f>
        <v>Polikarpova N.; Furia C.A.; Pei Y.; Wei Y.; Meyer B.</v>
      </c>
      <c r="E874" s="7" t="str">
        <f>IFERROR(__xludf.DUMMYFUNCTION("""COMPUTED_VALUE"""),"What good are strong specifications?")</f>
        <v>What good are strong specifications?</v>
      </c>
      <c r="F874" s="7" t="str">
        <f>IFERROR(__xludf.DUMMYFUNCTION("""COMPUTED_VALUE"""),"ICSE")</f>
        <v>ICSE</v>
      </c>
      <c r="G874" s="7" t="str">
        <f>IFERROR(__xludf.DUMMYFUNCTION("""COMPUTED_VALUE"""),"Experience with lightweight formal methods suggests that programmers are willing to write specification if it brings tangible benefits to their usual development activities. This paper considers stronger specifications and studies whether they can be depl"&amp;"oyed as an incremental practice that brings additional benefits without being unacceptably expensive. We introduce a methodology that extends Design by Contract to write strong specifications of functional properties in the form of preconditions, postcond"&amp;"itions, and invariants. The methodology aims at being palatable to developers who are not fluent in formal techniques but are comfortable with writing simple specifications. We evaluate the cost and the benefits of using strong specifications by applying "&amp;"the methodology to testing data structure implementations written in Eiffel and C#. In our extensive experiments, testing against strong specifications detects twice as many bugs as standard contracts, with a reasonable overhead in terms of annotation bur"&amp;"den and run-time performance while testing. In the wide spectrum of formal techniques for software quality, testing against strong specifications lies in a 'sweet spot' with a favorable benefit to effort ratio. © 2013 IEEE.")</f>
        <v>Experience with lightweight formal methods suggests that programmers are willing to write specification if it brings tangible benefits to their usual development activities. This paper considers stronger specifications and studies whether they can be deployed as an incremental practice that brings additional benefits without being unacceptably expensive. We introduce a methodology that extends Design by Contract to write strong specifications of functional properties in the form of preconditions, postconditions, and invariants. The methodology aims at being palatable to developers who are not fluent in formal techniques but are comfortable with writing simple specifications. We evaluate the cost and the benefits of using strong specifications by applying the methodology to testing data structure implementations written in Eiffel and C#. In our extensive experiments, testing against strong specifications detects twice as many bugs as standard contracts, with a reasonable overhead in terms of annotation burden and run-time performance while testing. In the wide spectrum of formal techniques for software quality, testing against strong specifications lies in a 'sweet spot' with a favorable benefit to effort ratio. © 2013 IEEE.</v>
      </c>
      <c r="H874" s="8"/>
      <c r="I874" s="10" t="b">
        <v>0</v>
      </c>
      <c r="J874" s="10" t="b">
        <v>0</v>
      </c>
      <c r="K874" s="10" t="b">
        <v>0</v>
      </c>
      <c r="L874" s="10" t="b">
        <v>0</v>
      </c>
      <c r="M874" s="10" t="b">
        <v>0</v>
      </c>
      <c r="N874" s="10" t="b">
        <v>0</v>
      </c>
      <c r="O874" s="11" t="b">
        <f t="shared" si="1"/>
        <v>0</v>
      </c>
      <c r="P874" s="16" t="b">
        <v>0</v>
      </c>
      <c r="Q874" s="7"/>
    </row>
    <row r="875">
      <c r="A875" s="5" t="b">
        <v>1</v>
      </c>
      <c r="B875" s="5" t="s">
        <v>919</v>
      </c>
      <c r="C875" s="6"/>
      <c r="D875" s="7" t="str">
        <f>IFERROR(__xludf.DUMMYFUNCTION("""COMPUTED_VALUE"""),"Dugdale J.; Moghaddam M.T.; Muccini H.")</f>
        <v>Dugdale J.; Moghaddam M.T.; Muccini H.</v>
      </c>
      <c r="E875" s="7" t="str">
        <f>IFERROR(__xludf.DUMMYFUNCTION("""COMPUTED_VALUE"""),"Human Behaviour Centered Design: Developing a Software System for Cultural Heritage")</f>
        <v>Human Behaviour Centered Design: Developing a Software System for Cultural Heritage</v>
      </c>
      <c r="F875" s="7" t="str">
        <f>IFERROR(__xludf.DUMMYFUNCTION("""COMPUTED_VALUE"""),"ICSE")</f>
        <v>ICSE</v>
      </c>
      <c r="G875" s="7" t="str">
        <f>IFERROR(__xludf.DUMMYFUNCTION("""COMPUTED_VALUE"""),"This paper introduces an integrated framework for sustainability and urban security socio-Technical systems. The focus is to design and develop a hardware/software system based on human expected and real behaviour.The paper explains the steps taken throug"&amp;"h developing the Uffizi Museum crowd monitoring and queue management system. The goal of implementing such system was to remove queues outside the Museum which is in line with urban security and visitors comfort. We took advantage of a data-driven approac"&amp;"h mapped on sustainability framework. Such approach which was fed with both real-Time sensory data and prediction models, successfully eliminated long queues to access the museum. We took into consideration performance of software system as well to reduce"&amp;" the response time to a threshold that is compliant with real-Time requirements. We started our experiments from fall 2016 and operationalized it in October, 2018. During this experimentation period, we learned a lot of lessons that we report in this pape"&amp;"r.  © 2020 ACM.")</f>
        <v>This paper introduces an integrated framework for sustainability and urban security socio-Technical systems. The focus is to design and develop a hardware/software system based on human expected and real behaviour.The paper explains the steps taken through developing the Uffizi Museum crowd monitoring and queue management system. The goal of implementing such system was to remove queues outside the Museum which is in line with urban security and visitors comfort. We took advantage of a data-driven approach mapped on sustainability framework. Such approach which was fed with both real-Time sensory data and prediction models, successfully eliminated long queues to access the museum. We took into consideration performance of software system as well to reduce the response time to a threshold that is compliant with real-Time requirements. We started our experiments from fall 2016 and operationalized it in October, 2018. During this experimentation period, we learned a lot of lessons that we report in this paper.  © 2020 ACM.</v>
      </c>
      <c r="H875" s="8" t="str">
        <f>IFERROR(__xludf.DUMMYFUNCTION("""COMPUTED_VALUE"""),"Crowd monitoring; Cultural heritage; Empirical study; Queue management; Software engineering; Sustainability")</f>
        <v>Crowd monitoring; Cultural heritage; Empirical study; Queue management; Software engineering; Sustainability</v>
      </c>
      <c r="I875" s="10" t="b">
        <v>0</v>
      </c>
      <c r="J875" s="10" t="b">
        <v>0</v>
      </c>
      <c r="K875" s="10" t="b">
        <v>0</v>
      </c>
      <c r="L875" s="10" t="b">
        <v>0</v>
      </c>
      <c r="M875" s="10" t="b">
        <v>0</v>
      </c>
      <c r="N875" s="10" t="b">
        <v>0</v>
      </c>
      <c r="O875" s="11" t="b">
        <f t="shared" si="1"/>
        <v>0</v>
      </c>
      <c r="P875" s="16" t="b">
        <v>0</v>
      </c>
      <c r="Q875" s="7"/>
    </row>
    <row r="876">
      <c r="A876" s="5" t="b">
        <v>1</v>
      </c>
      <c r="B876" s="5" t="s">
        <v>920</v>
      </c>
      <c r="C876" s="6" t="str">
        <f>IFERROR(__xludf.DUMMYFUNCTION("""COMPUTED_VALUE"""),"10.1109/ICSE.2017.43")</f>
        <v>10.1109/ICSE.2017.43</v>
      </c>
      <c r="D876" s="7" t="str">
        <f>IFERROR(__xludf.DUMMYFUNCTION("""COMPUTED_VALUE"""),"Lin Y.; Sun J.; Xue Y.; Liu Y.; Dong J.")</f>
        <v>Lin Y.; Sun J.; Xue Y.; Liu Y.; Dong J.</v>
      </c>
      <c r="E876" s="7" t="str">
        <f>IFERROR(__xludf.DUMMYFUNCTION("""COMPUTED_VALUE"""),"Feedback-based debugging")</f>
        <v>Feedback-based debugging</v>
      </c>
      <c r="F876" s="7" t="str">
        <f>IFERROR(__xludf.DUMMYFUNCTION("""COMPUTED_VALUE"""),"ICSE")</f>
        <v>ICSE</v>
      </c>
      <c r="G876" s="7" t="str">
        <f>IFERROR(__xludf.DUMMYFUNCTION("""COMPUTED_VALUE"""),"Software debugging has long been regarded as a time and effort consuming task. In the process of debugging, developers usually need to manually inspect many program steps to see whether they deviate from their intended behaviors. Given that intended behav"&amp;"iors usually exist nowhere but in human mind, the automation of debugging turns out to be extremely hard, if not impossible. In this work, we propose a feedback-based debugging approach, which (1) builds on light-weight human feedbacks on a buggy program "&amp;"and (2) regards the feedbacks as partial program specification to infer suspicious steps of the buggy execution. Given a buggy program, we record its execution trace and allow developers to provide light-weight feedback on trace steps. Based on the feedba"&amp;"cks, we recommend suspicious steps on the trace. Moreover, our approach can further learn and approximate bug-free paths, which helps reduce required feedbacks to expedite the debugging process. We conduct an experiment to evaluate our approach with simul"&amp;"ated feedbacks on 3409 mutated bugs across 3 open source projects. The results show that our feedback-based approach can detect 92.8% of the bugs and 65% of the detected bugs require less than 20 feedbacks. In addition, we implement our proof-of-concept t"&amp;"ool, Microbat, and conduct a user study involving 16 participants on 3 debugging tasks. The results show that, compared to the participants using the baseline tool, Whyline, the ones using Microbat can spend on average 55.8% less time to locate the bugs. "&amp;"© 2017 IEEE.")</f>
        <v>Software debugging has long been regarded as a time and effort consuming task. In the process of debugging, developers usually need to manually inspect many program steps to see whether they deviate from their intended behaviors. Given that intended behaviors usually exist nowhere but in human mind, the automation of debugging turns out to be extremely hard, if not impossible. In this work, we propose a feedback-based debugging approach, which (1) builds on light-weight human feedbacks on a buggy program and (2) regards the feedbacks as partial program specification to infer suspicious steps of the buggy execution. Given a buggy program, we record its execution trace and allow developers to provide light-weight feedback on trace steps. Based on the feedbacks, we recommend suspicious steps on the trace. Moreover, our approach can further learn and approximate bug-free paths, which helps reduce required feedbacks to expedite the debugging process. We conduct an experiment to evaluate our approach with simulated feedbacks on 3409 mutated bugs across 3 open source projects. The results show that our feedback-based approach can detect 92.8% of the bugs and 65% of the detected bugs require less than 20 feedbacks. In addition, we implement our proof-of-concept tool, Microbat, and conduct a user study involving 16 participants on 3 debugging tasks. The results show that, compared to the participants using the baseline tool, Whyline, the ones using Microbat can spend on average 55.8% less time to locate the bugs. © 2017 IEEE.</v>
      </c>
      <c r="H876" s="8" t="str">
        <f>IFERROR(__xludf.DUMMYFUNCTION("""COMPUTED_VALUE"""),"Approximation; Debugging; Feedback; Path Pattern; Slicing")</f>
        <v>Approximation; Debugging; Feedback; Path Pattern; Slicing</v>
      </c>
      <c r="I876" s="10" t="b">
        <v>0</v>
      </c>
      <c r="J876" s="10" t="b">
        <v>0</v>
      </c>
      <c r="K876" s="10" t="b">
        <v>0</v>
      </c>
      <c r="L876" s="10" t="b">
        <v>0</v>
      </c>
      <c r="M876" s="10" t="b">
        <v>0</v>
      </c>
      <c r="N876" s="10" t="b">
        <v>0</v>
      </c>
      <c r="O876" s="11" t="b">
        <f t="shared" si="1"/>
        <v>0</v>
      </c>
      <c r="P876" s="16" t="b">
        <v>0</v>
      </c>
      <c r="Q876" s="7"/>
    </row>
    <row r="877">
      <c r="A877" s="5" t="b">
        <v>1</v>
      </c>
      <c r="B877" s="5" t="s">
        <v>921</v>
      </c>
      <c r="C877" s="6" t="str">
        <f>IFERROR(__xludf.DUMMYFUNCTION("""COMPUTED_VALUE"""),"10.1109/ICSE48619.2023.00113")</f>
        <v>10.1109/ICSE48619.2023.00113</v>
      </c>
      <c r="D877" s="7" t="str">
        <f>IFERROR(__xludf.DUMMYFUNCTION("""COMPUTED_VALUE"""),"Ezzini S.; Abualhaija S.; Arora C.; Sabetzadeh M.")</f>
        <v>Ezzini S.; Abualhaija S.; Arora C.; Sabetzadeh M.</v>
      </c>
      <c r="E877" s="7" t="str">
        <f>IFERROR(__xludf.DUMMYFUNCTION("""COMPUTED_VALUE"""),"AI-based Question Answering Assistance for Analyzing Natural-language Requirements")</f>
        <v>AI-based Question Answering Assistance for Analyzing Natural-language Requirements</v>
      </c>
      <c r="F877" s="7" t="str">
        <f>IFERROR(__xludf.DUMMYFUNCTION("""COMPUTED_VALUE"""),"ICSE")</f>
        <v>ICSE</v>
      </c>
      <c r="G877" s="7" t="str">
        <f>IFERROR(__xludf.DUMMYFUNCTION("""COMPUTED_VALUE"""),"By virtue of being prevalently written in natural language (NL), requirements are prone to various defects, e.g., inconsistency and incompleteness. As such, requirements are frequently subject to quality assurance processes. These processes, when carried "&amp;"out entirely manually, are tedious and may further overlook important quality issues due to time and budget pressures. In this paper, we propose QAssist - a question-answering (QA) approach that provides automated assistance to stakeholders, including req"&amp;"uirements engineers, during the analysis of NL requirements. Posing a question and getting an instant answer is beneficial in various quality-assurance scenarios, e.g., incompleteness detection. Answering requirements-related questions automatically is ch"&amp;"allenging since the scope of the search for answers can go beyond the given requirements specification. To that end, QAssist provides support for mining external domain-knowledge resources. Our work is one of the first initiatives to bring together QA and"&amp;" external domain knowledge for addressing requirements engineering challenges. We evaluate QAssist on a dataset covering three application domains and containing a total of 387 question-answer pairs. We experiment with state-of-the-art QA methods, based p"&amp;"rimarily on recent large-scale language models. In our empirical study, QAssist localizes the answer to a question to three passages within the requirements specification and within the external domain-knowledge resource with an average recall of 90.1% an"&amp;"d 96.5%, respectively. QAssist extracts the actual answer to the posed question with an average accuracy of 84.2%. © 2023 IEEE.")</f>
        <v>By virtue of being prevalently written in natural language (NL), requirements are prone to various defects, e.g., inconsistency and incompleteness. As such, requirements are frequently subject to quality assurance processes. These processes, when carried out entirely manually, are tedious and may further overlook important quality issues due to time and budget pressures. In this paper, we propose QAssist - a question-answering (QA) approach that provides automated assistance to stakeholders, including requirements engineers, during the analysis of NL requirements. Posing a question and getting an instant answer is beneficial in various quality-assurance scenarios, e.g., incompleteness detection. Answering requirements-related questions automatically is challenging since the scope of the search for answers can go beyond the given requirements specification. To that end, QAssist provides support for mining external domain-knowledge resources. Our work is one of the first initiatives to bring together QA and external domain knowledge for addressing requirements engineering challenges. We evaluate QAssist on a dataset covering three application domains and containing a total of 387 question-answer pairs. We experiment with state-of-the-art QA methods, based primarily on recent large-scale language models. In our empirical study, QAssist localizes the answer to a question to three passages within the requirements specification and within the external domain-knowledge resource with an average recall of 90.1% and 96.5%, respectively. QAssist extracts the actual answer to the posed question with an average accuracy of 84.2%. © 2023 IEEE.</v>
      </c>
      <c r="H877" s="8" t="str">
        <f>IFERROR(__xludf.DUMMYFUNCTION("""COMPUTED_VALUE"""),"BERT; Language Models; Natural Language Generation (NLG); Natural Language Processing (NLP); Natural-language Requirements; Question Answering (QA); T5")</f>
        <v>BERT; Language Models; Natural Language Generation (NLG); Natural Language Processing (NLP); Natural-language Requirements; Question Answering (QA); T5</v>
      </c>
      <c r="I877" s="10" t="b">
        <v>0</v>
      </c>
      <c r="J877" s="10" t="b">
        <v>0</v>
      </c>
      <c r="K877" s="10" t="b">
        <v>0</v>
      </c>
      <c r="L877" s="10" t="b">
        <v>0</v>
      </c>
      <c r="M877" s="10" t="b">
        <v>0</v>
      </c>
      <c r="N877" s="10" t="b">
        <v>0</v>
      </c>
      <c r="O877" s="11" t="b">
        <f t="shared" si="1"/>
        <v>0</v>
      </c>
      <c r="P877" s="16" t="b">
        <v>0</v>
      </c>
      <c r="Q877" s="7"/>
    </row>
    <row r="878">
      <c r="A878" s="5" t="b">
        <v>1</v>
      </c>
      <c r="B878" s="5" t="s">
        <v>922</v>
      </c>
      <c r="C878" s="6" t="str">
        <f>IFERROR(__xludf.DUMMYFUNCTION("""COMPUTED_VALUE"""),"10.1145/1985793.1985840")</f>
        <v>10.1145/1985793.1985840</v>
      </c>
      <c r="D878" s="7" t="str">
        <f>IFERROR(__xludf.DUMMYFUNCTION("""COMPUTED_VALUE"""),"Filieri A.; Ghezzi C.; Tamburrelli G.")</f>
        <v>Filieri A.; Ghezzi C.; Tamburrelli G.</v>
      </c>
      <c r="E878" s="7" t="str">
        <f>IFERROR(__xludf.DUMMYFUNCTION("""COMPUTED_VALUE"""),"Run-time efficient probabilistic model checking")</f>
        <v>Run-time efficient probabilistic model checking</v>
      </c>
      <c r="F878" s="7" t="str">
        <f>IFERROR(__xludf.DUMMYFUNCTION("""COMPUTED_VALUE"""),"ICSE")</f>
        <v>ICSE</v>
      </c>
      <c r="G878" s="7" t="str">
        <f>IFERROR(__xludf.DUMMYFUNCTION("""COMPUTED_VALUE"""),"Unpredictable changes continuously affect software systems and may have a severe impact on their quality of service, potentially jeopardizing the system's ability to meet the desired requirements. Changes may occur in critical components of the system, cl"&amp;"ients' operational profiles, requirements, or deployment environments. The adoption of software models and model checking techniques at run time may support automatic reasoning about such changes, detect harmful configurations, and potentially enable appr"&amp;"opriate (self-)reactions. However, traditional model checking techniques and tools may not be simply applied as they are at run time, since they hardly meet the constraints imposed by on-the-fly analysis, in terms of execution time and memory occupation. "&amp;"This paper precisely addresses this issue and focuses on reliability models, given in terms of Discrete Time Markov Chains, and probabilistic model checking. It develops a mathematical framework for run-time probabilistic model checking that, given a reli"&amp;"ability model and a set of requirements, statically generates a set of expressions, which can be efficiently used at run-time to verify system requirements. An experimental comparison of our approach with existing probabilistic model checkers shows its pr"&amp;"actical applicability in run-time verification. © 2011 ACM.")</f>
        <v>Unpredictable changes continuously affect software systems and may have a severe impact on their quality of service, potentially jeopardizing the system's ability to meet the desired requirements. Changes may occur in critical components of the system, clients' operational profiles, requirements, or deployment environments. The adoption of software models and model checking techniques at run time may support automatic reasoning about such changes, detect harmful configurations, and potentially enable appropriate (self-)reactions. However, traditional model checking techniques and tools may not be simply applied as they are at run time, since they hardly meet the constraints imposed by on-the-fly analysis, in terms of execution time and memory occupation. This paper precisely addresses this issue and focuses on reliability models, given in terms of Discrete Time Markov Chains, and probabilistic model checking. It develops a mathematical framework for run-time probabilistic model checking that, given a reliability model and a set of requirements, statically generates a set of expressions, which can be efficiently used at run-time to verify system requirements. An experimental comparison of our approach with existing probabilistic model checkers shows its practical applicability in run-time verification. © 2011 ACM.</v>
      </c>
      <c r="H878" s="8" t="str">
        <f>IFERROR(__xludf.DUMMYFUNCTION("""COMPUTED_VALUE"""),"discrete time markov chains; run-time model checking")</f>
        <v>discrete time markov chains; run-time model checking</v>
      </c>
      <c r="I878" s="10" t="b">
        <v>0</v>
      </c>
      <c r="J878" s="10" t="b">
        <v>0</v>
      </c>
      <c r="K878" s="10" t="b">
        <v>0</v>
      </c>
      <c r="L878" s="10" t="b">
        <v>0</v>
      </c>
      <c r="M878" s="10" t="b">
        <v>0</v>
      </c>
      <c r="N878" s="10" t="b">
        <v>0</v>
      </c>
      <c r="O878" s="11" t="b">
        <f t="shared" si="1"/>
        <v>0</v>
      </c>
      <c r="P878" s="16" t="b">
        <v>0</v>
      </c>
      <c r="Q878" s="7"/>
    </row>
    <row r="879">
      <c r="A879" s="5" t="b">
        <v>1</v>
      </c>
      <c r="B879" s="5" t="s">
        <v>923</v>
      </c>
      <c r="C879" s="6" t="str">
        <f>IFERROR(__xludf.DUMMYFUNCTION("""COMPUTED_VALUE"""),"10.1109/ICSE43902.2021.00101")</f>
        <v>10.1109/ICSE43902.2021.00101</v>
      </c>
      <c r="D879" s="7" t="str">
        <f>IFERROR(__xludf.DUMMYFUNCTION("""COMPUTED_VALUE"""),"Sun R.; Wang W.; Xue M.; Tyson G.; Camtepe S.; Ranasinghe D.C.")</f>
        <v>Sun R.; Wang W.; Xue M.; Tyson G.; Camtepe S.; Ranasinghe D.C.</v>
      </c>
      <c r="E879" s="7" t="str">
        <f>IFERROR(__xludf.DUMMYFUNCTION("""COMPUTED_VALUE"""),"An empirical assessment of global COVID-19 contact tracing applications")</f>
        <v>An empirical assessment of global COVID-19 contact tracing applications</v>
      </c>
      <c r="F879" s="7" t="str">
        <f>IFERROR(__xludf.DUMMYFUNCTION("""COMPUTED_VALUE"""),"ICSE")</f>
        <v>ICSE</v>
      </c>
      <c r="G879" s="7" t="str">
        <f>IFERROR(__xludf.DUMMYFUNCTION("""COMPUTED_VALUE"""),"The rapid spread of COVID-19 has made manual contact tracing difficult. Thus, various public health authorities have experimented with automatic contact tracing using mobile applications (or 'apps'). These apps, however, have raised security and privacy c"&amp;"oncerns. In this paper, we propose an automated security and privacy assessment tool - COVIDGUARDIAN - which combines identification and analysis of Personal Identification Information (PII), static program analysis and data flow analysis, to determine se"&amp;"curity and privacy weaknesses. Furthermore, in light of our findings, we undertake a user study to investigate concerns regarding contact tracing apps. We hope that COVIDGUARDIAN, and the issues raised through responsible disclosure to vendors, can contri"&amp;"bute to the safe deployment of mobile contact tracing. As part of this, we offer concrete guidelines, and highlight gaps between user requirements and app performance.  © 2021 IEEE.")</f>
        <v>The rapid spread of COVID-19 has made manual contact tracing difficult. Thus, various public health authorities have experimented with automatic contact tracing using mobile applications (or 'apps'). These apps, however, have raised security and privacy concerns. In this paper, we propose an automated security and privacy assessment tool - COVIDGUARDIAN - which combines identification and analysis of Personal Identification Information (PII), static program analysis and data flow analysis, to determine security and privacy weaknesses. Furthermore, in light of our findings, we undertake a user study to investigate concerns regarding contact tracing apps. We hope that COVIDGUARDIAN, and the issues raised through responsible disclosure to vendors, can contribute to the safe deployment of mobile contact tracing. As part of this, we offer concrete guidelines, and highlight gaps between user requirements and app performance.  © 2021 IEEE.</v>
      </c>
      <c r="H879" s="8" t="str">
        <f>IFERROR(__xludf.DUMMYFUNCTION("""COMPUTED_VALUE"""),"Contact tracing; COVID-19; Mobile application; Software security privacy")</f>
        <v>Contact tracing; COVID-19; Mobile application; Software security privacy</v>
      </c>
      <c r="I879" s="10" t="b">
        <v>0</v>
      </c>
      <c r="J879" s="10" t="b">
        <v>0</v>
      </c>
      <c r="K879" s="10" t="b">
        <v>0</v>
      </c>
      <c r="L879" s="10" t="b">
        <v>0</v>
      </c>
      <c r="M879" s="10" t="b">
        <v>0</v>
      </c>
      <c r="N879" s="10" t="b">
        <v>0</v>
      </c>
      <c r="O879" s="11" t="b">
        <f t="shared" si="1"/>
        <v>0</v>
      </c>
      <c r="P879" s="16" t="b">
        <v>0</v>
      </c>
      <c r="Q879" s="7"/>
    </row>
    <row r="880">
      <c r="A880" s="5" t="b">
        <v>1</v>
      </c>
      <c r="B880" s="5" t="s">
        <v>924</v>
      </c>
      <c r="C880" s="6" t="str">
        <f>IFERROR(__xludf.DUMMYFUNCTION("""COMPUTED_VALUE"""),"10.1145/3377813.3381349")</f>
        <v>10.1145/3377813.3381349</v>
      </c>
      <c r="D880" s="7" t="str">
        <f>IFERROR(__xludf.DUMMYFUNCTION("""COMPUTED_VALUE"""),"Diamantopoulos N.; Wong J.; Mattos D.I.; Gerostathopoulos I.; Wardrop M.; Mao T.; McFarland C.")</f>
        <v>Diamantopoulos N.; Wong J.; Mattos D.I.; Gerostathopoulos I.; Wardrop M.; Mao T.; McFarland C.</v>
      </c>
      <c r="E880" s="7" t="str">
        <f>IFERROR(__xludf.DUMMYFUNCTION("""COMPUTED_VALUE"""),"Engineering for a science-centric experimentation platform")</f>
        <v>Engineering for a science-centric experimentation platform</v>
      </c>
      <c r="F880" s="7" t="str">
        <f>IFERROR(__xludf.DUMMYFUNCTION("""COMPUTED_VALUE"""),"ICSE")</f>
        <v>ICSE</v>
      </c>
      <c r="G880" s="7" t="str">
        <f>IFERROR(__xludf.DUMMYFUNCTION("""COMPUTED_VALUE"""),"Netflix is an internet entertainment service that routinely employs experimentation to guide strategy around product innovations. As Netflix grew, it had the opportunity to explore increasingly specialized improvements to its service, which generated dema"&amp;"nd for deeper analyses supported by richer metrics and powered by more diverse statistical methodologies. To facilitate this, and more fully harness the skill sets of both engineering and data science, Netflix engineers created a science-centric experimen"&amp;"tation platform that leverages the expertise of scientists from a wide range of backgrounds working on data science tasks by allowing them to make direct code contributions in the languages used by them (Python and R). Moreover, the same code that runs in"&amp;" production is able to be run locally, making it straightforward to explore and graduate both metrics and causal inference methodologies directly into production services. In this paper, we provide two main contributions. Firstly, we report on the archite"&amp;"cture of this platform, with a special emphasis on its novel aspects: how it supports science-centric end-to-end workflows without compromising engineering requirements. Secondly, we describe its approach to causal inference, which leverages the potential"&amp;" outcomes conceptual framework to provide a unified abstarction layer for arbitrary statistical models and methodologies. © 2020 IEEE Computer Society. All rights reserved.")</f>
        <v>Netflix is an internet entertainment service that routinely employs experimentation to guide strategy around product innovations. As Netflix grew, it had the opportunity to explore increasingly specialized improvements to its service, which generated demand for deeper analyses supported by richer metrics and powered by more diverse statistical methodologies. To facilitate this, and more fully harness the skill sets of both engineering and data science, Netflix engineers created a science-centric experimentation platform that leverages the expertise of scientists from a wide range of backgrounds working on data science tasks by allowing them to make direct code contributions in the languages used by them (Python and R). Moreover, the same code that runs in production is able to be run locally, making it straightforward to explore and graduate both metrics and causal inference methodologies directly into production services. In this paper, we provide two main contributions. Firstly, we report on the architecture of this platform, with a special emphasis on its novel aspects: how it supports science-centric end-to-end workflows without compromising engineering requirements. Secondly, we describe its approach to causal inference, which leverages the potential outcomes conceptual framework to provide a unified abstarction layer for arbitrary statistical models and methodologies. © 2020 IEEE Computer Society. All rights reserved.</v>
      </c>
      <c r="H880" s="8" t="str">
        <f>IFERROR(__xludf.DUMMYFUNCTION("""COMPUTED_VALUE"""),"A/B testing; Causal inference; Experimentation; Science-centric; Software architecture")</f>
        <v>A/B testing; Causal inference; Experimentation; Science-centric; Software architecture</v>
      </c>
      <c r="I880" s="10" t="b">
        <v>0</v>
      </c>
      <c r="J880" s="10" t="b">
        <v>0</v>
      </c>
      <c r="K880" s="10" t="b">
        <v>0</v>
      </c>
      <c r="L880" s="10" t="b">
        <v>0</v>
      </c>
      <c r="M880" s="10" t="b">
        <v>0</v>
      </c>
      <c r="N880" s="10" t="b">
        <v>0</v>
      </c>
      <c r="O880" s="11" t="b">
        <f t="shared" si="1"/>
        <v>0</v>
      </c>
      <c r="P880" s="16" t="b">
        <v>0</v>
      </c>
      <c r="Q880" s="7"/>
    </row>
    <row r="881">
      <c r="A881" s="5" t="b">
        <v>1</v>
      </c>
      <c r="B881" s="5" t="s">
        <v>925</v>
      </c>
      <c r="C881" s="6" t="str">
        <f>IFERROR(__xludf.DUMMYFUNCTION("""COMPUTED_VALUE"""),"10.1145/3180155.3180231")</f>
        <v>10.1145/3180155.3180231</v>
      </c>
      <c r="D881" s="7" t="str">
        <f>IFERROR(__xludf.DUMMYFUNCTION("""COMPUTED_VALUE"""),"Chowdhury S.A.; Mohian S.; Mehra S.; Gawsane S.; Johnson T.T.; Csallner C.")</f>
        <v>Chowdhury S.A.; Mohian S.; Mehra S.; Gawsane S.; Johnson T.T.; Csallner C.</v>
      </c>
      <c r="E881" s="7" t="str">
        <f>IFERROR(__xludf.DUMMYFUNCTION("""COMPUTED_VALUE"""),"Automatically finding bugs in a commercial cyber-physical system development tool chain with SLforge")</f>
        <v>Automatically finding bugs in a commercial cyber-physical system development tool chain with SLforge</v>
      </c>
      <c r="F881" s="7" t="str">
        <f>IFERROR(__xludf.DUMMYFUNCTION("""COMPUTED_VALUE"""),"ICSE")</f>
        <v>ICSE</v>
      </c>
      <c r="G881" s="7" t="str">
        <f>IFERROR(__xludf.DUMMYFUNCTION("""COMPUTED_VALUE"""),"Cyber-physical system (CPS) development tool chains are widely used in the design, simulation, and verification of CPS data-flow models. Commercial CPS tool chains such as MathWorks' Simulink generate artifacts such as code binaries that are widely deploy"&amp;"ed in embedded systems. Hardening such tool chains by testing is crucial since formally verifying them is currently infeasible. Existing differential testing frameworks such as CyFuzz can not generate models rich in language features, partly because these"&amp;" tool chains do not leverage the available informal Simulink specifications. Furthermore, no study of existing Simulink models is available, which could guide CyFuzz to generate realistic models. To address these shortcomings, we created the first large c"&amp;"ollection of public Simulink models and used the collected models' properties to guide random model generation. To further guide model generation we systematically collected semi-formal Simulink specifications. In our experiments on several hundred models"&amp;", the resulting SLforge generator was more effective and efficient than the state-of-the-art tool CyFuzz. SLforge also found 8 new confirmed bugs in Simulink. © 2018 ACM.")</f>
        <v>Cyber-physical system (CPS) development tool chains are widely used in the design, simulation, and verification of CPS data-flow models. Commercial CPS tool chains such as MathWorks' Simulink generate artifacts such as code binaries that are widely deployed in embedded systems. Hardening such tool chains by testing is crucial since formally verifying them is currently infeasible. Existing differential testing frameworks such as CyFuzz can not generate models rich in language features, partly because these tool chains do not leverage the available informal Simulink specifications. Furthermore, no study of existing Simulink models is available, which could guide CyFuzz to generate realistic models. To address these shortcomings, we created the first large collection of public Simulink models and used the collected models' properties to guide random model generation. To further guide model generation we systematically collected semi-formal Simulink specifications. In our experiments on several hundred models, the resulting SLforge generator was more effective and efficient than the state-of-the-art tool CyFuzz. SLforge also found 8 new confirmed bugs in Simulink. © 2018 ACM.</v>
      </c>
      <c r="H881" s="8" t="str">
        <f>IFERROR(__xludf.DUMMYFUNCTION("""COMPUTED_VALUE"""),"Cyber-physical systems; Differential testing; Tool chain bugs")</f>
        <v>Cyber-physical systems; Differential testing; Tool chain bugs</v>
      </c>
      <c r="I881" s="10" t="b">
        <v>0</v>
      </c>
      <c r="J881" s="10" t="b">
        <v>0</v>
      </c>
      <c r="K881" s="10" t="b">
        <v>0</v>
      </c>
      <c r="L881" s="10" t="b">
        <v>0</v>
      </c>
      <c r="M881" s="10" t="b">
        <v>0</v>
      </c>
      <c r="N881" s="10" t="b">
        <v>0</v>
      </c>
      <c r="O881" s="11" t="b">
        <f t="shared" si="1"/>
        <v>0</v>
      </c>
      <c r="P881" s="16" t="b">
        <v>0</v>
      </c>
      <c r="Q881" s="7"/>
    </row>
    <row r="882">
      <c r="A882" s="5" t="b">
        <v>1</v>
      </c>
      <c r="B882" s="5" t="s">
        <v>926</v>
      </c>
      <c r="C882" s="6" t="str">
        <f>IFERROR(__xludf.DUMMYFUNCTION("""COMPUTED_VALUE"""),"10.1145/3195538.3195545")</f>
        <v>10.1145/3195538.3195545</v>
      </c>
      <c r="D882" s="7" t="str">
        <f>IFERROR(__xludf.DUMMYFUNCTION("""COMPUTED_VALUE"""),"Osman M.H.; Zaharin M.F.")</f>
        <v>Osman M.H.; Zaharin M.F.</v>
      </c>
      <c r="E882" s="7" t="str">
        <f>IFERROR(__xludf.DUMMYFUNCTION("""COMPUTED_VALUE"""),"Ambiguous software requirement specification detection: An automated approach")</f>
        <v>Ambiguous software requirement specification detection: An automated approach</v>
      </c>
      <c r="F882" s="7" t="str">
        <f>IFERROR(__xludf.DUMMYFUNCTION("""COMPUTED_VALUE"""),"ICSE")</f>
        <v>ICSE</v>
      </c>
      <c r="G882" s="7" t="str">
        <f>IFERROR(__xludf.DUMMYFUNCTION("""COMPUTED_VALUE"""),"Software requirement specification (SRS) document is the most crucial document in software development process. All subsequent steps in software development are influenced by this document. However, issues in requirement, such as ambiguity or incomplete s"&amp;"pecification may lead to misinterpretation of requirements which consequently, influence the testing activities and higher the risk of time and cost overrun of the project. Finding defects in the initial development phase is crucial since the defect that "&amp;"found late is more expensive than if it was found early. This study describes an automated approach for detecting ambiguous software requirement specification. To this end, we propose the combination of text mining and machine learning. Since the dataset "&amp;"is derived from Malaysian industrial SRS documents, this study only focuses on the Malaysian context. We used text mining for feature extraction and for preparing the training set. Based on this training set, the method 'learns' to detect the ambiguous re"&amp;"quirement specification. In this paper, we study a set of nine (9) classification algorithms from the machine learning community and evaluate which algorithm performs best to detect the ambiguous software requirement specification. Based on the experiment"&amp;"'s result, we develop a working prototype which later is used for our initial validation of our approach. The initial validation shows that the result produced by the classification model is reasonably acceptable. Even though this study is an experimental"&amp;" benchmark, we optimist that this approach may contributes to enhance the quality of SRS. © 2018 ACM.")</f>
        <v>Software requirement specification (SRS) document is the most crucial document in software development process. All subsequent steps in software development are influenced by this document. However, issues in requirement, such as ambiguity or incomplete specification may lead to misinterpretation of requirements which consequently, influence the testing activities and higher the risk of time and cost overrun of the project. Finding defects in the initial development phase is crucial since the defect that found late is more expensive than if it was found early. This study describes an automated approach for detecting ambiguous software requirement specification. To this end, we propose the combination of text mining and machine learning. Since the dataset is derived from Malaysian industrial SRS documents, this study only focuses on the Malaysian context. We used text mining for feature extraction and for preparing the training set. Based on this training set, the method 'learns' to detect the ambiguous requirement specification. In this paper, we study a set of nine (9) classification algorithms from the machine learning community and evaluate which algorithm performs best to detect the ambiguous software requirement specification. Based on the experiment's result, we develop a working prototype which later is used for our initial validation of our approach. The initial validation shows that the result produced by the classification model is reasonably acceptable. Even though this study is an experimental benchmark, we optimist that this approach may contributes to enhance the quality of SRS. © 2018 ACM.</v>
      </c>
      <c r="H882" s="8" t="str">
        <f>IFERROR(__xludf.DUMMYFUNCTION("""COMPUTED_VALUE"""),"machine learning; requirement engineering; software engineering; text mining")</f>
        <v>machine learning; requirement engineering; software engineering; text mining</v>
      </c>
      <c r="I882" s="10" t="b">
        <v>0</v>
      </c>
      <c r="J882" s="10" t="b">
        <v>0</v>
      </c>
      <c r="K882" s="10" t="b">
        <v>0</v>
      </c>
      <c r="L882" s="10" t="b">
        <v>0</v>
      </c>
      <c r="M882" s="10" t="b">
        <v>0</v>
      </c>
      <c r="N882" s="10" t="b">
        <v>0</v>
      </c>
      <c r="O882" s="11" t="b">
        <f t="shared" si="1"/>
        <v>0</v>
      </c>
      <c r="P882" s="16" t="b">
        <v>0</v>
      </c>
      <c r="Q882" s="7"/>
    </row>
    <row r="883">
      <c r="A883" s="5" t="b">
        <v>1</v>
      </c>
      <c r="B883" s="5" t="s">
        <v>927</v>
      </c>
      <c r="C883" s="6" t="str">
        <f>IFERROR(__xludf.DUMMYFUNCTION("""COMPUTED_VALUE"""),"10.1145/3193992.3194003")</f>
        <v>10.1145/3193992.3194003</v>
      </c>
      <c r="D883" s="7" t="str">
        <f>IFERROR(__xludf.DUMMYFUNCTION("""COMPUTED_VALUE"""),"Todorov V.; Boulanger F.; Taha S.")</f>
        <v>Todorov V.; Boulanger F.; Taha S.</v>
      </c>
      <c r="E883" s="7" t="str">
        <f>IFERROR(__xludf.DUMMYFUNCTION("""COMPUTED_VALUE"""),"Formal verification of automotive embedded software")</f>
        <v>Formal verification of automotive embedded software</v>
      </c>
      <c r="F883" s="7" t="str">
        <f>IFERROR(__xludf.DUMMYFUNCTION("""COMPUTED_VALUE"""),"ICSE")</f>
        <v>ICSE</v>
      </c>
      <c r="G883" s="7" t="str">
        <f>IFERROR(__xludf.DUMMYFUNCTION("""COMPUTED_VALUE"""),"The ever-increasing complexity of automotive embedded systems and the need for safe advanced driver assistance systems (ADAS) represent a great challenge for car manufacturers. Furthermore, we expect that in the near future, authorities require a software"&amp;" certification in order to get convinced that ADAS are safe enough. Theoretical research and experience show that when using conventional design approaches it is impossible to guarantee high confidence to those systems. The way taken by some industries (e"&amp;".g. aerospace, railway, nuclear) was by partially using formal verification techniques. In this paper, we first present a background of the formal verification techniques and how they can contribute to achieve the requirements of some safety standards. Ne"&amp;"xt, we share our experience with the application of those techniques that seem to be mature enough to be used in an industrial context: Static analysis based on Abstract Interpretation, SMT-based software Model checking and Deductive proof. Finally, we ma"&amp;"ke a detailed analysis about our experiments and propose an approach introducing formal methods into the development of automotive embedded software. © 2018 Association for Computing Machinery.")</f>
        <v>The ever-increasing complexity of automotive embedded systems and the need for safe advanced driver assistance systems (ADAS) represent a great challenge for car manufacturers. Furthermore, we expect that in the near future, authorities require a software certification in order to get convinced that ADAS are safe enough. Theoretical research and experience show that when using conventional design approaches it is impossible to guarantee high confidence to those systems. The way taken by some industries (e.g. aerospace, railway, nuclear) was by partially using formal verification techniques. In this paper, we first present a background of the formal verification techniques and how they can contribute to achieve the requirements of some safety standards. Next, we share our experience with the application of those techniques that seem to be mature enough to be used in an industrial context: Static analysis based on Abstract Interpretation, SMT-based software Model checking and Deductive proof. Finally, we make a detailed analysis about our experiments and propose an approach introducing formal methods into the development of automotive embedded software. © 2018 Association for Computing Machinery.</v>
      </c>
      <c r="H883" s="8" t="str">
        <f>IFERROR(__xludf.DUMMYFUNCTION("""COMPUTED_VALUE"""),"ADAS; Certification; Formal methods; Software verification")</f>
        <v>ADAS; Certification; Formal methods; Software verification</v>
      </c>
      <c r="I883" s="10" t="b">
        <v>0</v>
      </c>
      <c r="J883" s="10" t="b">
        <v>0</v>
      </c>
      <c r="K883" s="10" t="b">
        <v>0</v>
      </c>
      <c r="L883" s="10" t="b">
        <v>0</v>
      </c>
      <c r="M883" s="10" t="b">
        <v>0</v>
      </c>
      <c r="N883" s="10" t="b">
        <v>0</v>
      </c>
      <c r="O883" s="11" t="b">
        <f t="shared" si="1"/>
        <v>0</v>
      </c>
      <c r="P883" s="16" t="b">
        <v>0</v>
      </c>
      <c r="Q883" s="7"/>
    </row>
    <row r="884">
      <c r="A884" s="5" t="b">
        <v>1</v>
      </c>
      <c r="B884" s="5" t="s">
        <v>928</v>
      </c>
      <c r="C884" s="6" t="str">
        <f>IFERROR(__xludf.DUMMYFUNCTION("""COMPUTED_VALUE"""),"10.1145/3510003.3510074")</f>
        <v>10.1145/3510003.3510074</v>
      </c>
      <c r="D884" s="7" t="str">
        <f>IFERROR(__xludf.DUMMYFUNCTION("""COMPUTED_VALUE"""),"Wang S.; Wang Y.; Zhan X.; Wang Y.; Liu Y.; Luo X.; Cheung S.-C.")</f>
        <v>Wang S.; Wang Y.; Zhan X.; Wang Y.; Liu Y.; Luo X.; Cheung S.-C.</v>
      </c>
      <c r="E884" s="7" t="str">
        <f>IFERROR(__xludf.DUMMYFUNCTION("""COMPUTED_VALUE"""),"APER: Evolution-Aware Runtime Permission Misuse Detection for Android Apps")</f>
        <v>APER: Evolution-Aware Runtime Permission Misuse Detection for Android Apps</v>
      </c>
      <c r="F884" s="7" t="str">
        <f>IFERROR(__xludf.DUMMYFUNCTION("""COMPUTED_VALUE"""),"ICSE")</f>
        <v>ICSE</v>
      </c>
      <c r="G884" s="7" t="str">
        <f>IFERROR(__xludf.DUMMYFUNCTION("""COMPUTED_VALUE"""),"The Android platform introduces the runtime permission model in version 6.0. The new model greatly improves data privacy and user experience, but brings new challenges for app developers. First, it allows users to freely revoke granted permissions. Hence,"&amp;" developers cannot assume that the permissions granted to an app would keep being granted. Instead, they should make their apps carefully check the permission status before invoking dangerous APIs. Second, the permission specification keeps evolving, brin"&amp;"ging new types of compatibility issues into the ecosystem. To understand the impact of the challenges, we conducted an empirical study on 13,352 popular Google Play apps. We found that 86.0% apps used dangerous APIs asynchronously after permission managem"&amp;"ent and 61.2% apps used evolving dangerous APIs. If an app does not properly handle permission revocations or platform differences, unexpected runtime issues may happen and even cause app crashes. We call such Android Runtime Permission issues as ARP bugs"&amp;". Unfortunately, existing runtime permission issue detection tools cannot effectively deal with the ARP bugs induced by asynchronous permission management and permission specification evolution. To fill the gap, we designed a static analyzer, Aper, that p"&amp;"erforms reaching definition and dominator analysis on Android apps to detect the two types of ARP bugs. To compare Aper with existing tools, we built a benchmark, ARPFIX, from 60 real ARP bugs. Our experiment results show that Aper significantly outperfor"&amp;"ms two academic tools, ARPDROID and Revdroid, and an industrial tool, Lint, on ARPFIX, with an average improvement of 46.3% on F1-score. In addition, Aper successfully found 34 ARP bugs in 214 open-source Android apps, most of which can result in abnormal"&amp;" app behaviors (such as app crashes) according to our manual validation. We reported these bugs to the app developers. So far, 17 bugs have been confirmed and seven have been fixed. © 2022 ACM.")</f>
        <v>The Android platform introduces the runtime permission model in version 6.0. The new model greatly improves data privacy and user experience, but brings new challenges for app developers. First, it allows users to freely revoke granted permissions. Hence, developers cannot assume that the permissions granted to an app would keep being granted. Instead, they should make their apps carefully check the permission status before invoking dangerous APIs. Second, the permission specification keeps evolving, bringing new types of compatibility issues into the ecosystem. To understand the impact of the challenges, we conducted an empirical study on 13,352 popular Google Play apps. We found that 86.0% apps used dangerous APIs asynchronously after permission management and 61.2% apps used evolving dangerous APIs. If an app does not properly handle permission revocations or platform differences, unexpected runtime issues may happen and even cause app crashes. We call such Android Runtime Permission issues as ARP bugs. Unfortunately, existing runtime permission issue detection tools cannot effectively deal with the ARP bugs induced by asynchronous permission management and permission specification evolution. To fill the gap, we designed a static analyzer, Aper, that performs reaching definition and dominator analysis on Android apps to detect the two types of ARP bugs. To compare Aper with existing tools, we built a benchmark, ARPFIX, from 60 real ARP bugs. Our experiment results show that Aper significantly outperforms two academic tools, ARPDROID and Revdroid, and an industrial tool, Lint, on ARPFIX, with an average improvement of 46.3% on F1-score. In addition, Aper successfully found 34 ARP bugs in 214 open-source Android apps, most of which can result in abnormal app behaviors (such as app crashes) according to our manual validation. We reported these bugs to the app developers. So far, 17 bugs have been confirmed and seven have been fixed. © 2022 ACM.</v>
      </c>
      <c r="H884" s="8" t="str">
        <f>IFERROR(__xludf.DUMMYFUNCTION("""COMPUTED_VALUE"""),"Android Runtime Permission; Compatibility Issues; Static Analysis")</f>
        <v>Android Runtime Permission; Compatibility Issues; Static Analysis</v>
      </c>
      <c r="I884" s="10" t="b">
        <v>0</v>
      </c>
      <c r="J884" s="10" t="b">
        <v>0</v>
      </c>
      <c r="K884" s="10" t="b">
        <v>0</v>
      </c>
      <c r="L884" s="10" t="b">
        <v>0</v>
      </c>
      <c r="M884" s="10" t="b">
        <v>0</v>
      </c>
      <c r="N884" s="10" t="b">
        <v>0</v>
      </c>
      <c r="O884" s="11" t="b">
        <f t="shared" si="1"/>
        <v>0</v>
      </c>
      <c r="P884" s="16" t="b">
        <v>0</v>
      </c>
      <c r="Q884" s="7"/>
    </row>
    <row r="885">
      <c r="A885" s="5" t="b">
        <v>1</v>
      </c>
      <c r="B885" s="5" t="s">
        <v>929</v>
      </c>
      <c r="C885" s="6" t="str">
        <f>IFERROR(__xludf.DUMMYFUNCTION("""COMPUTED_VALUE"""),"10.1109/ICSE.2013.6606683")</f>
        <v>10.1109/ICSE.2013.6606683</v>
      </c>
      <c r="D885" s="7" t="str">
        <f>IFERROR(__xludf.DUMMYFUNCTION("""COMPUTED_VALUE"""),"Bagheri H.; Sullivan K.")</f>
        <v>Bagheri H.; Sullivan K.</v>
      </c>
      <c r="E885" s="7" t="str">
        <f>IFERROR(__xludf.DUMMYFUNCTION("""COMPUTED_VALUE"""),"Bottom-up model-driven development")</f>
        <v>Bottom-up model-driven development</v>
      </c>
      <c r="F885" s="7" t="str">
        <f>IFERROR(__xludf.DUMMYFUNCTION("""COMPUTED_VALUE"""),"ICSE")</f>
        <v>ICSE</v>
      </c>
      <c r="G885" s="7" t="str">
        <f>IFERROR(__xludf.DUMMYFUNCTION("""COMPUTED_VALUE"""),"Prominent researchers and leading practitioners are questioning the long-term viability of model-driven development (MDD). Finkelstein recently ranked MDD as a bottom-ten research area, arguing that an approach based entirely on development and refinement"&amp;" of abstract representations is untenable. His view is that working with concrete artifacts is necessary for learning what to build and how to build it. What if this view is correct? Could MDD be rescued from such a critique? We suggest the answer is yes,"&amp;" but that it requires an inversion of traditional views of transformational MDD. Rather than develop complete, abstract system models, in ad-hoc modeling languages, followed by top-down synthesis of hidden concrete artifacts, we envision that engineers wi"&amp;"ll continue to develop concrete artifacts, but over time will recognize patterns and concerns that can profitably be lifted, from the bottom-up, to the level of partial models, in general-purpose specification languages, from which visible concrete artifa"&amp;"cts are generated, becoming part of the base of both concrete and abstract artifacts for subsequent rounds of development. This paper reports on recent work that suggests this approach is viable, and explores ramifications of such a rethinking of MDD. Ear"&amp;"ly validation flows from experience applying these ideas to a healthcare-related experimental system in our lab. © 2013 IEEE.")</f>
        <v>Prominent researchers and leading practitioners are questioning the long-term viability of model-driven development (MDD). Finkelstein recently ranked MDD as a bottom-ten research area, arguing that an approach based entirely on development and refinement of abstract representations is untenable. His view is that working with concrete artifacts is necessary for learning what to build and how to build it. What if this view is correct? Could MDD be rescued from such a critique? We suggest the answer is yes, but that it requires an inversion of traditional views of transformational MDD. Rather than develop complete, abstract system models, in ad-hoc modeling languages, followed by top-down synthesis of hidden concrete artifacts, we envision that engineers will continue to develop concrete artifacts, but over time will recognize patterns and concerns that can profitably be lifted, from the bottom-up, to the level of partial models, in general-purpose specification languages, from which visible concrete artifacts are generated, becoming part of the base of both concrete and abstract artifacts for subsequent rounds of development. This paper reports on recent work that suggests this approach is viable, and explores ramifications of such a rethinking of MDD. Early validation flows from experience applying these ideas to a healthcare-related experimental system in our lab. © 2013 IEEE.</v>
      </c>
      <c r="H885" s="8" t="str">
        <f>IFERROR(__xludf.DUMMYFUNCTION("""COMPUTED_VALUE"""),"Bottom-up; Model-driven development; Partial synthesis")</f>
        <v>Bottom-up; Model-driven development; Partial synthesis</v>
      </c>
      <c r="I885" s="10" t="b">
        <v>0</v>
      </c>
      <c r="J885" s="10" t="b">
        <v>0</v>
      </c>
      <c r="K885" s="10" t="b">
        <v>0</v>
      </c>
      <c r="L885" s="10" t="b">
        <v>0</v>
      </c>
      <c r="M885" s="10" t="b">
        <v>0</v>
      </c>
      <c r="N885" s="10" t="b">
        <v>0</v>
      </c>
      <c r="O885" s="11" t="b">
        <f t="shared" si="1"/>
        <v>0</v>
      </c>
      <c r="P885" s="16" t="b">
        <v>0</v>
      </c>
      <c r="Q885" s="7"/>
    </row>
    <row r="886">
      <c r="A886" s="5" t="b">
        <v>1</v>
      </c>
      <c r="B886" s="5" t="s">
        <v>930</v>
      </c>
      <c r="C886" s="6" t="str">
        <f>IFERROR(__xludf.DUMMYFUNCTION("""COMPUTED_VALUE"""),"10.1145/3180155.3180258")</f>
        <v>10.1145/3180155.3180258</v>
      </c>
      <c r="D886" s="7" t="str">
        <f>IFERROR(__xludf.DUMMYFUNCTION("""COMPUTED_VALUE"""),"Lambers L.; Strüber D.; Taentzer G.; Born K.; Huebert J.")</f>
        <v>Lambers L.; Strüber D.; Taentzer G.; Born K.; Huebert J.</v>
      </c>
      <c r="E886" s="7" t="str">
        <f>IFERROR(__xludf.DUMMYFUNCTION("""COMPUTED_VALUE"""),"Multi-granular conflict and dependency analysis in software engineering based on graph transformation")</f>
        <v>Multi-granular conflict and dependency analysis in software engineering based on graph transformation</v>
      </c>
      <c r="F886" s="7" t="str">
        <f>IFERROR(__xludf.DUMMYFUNCTION("""COMPUTED_VALUE"""),"ICSE")</f>
        <v>ICSE</v>
      </c>
      <c r="G886" s="7" t="str">
        <f>IFERROR(__xludf.DUMMYFUNCTION("""COMPUTED_VALUE"""),"Conflict and dependency analysis (CDA) of graph transformation has been shown to be a versatile foundation for understanding interactions in many software engineering domains, including software analysis and design, model-driven engineering, and testing. "&amp;"In this paper, we propose a novel static CDA technique that is multi-granular in the sense that it can detect all conflicts and dependencies on multiple granularity levels. Specifically, we provide an efficient algorithm suite for computing binary, coarse"&amp;"-grained, and fine-grained conflicts and dependencies: Binary granularity indicates the presence or absence of conflicts and dependencies, coarse granularity focuses on root causes for conflicts and dependencies, and fine granularity shows each conflict a"&amp;"nd dependency in full detail. Doing so, we can address specific performance and usability requirements that we identified in a literature survey of CDA usage scenarios. In an experimental evaluation, our algorithm suite computes conflicts and dependencies"&amp;" rapidly. Finally, we present a user study, in which the participants found our coarse-grained results more understandable than the fine-grained ones reported in a state-of-the-art tool. Our overall contribution is twofold: (i) we significantly speed up t"&amp;"he computation of fine-grained and binary CDA results and, (ii) complement them with coarse-grained ones, which offer usability benefits for numerous use cases. © 2018 ACM.")</f>
        <v>Conflict and dependency analysis (CDA) of graph transformation has been shown to be a versatile foundation for understanding interactions in many software engineering domains, including software analysis and design, model-driven engineering, and testing. In this paper, we propose a novel static CDA technique that is multi-granular in the sense that it can detect all conflicts and dependencies on multiple granularity levels. Specifically, we provide an efficient algorithm suite for computing binary, coarse-grained, and fine-grained conflicts and dependencies: Binary granularity indicates the presence or absence of conflicts and dependencies, coarse granularity focuses on root causes for conflicts and dependencies, and fine granularity shows each conflict and dependency in full detail. Doing so, we can address specific performance and usability requirements that we identified in a literature survey of CDA usage scenarios. In an experimental evaluation, our algorithm suite computes conflicts and dependencies rapidly. Finally, we present a user study, in which the participants found our coarse-grained results more understandable than the fine-grained ones reported in a state-of-the-art tool. Our overall contribution is twofold: (i) we significantly speed up the computation of fine-grained and binary CDA results and, (ii) complement them with coarse-grained ones, which offer usability benefits for numerous use cases. © 2018 ACM.</v>
      </c>
      <c r="H886" s="8"/>
      <c r="I886" s="10" t="b">
        <v>0</v>
      </c>
      <c r="J886" s="10" t="b">
        <v>0</v>
      </c>
      <c r="K886" s="10" t="b">
        <v>0</v>
      </c>
      <c r="L886" s="10" t="b">
        <v>0</v>
      </c>
      <c r="M886" s="10" t="b">
        <v>0</v>
      </c>
      <c r="N886" s="10" t="b">
        <v>0</v>
      </c>
      <c r="O886" s="11" t="b">
        <f t="shared" si="1"/>
        <v>0</v>
      </c>
      <c r="P886" s="16" t="b">
        <v>0</v>
      </c>
      <c r="Q886" s="7"/>
    </row>
    <row r="887">
      <c r="A887" s="5" t="b">
        <v>1</v>
      </c>
      <c r="B887" s="5" t="s">
        <v>931</v>
      </c>
      <c r="C887" s="6" t="str">
        <f>IFERROR(__xludf.DUMMYFUNCTION("""COMPUTED_VALUE"""),"10.1109/ICSE48619.2023.00179")</f>
        <v>10.1109/ICSE48619.2023.00179</v>
      </c>
      <c r="D887" s="7" t="str">
        <f>IFERROR(__xludf.DUMMYFUNCTION("""COMPUTED_VALUE"""),"Li J.; Li Y.; Li G.; Jin Z.; Hao Y.; Hu X.")</f>
        <v>Li J.; Li Y.; Li G.; Jin Z.; Hao Y.; Hu X.</v>
      </c>
      <c r="E887" s="7" t="str">
        <f>IFERROR(__xludf.DUMMYFUNCTION("""COMPUTED_VALUE"""),"SkCoder: A Sketch-based Approach for Automatic Code Generation")</f>
        <v>SkCoder: A Sketch-based Approach for Automatic Code Generation</v>
      </c>
      <c r="F887" s="7" t="str">
        <f>IFERROR(__xludf.DUMMYFUNCTION("""COMPUTED_VALUE"""),"ICSE")</f>
        <v>ICSE</v>
      </c>
      <c r="G887" s="7" t="str">
        <f>IFERROR(__xludf.DUMMYFUNCTION("""COMPUTED_VALUE"""),"Recently, deep learning techniques have shown great success in automatic code generation. Inspired by the code reuse, some researchers propose copy-based approaches that can copy the content from similar code snippets to obtain better performance. Practic"&amp;"ally, human developers recognize the content in the similar code that is relevant to their needs, which can be viewed as a code sketch. The sketch is further edited to the desired code. However, existing copy-based approaches ignore the code sketches and "&amp;"tend to repeat the similar code without necessary modifications, which leads to generating wrong results. In this paper, we propose a sketch-based code generation approach named Skcoderto mimic developers' code reuse behavior. Given a natural language req"&amp;"uirement, Skcoderretrieves a similar code snippet, extracts relevant parts as a code sketch, and edits the sketch into the desired code. Our motivations are that the extracted sketch provides a well-formed pattern for telling models 'how to write'. The po"&amp;"st-editing further adds requirement-specific details into the sketch and outputs the complete code. We conduct experiments on two public datasets and a new dataset collected by this work. We compare our approach to 20 baselines using 5 widely used metrics"&amp;". Experimental results show that (1) Skcodercan generate more correct programs, and outperforms the state-of-the-art -CodeT5-base by 30.30%, 35.39%, and 29.62% on three datasets. (2) Our approach is effective to multiple code generation models and improve"&amp;"s them by up to 120.1% in Pass@l. (3) We investigate three plausible code sketches and discuss the importance of sketches. (4) We manually evaluate the generated code and prove the superiority of our Skcoderin three aspects. © 2023 IEEE.")</f>
        <v>Recently, deep learning techniques have shown great success in automatic code generation. Inspired by the code reuse, some researchers propose copy-based approaches that can copy the content from similar code snippets to obtain better performance. Practically, human developers recognize the content in the similar code that is relevant to their needs, which can be viewed as a code sketch. The sketch is further edited to the desired code. However, existing copy-based approaches ignore the code sketches and tend to repeat the similar code without necessary modifications, which leads to generating wrong results. In this paper, we propose a sketch-based code generation approach named Skcoderto mimic developers' code reuse behavior. Given a natural language requirement, Skcoderretrieves a similar code snippet, extracts relevant parts as a code sketch, and edits the sketch into the desired code. Our motivations are that the extracted sketch provides a well-formed pattern for telling models 'how to write'. The post-editing further adds requirement-specific details into the sketch and outputs the complete code. We conduct experiments on two public datasets and a new dataset collected by this work. We compare our approach to 20 baselines using 5 widely used metrics. Experimental results show that (1) Skcodercan generate more correct programs, and outperforms the state-of-the-art -CodeT5-base by 30.30%, 35.39%, and 29.62% on three datasets. (2) Our approach is effective to multiple code generation models and improves them by up to 120.1% in Pass@l. (3) We investigate three plausible code sketches and discuss the importance of sketches. (4) We manually evaluate the generated code and prove the superiority of our Skcoderin three aspects. © 2023 IEEE.</v>
      </c>
      <c r="H887" s="8" t="str">
        <f>IFERROR(__xludf.DUMMYFUNCTION("""COMPUTED_VALUE"""),"Code Generation; Deep Learning")</f>
        <v>Code Generation; Deep Learning</v>
      </c>
      <c r="I887" s="10" t="b">
        <v>0</v>
      </c>
      <c r="J887" s="10" t="b">
        <v>0</v>
      </c>
      <c r="K887" s="10" t="b">
        <v>0</v>
      </c>
      <c r="L887" s="10" t="b">
        <v>0</v>
      </c>
      <c r="M887" s="10" t="b">
        <v>0</v>
      </c>
      <c r="N887" s="10" t="b">
        <v>0</v>
      </c>
      <c r="O887" s="11" t="b">
        <f t="shared" si="1"/>
        <v>0</v>
      </c>
      <c r="P887" s="16" t="b">
        <v>0</v>
      </c>
      <c r="Q887" s="7"/>
    </row>
    <row r="888">
      <c r="A888" s="5" t="b">
        <v>1</v>
      </c>
      <c r="B888" s="5" t="s">
        <v>932</v>
      </c>
      <c r="C888" s="6" t="str">
        <f>IFERROR(__xludf.DUMMYFUNCTION("""COMPUTED_VALUE"""),"10.1145/1833335.1833346")</f>
        <v>10.1145/1833335.1833346</v>
      </c>
      <c r="D888" s="7" t="str">
        <f>IFERROR(__xludf.DUMMYFUNCTION("""COMPUTED_VALUE"""),"Tsadimas A.; Nikolaidou M.; Anagnostopoulos D.")</f>
        <v>Tsadimas A.; Nikolaidou M.; Anagnostopoulos D.</v>
      </c>
      <c r="E888" s="7" t="str">
        <f>IFERROR(__xludf.DUMMYFUNCTION("""COMPUTED_VALUE"""),"Evaluating software architecture in a model-based approach for enterprise information system design")</f>
        <v>Evaluating software architecture in a model-based approach for enterprise information system design</v>
      </c>
      <c r="F888" s="7" t="str">
        <f>IFERROR(__xludf.DUMMYFUNCTION("""COMPUTED_VALUE"""),"ICSE")</f>
        <v>ICSE</v>
      </c>
      <c r="G888" s="7" t="str">
        <f>IFERROR(__xludf.DUMMYFUNCTION("""COMPUTED_VALUE"""),"Enterprise information system architecture design is the pro- cess of defining and optimizing its structure (both software and hardware) to effectively support provided functionality. System architects are combining software and hardware vital components,"&amp;" usually defined by other stakeholders, and are dealing with both functional and non functional requirements. Alternative architecture solution evaluation is usually a part of the design process, aiming to determine if the defined requirements are satisfi"&amp;"ed. A model-based approach, constituted of discrete views, each of which facilitates a discrete design task, has been proposed, while Systems Modeling Language (SysML) has been adopted for the model representation. In this paper, emphasis is given on the "&amp;"Evaluation View, aiming at the exploration of alternative software and hardware combination scenarios proposed in other views. The view facilitates the management of simulation experiments and results and the verification of predefined requirements. A cas"&amp;"e study, where the proposed model-based design approach has been applied is also discussed. Copyright 2010 ACM.")</f>
        <v>Enterprise information system architecture design is the pro- cess of defining and optimizing its structure (both software and hardware) to effectively support provided functionality. System architects are combining software and hardware vital components, usually defined by other stakeholders, and are dealing with both functional and non functional requirements. Alternative architecture solution evaluation is usually a part of the design process, aiming to determine if the defined requirements are satisfied. A model-based approach, constituted of discrete views, each of which facilitates a discrete design task, has been proposed, while Systems Modeling Language (SysML) has been adopted for the model representation. In this paper, emphasis is given on the Evaluation View, aiming at the exploration of alternative software and hardware combination scenarios proposed in other views. The view facilitates the management of simulation experiments and results and the verification of predefined requirements. A case study, where the proposed model-based design approach has been applied is also discussed. Copyright 2010 ACM.</v>
      </c>
      <c r="H888" s="8" t="str">
        <f>IFERROR(__xludf.DUMMYFUNCTION("""COMPUTED_VALUE"""),"Architecture design and evaluation; Enterprise information systems; Model-based engineering")</f>
        <v>Architecture design and evaluation; Enterprise information systems; Model-based engineering</v>
      </c>
      <c r="I888" s="10" t="b">
        <v>0</v>
      </c>
      <c r="J888" s="10" t="b">
        <v>0</v>
      </c>
      <c r="K888" s="10" t="b">
        <v>0</v>
      </c>
      <c r="L888" s="10" t="b">
        <v>0</v>
      </c>
      <c r="M888" s="10" t="b">
        <v>0</v>
      </c>
      <c r="N888" s="10" t="b">
        <v>0</v>
      </c>
      <c r="O888" s="11" t="b">
        <f t="shared" si="1"/>
        <v>0</v>
      </c>
      <c r="P888" s="16" t="b">
        <v>0</v>
      </c>
      <c r="Q888" s="7"/>
    </row>
    <row r="889">
      <c r="A889" s="5" t="b">
        <v>1</v>
      </c>
      <c r="B889" s="5" t="s">
        <v>933</v>
      </c>
      <c r="C889" s="6" t="str">
        <f>IFERROR(__xludf.DUMMYFUNCTION("""COMPUTED_VALUE"""),"10.1109/ICSE.2009.5070536")</f>
        <v>10.1109/ICSE.2009.5070536</v>
      </c>
      <c r="D889" s="7" t="str">
        <f>IFERROR(__xludf.DUMMYFUNCTION("""COMPUTED_VALUE"""),"Weimer W.; Nguyen T.; Le Goues C.; Forrest S.")</f>
        <v>Weimer W.; Nguyen T.; Le Goues C.; Forrest S.</v>
      </c>
      <c r="E889" s="7" t="str">
        <f>IFERROR(__xludf.DUMMYFUNCTION("""COMPUTED_VALUE"""),"Automatically finding patches using genetic programming")</f>
        <v>Automatically finding patches using genetic programming</v>
      </c>
      <c r="F889" s="7" t="str">
        <f>IFERROR(__xludf.DUMMYFUNCTION("""COMPUTED_VALUE"""),"ICSE")</f>
        <v>ICSE</v>
      </c>
      <c r="G889" s="7" t="str">
        <f>IFERROR(__xludf.DUMMYFUNCTION("""COMPUTED_VALUE"""),"Automatic program repair has been a longstanding goal in software engineering, yet debugging remains a largely manual process. We introduce a fully automated method for locating and repairing bugs in software. The approach works on off-the-shelf legacy ap"&amp;"plications and does not require formal specifications, program annotations or special coding practices. Once a program fault is discovered, an extended form of genetic programming is used to evolve program variants until one is found that both retains req"&amp;"uired functionality and also avoids the defect in question. Standard test cases are used to exercise the fault and to encode program requirements. After a successful repair has been discovered, it is minimized using structural differencing algorithms and "&amp;"delta debugging. We describe the proposed method and report experimental results demonstrating that it can successfully repair ten different C programs totaling 63,000 lines in under 200 seconds, on average. © 2009 IEEE.")</f>
        <v>Automatic program repair has been a longstanding goal in software engineering, yet debugging remains a largely manual process. We introduce a fully automated method for locating and repairing bugs in software. The approach works on off-the-shelf legacy applications and does not require formal specifications, program annotations or special coding practices. Once a program fault is discovered, an extended form of genetic programming is used to evolve program variants until one is found that both retains required functionality and also avoids the defect in question. Standard test cases are used to exercise the fault and to encode program requirements. After a successful repair has been discovered, it is minimized using structural differencing algorithms and delta debugging. We describe the proposed method and report experimental results demonstrating that it can successfully repair ten different C programs totaling 63,000 lines in under 200 seconds, on average. © 2009 IEEE.</v>
      </c>
      <c r="H889" s="8"/>
      <c r="I889" s="10" t="b">
        <v>0</v>
      </c>
      <c r="J889" s="10" t="b">
        <v>0</v>
      </c>
      <c r="K889" s="10" t="b">
        <v>0</v>
      </c>
      <c r="L889" s="10" t="b">
        <v>0</v>
      </c>
      <c r="M889" s="10" t="b">
        <v>0</v>
      </c>
      <c r="N889" s="10" t="b">
        <v>0</v>
      </c>
      <c r="O889" s="11" t="b">
        <f t="shared" si="1"/>
        <v>0</v>
      </c>
      <c r="P889" s="16" t="b">
        <v>0</v>
      </c>
      <c r="Q889" s="7"/>
    </row>
    <row r="890">
      <c r="A890" s="5" t="b">
        <v>1</v>
      </c>
      <c r="B890" s="5" t="s">
        <v>934</v>
      </c>
      <c r="C890" s="6" t="str">
        <f>IFERROR(__xludf.DUMMYFUNCTION("""COMPUTED_VALUE"""),"10.1109/ICSE.2012.6227243")</f>
        <v>10.1109/ICSE.2012.6227243</v>
      </c>
      <c r="D890" s="7" t="str">
        <f>IFERROR(__xludf.DUMMYFUNCTION("""COMPUTED_VALUE"""),"Cook C.T.; Harton H.; Smith H.; Sitaraman M.")</f>
        <v>Cook C.T.; Harton H.; Smith H.; Sitaraman M.</v>
      </c>
      <c r="E890" s="7" t="str">
        <f>IFERROR(__xludf.DUMMYFUNCTION("""COMPUTED_VALUE"""),"Specification engineering and modular verification using a web-integrated verifying compiler")</f>
        <v>Specification engineering and modular verification using a web-integrated verifying compiler</v>
      </c>
      <c r="F890" s="7" t="str">
        <f>IFERROR(__xludf.DUMMYFUNCTION("""COMPUTED_VALUE"""),"ICSE")</f>
        <v>ICSE</v>
      </c>
      <c r="G890" s="7" t="str">
        <f>IFERROR(__xludf.DUMMYFUNCTION("""COMPUTED_VALUE"""),"This demonstration will present the RESOLVE web-integrated environment, which has been especially built to capture component relationships and allow construction and composition of verified generic components. The environment facilitates team-based softwa"&amp;"re development and has been used in undergraduate CS education at multiple institutions. The environment makes it easy to simulate ""what if"" scenarios, including the impact of alternative specification styles on verification, and has spawned much resear"&amp;"ch and experimentation. The demonstration will illustrate the issues in generic software verification and the role of higher-order assertions. It will show how logical errors are pinpointed when verification fails. Introductory video URL: http://www.youtu"&amp;"be.com/watch?v=9vg3WuxeOkA. © 2012 IEEE.")</f>
        <v>This demonstration will present the RESOLVE web-integrated environment, which has been especially built to capture component relationships and allow construction and composition of verified generic components. The environment facilitates team-based software development and has been used in undergraduate CS education at multiple institutions. The environment makes it easy to simulate "what if" scenarios, including the impact of alternative specification styles on verification, and has spawned much research and experimentation. The demonstration will illustrate the issues in generic software verification and the role of higher-order assertions. It will show how logical errors are pinpointed when verification fails. Introductory video URL: http://www.youtube.com/watch?v=9vg3WuxeOkA. © 2012 IEEE.</v>
      </c>
      <c r="H890" s="8" t="str">
        <f>IFERROR(__xludf.DUMMYFUNCTION("""COMPUTED_VALUE"""),"automation; education; generic components; specification; system description; verification; web IDE")</f>
        <v>automation; education; generic components; specification; system description; verification; web IDE</v>
      </c>
      <c r="I890" s="10" t="b">
        <v>0</v>
      </c>
      <c r="J890" s="10" t="b">
        <v>0</v>
      </c>
      <c r="K890" s="10" t="b">
        <v>0</v>
      </c>
      <c r="L890" s="10" t="b">
        <v>0</v>
      </c>
      <c r="M890" s="10" t="b">
        <v>0</v>
      </c>
      <c r="N890" s="10" t="b">
        <v>0</v>
      </c>
      <c r="O890" s="11" t="b">
        <f t="shared" si="1"/>
        <v>0</v>
      </c>
      <c r="P890" s="16" t="b">
        <v>0</v>
      </c>
      <c r="Q890" s="7"/>
    </row>
    <row r="891">
      <c r="A891" s="5" t="b">
        <v>1</v>
      </c>
      <c r="B891" s="5" t="s">
        <v>935</v>
      </c>
      <c r="C891" s="6" t="str">
        <f>IFERROR(__xludf.DUMMYFUNCTION("""COMPUTED_VALUE"""),"10.1109/ICSE.2012.6227128")</f>
        <v>10.1109/ICSE.2012.6227128</v>
      </c>
      <c r="D891" s="7" t="str">
        <f>IFERROR(__xludf.DUMMYFUNCTION("""COMPUTED_VALUE"""),"Kumar S.; Khoo S.-C.; Roychoudhury A.; Lo D.")</f>
        <v>Kumar S.; Khoo S.-C.; Roychoudhury A.; Lo D.</v>
      </c>
      <c r="E891" s="7" t="str">
        <f>IFERROR(__xludf.DUMMYFUNCTION("""COMPUTED_VALUE"""),"Inferring class level specifications for distributed systems")</f>
        <v>Inferring class level specifications for distributed systems</v>
      </c>
      <c r="F891" s="7" t="str">
        <f>IFERROR(__xludf.DUMMYFUNCTION("""COMPUTED_VALUE"""),"ICSE")</f>
        <v>ICSE</v>
      </c>
      <c r="G891" s="7" t="str">
        <f>IFERROR(__xludf.DUMMYFUNCTION("""COMPUTED_VALUE"""),"Distributed systems often contain many behaviorally similar processes, which are conveniently grouped into classes. In system modeling, it is common to specify such systems by describing the class level behavior, instead of object level behavior. While th"&amp;"ere have been techniques that mine specifications of such distributed systems from their execution traces, these methods only mine object-level specifications involving concrete process objects. This leads to specifications which are large, hard to compre"&amp;"hend, and sensitive to simple changes in the system (such as the number of objects). In this paper, we develop a class level specification mining framework for distributed systems. A specification that describes interaction snippets between various proces"&amp;"ses in a distributed system forms a natural and intuitive way to document their behavior. Our mining method groups together such interactions between behaviorally similar processes, and presents a mined specification involving ""symbolic"" Message Sequenc"&amp;"e Charts. Our experiments indicate that our mined symbolic specifications are significantly smaller than mined concrete specifications, while at the same time achieving better precision and recall. © 2012 IEEE.")</f>
        <v>Distributed systems often contain many behaviorally similar processes, which are conveniently grouped into classes. In system modeling, it is common to specify such systems by describing the class level behavior, instead of object level behavior. While there have been techniques that mine specifications of such distributed systems from their execution traces, these methods only mine object-level specifications involving concrete process objects. This leads to specifications which are large, hard to comprehend, and sensitive to simple changes in the system (such as the number of objects). In this paper, we develop a class level specification mining framework for distributed systems. A specification that describes interaction snippets between various processes in a distributed system forms a natural and intuitive way to document their behavior. Our mining method groups together such interactions between behaviorally similar processes, and presents a mined specification involving "symbolic" Message Sequence Charts. Our experiments indicate that our mined symbolic specifications are significantly smaller than mined concrete specifications, while at the same time achieving better precision and recall. © 2012 IEEE.</v>
      </c>
      <c r="H891" s="8" t="str">
        <f>IFERROR(__xludf.DUMMYFUNCTION("""COMPUTED_VALUE"""),"Distributed Systems; Specification Mining")</f>
        <v>Distributed Systems; Specification Mining</v>
      </c>
      <c r="I891" s="10" t="b">
        <v>0</v>
      </c>
      <c r="J891" s="10" t="b">
        <v>0</v>
      </c>
      <c r="K891" s="10" t="b">
        <v>0</v>
      </c>
      <c r="L891" s="10" t="b">
        <v>0</v>
      </c>
      <c r="M891" s="10" t="b">
        <v>0</v>
      </c>
      <c r="N891" s="10" t="b">
        <v>0</v>
      </c>
      <c r="O891" s="11" t="b">
        <f t="shared" si="1"/>
        <v>0</v>
      </c>
      <c r="P891" s="16" t="b">
        <v>0</v>
      </c>
      <c r="Q891" s="7"/>
    </row>
    <row r="892">
      <c r="A892" s="5" t="b">
        <v>1</v>
      </c>
      <c r="B892" s="5" t="s">
        <v>936</v>
      </c>
      <c r="C892" s="6" t="str">
        <f>IFERROR(__xludf.DUMMYFUNCTION("""COMPUTED_VALUE"""),"10.1145/1810295.1810322")</f>
        <v>10.1145/1810295.1810322</v>
      </c>
      <c r="D892" s="7" t="str">
        <f>IFERROR(__xludf.DUMMYFUNCTION("""COMPUTED_VALUE"""),"Erfurth I.; Rossak W.")</f>
        <v>Erfurth I.; Rossak W.</v>
      </c>
      <c r="E892" s="7" t="str">
        <f>IFERROR(__xludf.DUMMYFUNCTION("""COMPUTED_VALUE"""),"CUTA4UML - Bridging the gap between informal and formal requirements for dynamic system aspects")</f>
        <v>CUTA4UML - Bridging the gap between informal and formal requirements for dynamic system aspects</v>
      </c>
      <c r="F892" s="7" t="str">
        <f>IFERROR(__xludf.DUMMYFUNCTION("""COMPUTED_VALUE"""),"ICSE")</f>
        <v>ICSE</v>
      </c>
      <c r="G892" s="7" t="str">
        <f>IFERROR(__xludf.DUMMYFUNCTION("""COMPUTED_VALUE"""),"In this paper, we describe our integrated approach to improve requirements elicitation and system specification by supporting a strong and direct involvement of all stakeholders, including non technical personnel, in the early phases of a project. This so"&amp;"-called CUTA4UML approach comprises a framework of methods, tools and feedback cycles that is based on the concept of Participatory Design (PD) and instantiated via an extended version of a user-driven ""card game"" (CUTA). This card game can be executed "&amp;"on paper or via electronic means. Our focus will be on the system's dynamic aspects which are, always, especially tricky to cover. We will also take a closer look at the inherently involved problem to match the rather informal results of such an card-base"&amp;"d approach to a quite formal (UML - Activity Diagrams) modeling technique - a step necessary to make the results useful in a structured development process and, so far, one of the weak points in all of these approaches. All our concepts and conclusions ar"&amp;"e based on a sound experimental basis and have been evaluated and discussed with industrial partners, mostly in a context of small and medium sized companies. © 2010 ACM.")</f>
        <v>In this paper, we describe our integrated approach to improve requirements elicitation and system specification by supporting a strong and direct involvement of all stakeholders, including non technical personnel, in the early phases of a project. This so-called CUTA4UML approach comprises a framework of methods, tools and feedback cycles that is based on the concept of Participatory Design (PD) and instantiated via an extended version of a user-driven "card game" (CUTA). This card game can be executed on paper or via electronic means. Our focus will be on the system's dynamic aspects which are, always, especially tricky to cover. We will also take a closer look at the inherently involved problem to match the rather informal results of such an card-based approach to a quite formal (UML - Activity Diagrams) modeling technique - a step necessary to make the results useful in a structured development process and, so far, one of the weak points in all of these approaches. All our concepts and conclusions are based on a sound experimental basis and have been evaluated and discussed with industrial partners, mostly in a context of small and medium sized companies. © 2010 ACM.</v>
      </c>
      <c r="H892" s="8" t="str">
        <f>IFERROR(__xludf.DUMMYFUNCTION("""COMPUTED_VALUE"""),"card games; CUTA; requirements elicitation; UML activity")</f>
        <v>card games; CUTA; requirements elicitation; UML activity</v>
      </c>
      <c r="I892" s="10" t="b">
        <v>0</v>
      </c>
      <c r="J892" s="10" t="b">
        <v>0</v>
      </c>
      <c r="K892" s="10" t="b">
        <v>0</v>
      </c>
      <c r="L892" s="10" t="b">
        <v>0</v>
      </c>
      <c r="M892" s="10" t="b">
        <v>0</v>
      </c>
      <c r="N892" s="10" t="b">
        <v>0</v>
      </c>
      <c r="O892" s="11" t="b">
        <f t="shared" si="1"/>
        <v>0</v>
      </c>
      <c r="P892" s="16" t="b">
        <v>0</v>
      </c>
      <c r="Q892" s="7"/>
    </row>
    <row r="893">
      <c r="A893" s="5" t="b">
        <v>1</v>
      </c>
      <c r="B893" s="5" t="s">
        <v>937</v>
      </c>
      <c r="C893" s="6" t="str">
        <f>IFERROR(__xludf.DUMMYFUNCTION("""COMPUTED_VALUE"""),"10.1109/ICSE.2019.00084")</f>
        <v>10.1109/ICSE.2019.00084</v>
      </c>
      <c r="D893" s="7" t="str">
        <f>IFERROR(__xludf.DUMMYFUNCTION("""COMPUTED_VALUE"""),"Molina F.; Degiovanni R.; Ponzio P.; Regis G.; Aguirre N.; Frias M.")</f>
        <v>Molina F.; Degiovanni R.; Ponzio P.; Regis G.; Aguirre N.; Frias M.</v>
      </c>
      <c r="E893" s="7" t="str">
        <f>IFERROR(__xludf.DUMMYFUNCTION("""COMPUTED_VALUE"""),"Training Binary Classifiers as Data Structure Invariants")</f>
        <v>Training Binary Classifiers as Data Structure Invariants</v>
      </c>
      <c r="F893" s="7" t="str">
        <f>IFERROR(__xludf.DUMMYFUNCTION("""COMPUTED_VALUE"""),"ICSE")</f>
        <v>ICSE</v>
      </c>
      <c r="G893" s="7" t="str">
        <f>IFERROR(__xludf.DUMMYFUNCTION("""COMPUTED_VALUE"""),"We present a technique to distinguish valid from invalid data structure objects. The technique is based on building an artificial neural network, more precisely a binary classifier, and training it to identify valid and invalid instances of a data structu"&amp;"re. The obtained classifier can then be used in place of the data structure's invariant, in order to attempt to identify (in)correct behaviors in programs manipulating the structure. In order to produce the valid objects to train the network, an assumed-c"&amp;"orrect set of object building routines is randomly executed. Invalid instances are produced by generating values for object fields that 'break' the collected valid values, i.e., that assign values to object fields that have not been observed as feasible i"&amp;"n the assumed-correct executions that led to the collected valid instances. We experimentally assess this approach, over a benchmark of data structures. We show that this learning technique produces classifiers that achieve significantly better accuracy i"&amp;"n classifying valid/invalid objects compared to a technique for dynamic invariant detection, and leads to improved bug finding. © 2019 IEEE.")</f>
        <v>We present a technique to distinguish valid from invalid data structure objects. The technique is based on building an artificial neural network, more precisely a binary classifier, and training it to identify valid and invalid instances of a data structure. The obtained classifier can then be used in place of the data structure's invariant, in order to attempt to identify (in)correct behaviors in programs manipulating the structure. In order to produce the valid objects to train the network, an assumed-correct set of object building routines is randomly executed. Invalid instances are produced by generating values for object fields that 'break' the collected valid values, i.e., that assign values to object fields that have not been observed as feasible in the assumed-correct executions that led to the collected valid instances. We experimentally assess this approach, over a benchmark of data structures. We show that this learning technique produces classifiers that achieve significantly better accuracy in classifying valid/invalid objects compared to a technique for dynamic invariant detection, and leads to improved bug finding. © 2019 IEEE.</v>
      </c>
      <c r="H893" s="8" t="str">
        <f>IFERROR(__xludf.DUMMYFUNCTION("""COMPUTED_VALUE"""),"Bug finding; Machine learning; Specification inference")</f>
        <v>Bug finding; Machine learning; Specification inference</v>
      </c>
      <c r="I893" s="10" t="b">
        <v>0</v>
      </c>
      <c r="J893" s="10" t="b">
        <v>0</v>
      </c>
      <c r="K893" s="10" t="b">
        <v>0</v>
      </c>
      <c r="L893" s="10" t="b">
        <v>0</v>
      </c>
      <c r="M893" s="10" t="b">
        <v>0</v>
      </c>
      <c r="N893" s="10" t="b">
        <v>0</v>
      </c>
      <c r="O893" s="11" t="b">
        <f t="shared" si="1"/>
        <v>0</v>
      </c>
      <c r="P893" s="16" t="b">
        <v>0</v>
      </c>
      <c r="Q893" s="7"/>
    </row>
    <row r="894">
      <c r="A894" s="5" t="b">
        <v>1</v>
      </c>
      <c r="B894" s="5" t="s">
        <v>938</v>
      </c>
      <c r="C894" s="6" t="str">
        <f>IFERROR(__xludf.DUMMYFUNCTION("""COMPUTED_VALUE"""),"10.1145/2568225.2568285")</f>
        <v>10.1145/2568225.2568285</v>
      </c>
      <c r="D894" s="7" t="str">
        <f>IFERROR(__xludf.DUMMYFUNCTION("""COMPUTED_VALUE"""),"Schiller T.W.; Donohue K.; Coward F.; Ernst M.D.")</f>
        <v>Schiller T.W.; Donohue K.; Coward F.; Ernst M.D.</v>
      </c>
      <c r="E894" s="7" t="str">
        <f>IFERROR(__xludf.DUMMYFUNCTION("""COMPUTED_VALUE"""),"Case studies and tools for contract specifications")</f>
        <v>Case studies and tools for contract specifications</v>
      </c>
      <c r="F894" s="7" t="str">
        <f>IFERROR(__xludf.DUMMYFUNCTION("""COMPUTED_VALUE"""),"ICSE")</f>
        <v>ICSE</v>
      </c>
      <c r="G894" s="7" t="str">
        <f>IFERROR(__xludf.DUMMYFUNCTION("""COMPUTED_VALUE"""),"Contracts are a popular tool for specifying the functional behavior of software. This paper characterizes the contracts that developers write, the contracts that developers could write, and how a developer reacts when shown the difference. This paper make"&amp;"s three research contributions based on an investigation of open-source projects' use of Code Contracts. First, we characterize Code Contract usage in practice. For example, approximately three-fourths of the Code Contracts are basic checks for the presen"&amp;"ce of data. We discuss similarities and differences in usage across the projects, and we identify annotation burden, tool support, and training as possible explanations based on developer interviews. Second, based on contracts automatically inferred for f"&amp;"our of the projects, we find that developers underutilize contracts for expressing state updates, object state indicators, and conditional properties. Third, we performed user studies to learn how developers decide which contracts to enforce. The develope"&amp;"rs used contract suggestions to support their existing use cases with more expressive contracts. However, the suggestions did not lead them to experiment with other use cases for which contracts are better-suited. In support of the research contributions,"&amp;" the paper presents two engineering contributions: (1) Celeriac, a tool for generating traces of .NET programs compatible with the Daikon invariant detection tool, and (2) Contract Inserter, a Visual Studio add-in for discovering and inserting likely inva"&amp;"riants as Code Contracts. © 2014 ACM.")</f>
        <v>Contracts are a popular tool for specifying the functional behavior of software. This paper characterizes the contracts that developers write, the contracts that developers could write, and how a developer reacts when shown the difference. This paper makes three research contributions based on an investigation of open-source projects' use of Code Contracts. First, we characterize Code Contract usage in practice. For example, approximately three-fourths of the Code Contracts are basic checks for the presence of data. We discuss similarities and differences in usage across the projects, and we identify annotation burden, tool support, and training as possible explanations based on developer interviews. Second, based on contracts automatically inferred for four of the projects, we find that developers underutilize contracts for expressing state updates, object state indicators, and conditional properties. Third, we performed user studies to learn how developers decide which contracts to enforce. The developers used contract suggestions to support their existing use cases with more expressive contracts. However, the suggestions did not lead them to experiment with other use cases for which contracts are better-suited. In support of the research contributions, the paper presents two engineering contributions: (1) Celeriac, a tool for generating traces of .NET programs compatible with the Daikon invariant detection tool, and (2) Contract Inserter, a Visual Studio add-in for discovering and inserting likely invariants as Code Contracts. © 2014 ACM.</v>
      </c>
      <c r="H894" s="8" t="str">
        <f>IFERROR(__xludf.DUMMYFUNCTION("""COMPUTED_VALUE"""),"design by contract; invariant detection; Specifications")</f>
        <v>design by contract; invariant detection; Specifications</v>
      </c>
      <c r="I894" s="10" t="b">
        <v>0</v>
      </c>
      <c r="J894" s="10" t="b">
        <v>0</v>
      </c>
      <c r="K894" s="10" t="b">
        <v>0</v>
      </c>
      <c r="L894" s="10" t="b">
        <v>0</v>
      </c>
      <c r="M894" s="10" t="b">
        <v>0</v>
      </c>
      <c r="N894" s="10" t="b">
        <v>0</v>
      </c>
      <c r="O894" s="11" t="b">
        <f t="shared" si="1"/>
        <v>0</v>
      </c>
      <c r="P894" s="16" t="b">
        <v>0</v>
      </c>
      <c r="Q894" s="7"/>
    </row>
    <row r="895">
      <c r="A895" s="5" t="b">
        <v>1</v>
      </c>
      <c r="B895" s="5" t="s">
        <v>939</v>
      </c>
      <c r="C895" s="6" t="str">
        <f>IFERROR(__xludf.DUMMYFUNCTION("""COMPUTED_VALUE"""),"10.1145/1985782.1985787")</f>
        <v>10.1145/1985782.1985787</v>
      </c>
      <c r="D895" s="7" t="str">
        <f>IFERROR(__xludf.DUMMYFUNCTION("""COMPUTED_VALUE"""),"Heroux M.A.")</f>
        <v>Heroux M.A.</v>
      </c>
      <c r="E895" s="7" t="str">
        <f>IFERROR(__xludf.DUMMYFUNCTION("""COMPUTED_VALUE"""),"Improving CSE software through reproducibility requirements")</f>
        <v>Improving CSE software through reproducibility requirements</v>
      </c>
      <c r="F895" s="7" t="str">
        <f>IFERROR(__xludf.DUMMYFUNCTION("""COMPUTED_VALUE"""),"ICSE")</f>
        <v>ICSE</v>
      </c>
      <c r="G895" s="7" t="str">
        <f>IFERROR(__xludf.DUMMYFUNCTION("""COMPUTED_VALUE"""),"It is often observed that software engineering (SE) processes and practices for computational science and engineering (CSE) lag behind other SE areas [7]. This issue has been a concern for funding agencies, since new research increasingly relies upon and "&amp;"produces computational tools. At the same time, CSE research organizations find it difficult to prescribe formal SE practices for funded projects. Theoretical and experimental science rely heavily on independent verification of results as part of the scie"&amp;"ntific process. Computational science should have the same regard for independent verification but it does not. In this paper, we present an argument for using reproducibility and independent verification requirements as a driver to improve SE processes a"&amp;"nd practices. We describe existing efforts that support our argument, how these requirements can impact SE, challenges we face, and new opportunities for using reproducibility requirements as a driver for higher quality CSE software. Copyright 2011 ACM.")</f>
        <v>It is often observed that software engineering (SE) processes and practices for computational science and engineering (CSE) lag behind other SE areas [7]. This issue has been a concern for funding agencies, since new research increasingly relies upon and produces computational tools. At the same time, CSE research organizations find it difficult to prescribe formal SE practices for funded projects. Theoretical and experimental science rely heavily on independent verification of results as part of the scientific process. Computational science should have the same regard for independent verification but it does not. In this paper, we present an argument for using reproducibility and independent verification requirements as a driver to improve SE processes and practices. We describe existing efforts that support our argument, how these requirements can impact SE, challenges we face, and new opportunities for using reproducibility requirements as a driver for higher quality CSE software. Copyright 2011 ACM.</v>
      </c>
      <c r="H895" s="8" t="str">
        <f>IFERROR(__xludf.DUMMYFUNCTION("""COMPUTED_VALUE"""),"Computational science and engineering; Scientific process; Software engineering")</f>
        <v>Computational science and engineering; Scientific process; Software engineering</v>
      </c>
      <c r="I895" s="10" t="b">
        <v>0</v>
      </c>
      <c r="J895" s="10" t="b">
        <v>0</v>
      </c>
      <c r="K895" s="10" t="b">
        <v>0</v>
      </c>
      <c r="L895" s="10" t="b">
        <v>0</v>
      </c>
      <c r="M895" s="10" t="b">
        <v>0</v>
      </c>
      <c r="N895" s="10" t="b">
        <v>0</v>
      </c>
      <c r="O895" s="11" t="b">
        <f t="shared" si="1"/>
        <v>0</v>
      </c>
      <c r="P895" s="16" t="b">
        <v>0</v>
      </c>
      <c r="Q895" s="7"/>
    </row>
    <row r="896">
      <c r="A896" s="5" t="b">
        <v>1</v>
      </c>
      <c r="B896" s="5" t="s">
        <v>940</v>
      </c>
      <c r="C896" s="6" t="str">
        <f>IFERROR(__xludf.DUMMYFUNCTION("""COMPUTED_VALUE"""),"10.1109/ICSE-Companion58688.2023.00020")</f>
        <v>10.1109/ICSE-Companion58688.2023.00020</v>
      </c>
      <c r="D896" s="7" t="str">
        <f>IFERROR(__xludf.DUMMYFUNCTION("""COMPUTED_VALUE"""),"Tian Z.; Yang Y.; Cheng S.")</f>
        <v>Tian Z.; Yang Y.; Cheng S.</v>
      </c>
      <c r="E896" s="7" t="str">
        <f>IFERROR(__xludf.DUMMYFUNCTION("""COMPUTED_VALUE"""),"RM2DM: A Tool for Automatic Generation of OO Design Models from Requirements Models")</f>
        <v>RM2DM: A Tool for Automatic Generation of OO Design Models from Requirements Models</v>
      </c>
      <c r="F896" s="7" t="str">
        <f>IFERROR(__xludf.DUMMYFUNCTION("""COMPUTED_VALUE"""),"ICSE")</f>
        <v>ICSE</v>
      </c>
      <c r="G896" s="7" t="str">
        <f>IFERROR(__xludf.DUMMYFUNCTION("""COMPUTED_VALUE"""),"Enterprise information systems focus on dealing with the complex business logic of collecting, filtering, processing, and distributing data to improve productivity and service in our daily lives. The successful development of enterprise information system"&amp;"s is a labor-intensive activity in software engineering, and it requires sophisticated human efforts for requirements validation and system design. Our previous work RM2PT can help to achieve a validated requirements model by automatically generating prot"&amp;"otypes from requirements models to support incremental and rapid requirements validation. In this paper, we present a tool named RM2DM to further alleviate the problem of system development by supporting automatically generating a OO (Object-Oriented) des"&amp;"ign model of enterprise information system from the validated requirements model. We evaluate the tool through four case studies. The experimental result shows that all class diagram classes and 93.8% of sequence diagram messages can be correctly generate"&amp;"d within 10 seconds. Overall, the results were satisfactory. The proposed approach can be further extended and applied for system development in the industry. The tool can be downloaded at http://rm2pt.com/advs/rm2dm, and a demo video casting its features"&amp;" is at https://www.youtube.com/watchvlrs57CjzmU8 © 2023 IEEE.")</f>
        <v>Enterprise information systems focus on dealing with the complex business logic of collecting, filtering, processing, and distributing data to improve productivity and service in our daily lives. The successful development of enterprise information systems is a labor-intensive activity in software engineering, and it requires sophisticated human efforts for requirements validation and system design. Our previous work RM2PT can help to achieve a validated requirements model by automatically generating prototypes from requirements models to support incremental and rapid requirements validation. In this paper, we present a tool named RM2DM to further alleviate the problem of system development by supporting automatically generating a OO (Object-Oriented) design model of enterprise information system from the validated requirements model. We evaluate the tool through four case studies. The experimental result shows that all class diagram classes and 93.8% of sequence diagram messages can be correctly generated within 10 seconds. Overall, the results were satisfactory. The proposed approach can be further extended and applied for system development in the industry. The tool can be downloaded at http://rm2pt.com/advs/rm2dm, and a demo video casting its features is at https://www.youtube.com/watchvlrs57CjzmU8 © 2023 IEEE.</v>
      </c>
      <c r="H896" s="8" t="str">
        <f>IFERROR(__xludf.DUMMYFUNCTION("""COMPUTED_VALUE"""),"Design; Design Model; Model Transformation; Requirements")</f>
        <v>Design; Design Model; Model Transformation; Requirements</v>
      </c>
      <c r="I896" s="10" t="b">
        <v>0</v>
      </c>
      <c r="J896" s="10" t="b">
        <v>0</v>
      </c>
      <c r="K896" s="10" t="b">
        <v>0</v>
      </c>
      <c r="L896" s="10" t="b">
        <v>0</v>
      </c>
      <c r="M896" s="10" t="b">
        <v>0</v>
      </c>
      <c r="N896" s="10" t="b">
        <v>0</v>
      </c>
      <c r="O896" s="11" t="b">
        <f t="shared" si="1"/>
        <v>0</v>
      </c>
      <c r="P896" s="16" t="b">
        <v>0</v>
      </c>
      <c r="Q896" s="7"/>
    </row>
    <row r="897">
      <c r="A897" s="5" t="b">
        <v>1</v>
      </c>
      <c r="B897" s="5" t="s">
        <v>941</v>
      </c>
      <c r="C897" s="6" t="str">
        <f>IFERROR(__xludf.DUMMYFUNCTION("""COMPUTED_VALUE"""),"10.1145/3377815.3381375")</f>
        <v>10.1145/3377815.3381375</v>
      </c>
      <c r="D897" s="7" t="str">
        <f>IFERROR(__xludf.DUMMYFUNCTION("""COMPUTED_VALUE"""),"Dugdale J.; Moghaddam M.T.; Muccini H.")</f>
        <v>Dugdale J.; Moghaddam M.T.; Muccini H.</v>
      </c>
      <c r="E897" s="7" t="str">
        <f>IFERROR(__xludf.DUMMYFUNCTION("""COMPUTED_VALUE"""),"Human behaviour centered design: Developing a software system for cultural heritage")</f>
        <v>Human behaviour centered design: Developing a software system for cultural heritage</v>
      </c>
      <c r="F897" s="7" t="str">
        <f>IFERROR(__xludf.DUMMYFUNCTION("""COMPUTED_VALUE"""),"ICSE")</f>
        <v>ICSE</v>
      </c>
      <c r="G897" s="7" t="str">
        <f>IFERROR(__xludf.DUMMYFUNCTION("""COMPUTED_VALUE"""),"This paper introduces an integrated framework for sustainability and urban security socio-technical systems. The focus is to design and develop a hardware/software system based on human expected and real behaviour. The paper explains the steps taken throu"&amp;"gh developing the Uffizi Museum crowd monitoring and queue management system. The goal of implementing such system was to remove queues outside the Museum which is in line with urban security and visitors comfort. We took advantage of a data-driven approa"&amp;"ch mapped on sustainability framework. Such approach which was fed with both real-time sensory data and prediction models, successfully eliminated long queues to access the museum.We took into consideration performance of software system as well to reduce"&amp;" the response time to a threshold that is compliant with real-time requirements. We started our experiments from fall 2016 and operationalized it in October, 2018. During this experimentation period, we learned a lot of lessons that we report in this pape"&amp;"r. © 2020 Association for Computing Machinery.")</f>
        <v>This paper introduces an integrated framework for sustainability and urban security socio-technical systems. The focus is to design and develop a hardware/software system based on human expected and real behaviour. The paper explains the steps taken through developing the Uffizi Museum crowd monitoring and queue management system. The goal of implementing such system was to remove queues outside the Museum which is in line with urban security and visitors comfort. We took advantage of a data-driven approach mapped on sustainability framework. Such approach which was fed with both real-time sensory data and prediction models, successfully eliminated long queues to access the museum.We took into consideration performance of software system as well to reduce the response time to a threshold that is compliant with real-time requirements. We started our experiments from fall 2016 and operationalized it in October, 2018. During this experimentation period, we learned a lot of lessons that we report in this paper. © 2020 Association for Computing Machinery.</v>
      </c>
      <c r="H897" s="8" t="str">
        <f>IFERROR(__xludf.DUMMYFUNCTION("""COMPUTED_VALUE"""),"Crowd monitoring; Cultural heritage; Empirical study; Queue management; Software engineering; Sustainability")</f>
        <v>Crowd monitoring; Cultural heritage; Empirical study; Queue management; Software engineering; Sustainability</v>
      </c>
      <c r="I897" s="10" t="b">
        <v>0</v>
      </c>
      <c r="J897" s="10" t="b">
        <v>0</v>
      </c>
      <c r="K897" s="10" t="b">
        <v>0</v>
      </c>
      <c r="L897" s="10" t="b">
        <v>0</v>
      </c>
      <c r="M897" s="10" t="b">
        <v>0</v>
      </c>
      <c r="N897" s="10" t="b">
        <v>0</v>
      </c>
      <c r="O897" s="11" t="b">
        <f t="shared" si="1"/>
        <v>0</v>
      </c>
      <c r="P897" s="16" t="b">
        <v>0</v>
      </c>
      <c r="Q897" s="7"/>
    </row>
    <row r="898">
      <c r="A898" s="5" t="b">
        <v>1</v>
      </c>
      <c r="B898" s="5" t="s">
        <v>942</v>
      </c>
      <c r="C898" s="6" t="str">
        <f>IFERROR(__xludf.DUMMYFUNCTION("""COMPUTED_VALUE"""),"10.1145/3377811.3380341")</f>
        <v>10.1145/3377811.3380341</v>
      </c>
      <c r="D898" s="7" t="str">
        <f>IFERROR(__xludf.DUMMYFUNCTION("""COMPUTED_VALUE"""),"Kellogg M.; Ran M.; Sridharan M.; Schaf M.; Ernst M.D.")</f>
        <v>Kellogg M.; Ran M.; Sridharan M.; Schaf M.; Ernst M.D.</v>
      </c>
      <c r="E898" s="7" t="str">
        <f>IFERROR(__xludf.DUMMYFUNCTION("""COMPUTED_VALUE"""),"Verifying object construction")</f>
        <v>Verifying object construction</v>
      </c>
      <c r="F898" s="7" t="str">
        <f>IFERROR(__xludf.DUMMYFUNCTION("""COMPUTED_VALUE"""),"ICSE")</f>
        <v>ICSE</v>
      </c>
      <c r="G898" s="7" t="str">
        <f>IFERROR(__xludf.DUMMYFUNCTION("""COMPUTED_VALUE"""),"In object-oriented languages, constructors often have a combination of required and optional formal parameters. It is tedious and inconvenient for programmers to write a constructor by hand for each combination. The multitude of constructors is error-pron"&amp;"e for clients, and client code is difficult to read due to the large number of constructor arguments. Therefore, programmers often use design patterns that enable more flexible object construction-the builder pattern, dependency injection, or factory meth"&amp;"ods. However, these design patterns can be too flexible: not all combinations of logical parameters lead to the construction of wellformed objects. When a client uses the builder pattern to construct an object, the compiler does not check that a valid set"&amp;" of values was provided. Incorrect use of builders can lead to security vulnerabilities, run-time crashes, and other problems. This work shows how to statically verify uses of object construction, such as the builder pattern. Using a simple specification "&amp;"language, programmers specify which combinations of logical arguments are permitted. Our compile-time analysis detects client code that may construct objects unsafely. Our analysis is based on a novel special case of typestate checking, accumulation analy"&amp;"sis, that modularly reasons about accumulations of method calls. Because accumulation analysis does not require precise aliasing information for soundness, our analysis scales to industrial programs. We evaluated it on over 9 million lines of code, discov"&amp;"ering defects which included previously-unknown security vulnerabilities and potential null-pointer violations in heavily-used open-source codebases. Our analysis has a low false positive rate and low annotation burden. Our implementation and experimental"&amp;" data are publicly available.  © 2020 Association for Computing Machinery.")</f>
        <v>In object-oriented languages, constructors often have a combination of required and optional formal parameters. It is tedious and inconvenient for programmers to write a constructor by hand for each combination. The multitude of constructors is error-prone for clients, and client code is difficult to read due to the large number of constructor arguments. Therefore, programmers often use design patterns that enable more flexible object construction-the builder pattern, dependency injection, or factory methods. However, these design patterns can be too flexible: not all combinations of logical parameters lead to the construction of wellformed objects. When a client uses the builder pattern to construct an object, the compiler does not check that a valid set of values was provided. Incorrect use of builders can lead to security vulnerabilities, run-time crashes, and other problems. This work shows how to statically verify uses of object construction, such as the builder pattern. Using a simple specification language, programmers specify which combinations of logical arguments are permitted. Our compile-time analysis detects client code that may construct objects unsafely. Our analysis is based on a novel special case of typestate checking, accumulation analysis, that modularly reasons about accumulations of method calls. Because accumulation analysis does not require precise aliasing information for soundness, our analysis scales to industrial programs. We evaluated it on over 9 million lines of code, discovering defects which included previously-unknown security vulnerabilities and potential null-pointer violations in heavily-used open-source codebases. Our analysis has a low false positive rate and low annotation burden. Our implementation and experimental data are publicly available.  © 2020 Association for Computing Machinery.</v>
      </c>
      <c r="H898" s="8" t="str">
        <f>IFERROR(__xludf.DUMMYFUNCTION("""COMPUTED_VALUE"""),"Ami sniping; Autovalue; Builder pattern; Lightweight verification; Lombok; Pluggable type systems")</f>
        <v>Ami sniping; Autovalue; Builder pattern; Lightweight verification; Lombok; Pluggable type systems</v>
      </c>
      <c r="I898" s="10" t="b">
        <v>0</v>
      </c>
      <c r="J898" s="10" t="b">
        <v>0</v>
      </c>
      <c r="K898" s="10" t="b">
        <v>0</v>
      </c>
      <c r="L898" s="10" t="b">
        <v>0</v>
      </c>
      <c r="M898" s="10" t="b">
        <v>0</v>
      </c>
      <c r="N898" s="10" t="b">
        <v>0</v>
      </c>
      <c r="O898" s="11" t="b">
        <f t="shared" si="1"/>
        <v>0</v>
      </c>
      <c r="P898" s="16" t="b">
        <v>0</v>
      </c>
      <c r="Q898" s="7"/>
    </row>
    <row r="899">
      <c r="A899" s="5" t="b">
        <v>1</v>
      </c>
      <c r="B899" s="5" t="s">
        <v>943</v>
      </c>
      <c r="C899" s="6" t="str">
        <f>IFERROR(__xludf.DUMMYFUNCTION("""COMPUTED_VALUE"""),"10.1145/2568225.2568245")</f>
        <v>10.1145/2568225.2568245</v>
      </c>
      <c r="D899" s="7" t="str">
        <f>IFERROR(__xludf.DUMMYFUNCTION("""COMPUTED_VALUE"""),"Mäntylä M.V.; Petersen K.; Lehtinen T.O.A.; Lassenius C.")</f>
        <v>Mäntylä M.V.; Petersen K.; Lehtinen T.O.A.; Lassenius C.</v>
      </c>
      <c r="E899" s="7" t="str">
        <f>IFERROR(__xludf.DUMMYFUNCTION("""COMPUTED_VALUE"""),"Time pressure: A controlled experiment of test case development and requirements review")</f>
        <v>Time pressure: A controlled experiment of test case development and requirements review</v>
      </c>
      <c r="F899" s="7" t="str">
        <f>IFERROR(__xludf.DUMMYFUNCTION("""COMPUTED_VALUE"""),"ICSE")</f>
        <v>ICSE</v>
      </c>
      <c r="G899" s="7" t="str">
        <f>IFERROR(__xludf.DUMMYFUNCTION("""COMPUTED_VALUE"""),"Time pressure is prevalent in the software industry in which shorter and shorter deadlines and high customer demands lead to increasingly tight deadlines. However, the effects of time pressure have received little attention in software engineering researc"&amp;"h. We performed a controlled experiment on time pressure with 97 observations from 54 subjects. Using a two-by-two crossover design, our subjects performed requirements review and test case development tasks. We found statistically significant evidence th"&amp;"at time pressure increases efficiency in test case development (high effect size Cohens d=1.279) and in requirements review (medium effect size Cohens d=0.650). However, we found no statistically significant evidence that time pressure would decrease effe"&amp;"ctiveness or cause adverse effects on motivation, frustration or perceived performance. We also investigated the role of knowledge but found no evidence of the mediating role of knowledge in time pressure as suggested by prior work, possibly due to our su"&amp;"bjects. We conclude that applying moderate time pressure for limited periods could be used to increase efficiency in software engineering tasks that are well structured and straight forward. © 2014 ACM.")</f>
        <v>Time pressure is prevalent in the software industry in which shorter and shorter deadlines and high customer demands lead to increasingly tight deadlines. However, the effects of time pressure have received little attention in software engineering research. We performed a controlled experiment on time pressure with 97 observations from 54 subjects. Using a two-by-two crossover design, our subjects performed requirements review and test case development tasks. We found statistically significant evidence that time pressure increases efficiency in test case development (high effect size Cohens d=1.279) and in requirements review (medium effect size Cohens d=0.650). However, we found no statistically significant evidence that time pressure would decrease effectiveness or cause adverse effects on motivation, frustration or perceived performance. We also investigated the role of knowledge but found no evidence of the mediating role of knowledge in time pressure as suggested by prior work, possibly due to our subjects. We conclude that applying moderate time pressure for limited periods could be used to increase efficiency in software engineering tasks that are well structured and straight forward. © 2014 ACM.</v>
      </c>
      <c r="H899" s="8" t="str">
        <f>IFERROR(__xludf.DUMMYFUNCTION("""COMPUTED_VALUE"""),"Experiment; Review; Test case development; Time pressure")</f>
        <v>Experiment; Review; Test case development; Time pressure</v>
      </c>
      <c r="I899" s="9" t="b">
        <v>1</v>
      </c>
      <c r="J899" s="9" t="b">
        <v>1</v>
      </c>
      <c r="K899" s="9" t="b">
        <v>1</v>
      </c>
      <c r="L899" s="10" t="b">
        <v>0</v>
      </c>
      <c r="M899" s="10" t="b">
        <v>0</v>
      </c>
      <c r="N899" s="10" t="b">
        <v>0</v>
      </c>
      <c r="O899" s="11" t="b">
        <f t="shared" si="1"/>
        <v>1</v>
      </c>
      <c r="P899" s="16" t="b">
        <v>0</v>
      </c>
      <c r="Q899" s="13" t="s">
        <v>944</v>
      </c>
    </row>
    <row r="900">
      <c r="A900" s="5" t="b">
        <v>1</v>
      </c>
      <c r="B900" s="5" t="s">
        <v>945</v>
      </c>
      <c r="C900" s="6" t="str">
        <f>IFERROR(__xludf.DUMMYFUNCTION("""COMPUTED_VALUE"""),"10.1145/3195528.3195529")</f>
        <v>10.1145/3195528.3195529</v>
      </c>
      <c r="D900" s="7" t="str">
        <f>IFERROR(__xludf.DUMMYFUNCTION("""COMPUTED_VALUE"""),"Khouri S.; Bellatreche L.")</f>
        <v>Khouri S.; Bellatreche L.</v>
      </c>
      <c r="E900" s="7" t="str">
        <f>IFERROR(__xludf.DUMMYFUNCTION("""COMPUTED_VALUE"""),"Consolidation of BI efforts in the LOD era for african context")</f>
        <v>Consolidation of BI efforts in the LOD era for african context</v>
      </c>
      <c r="F900" s="7" t="str">
        <f>IFERROR(__xludf.DUMMYFUNCTION("""COMPUTED_VALUE"""),"ICSE")</f>
        <v>ICSE</v>
      </c>
      <c r="G900" s="7" t="str">
        <f>IFERROR(__xludf.DUMMYFUNCTION("""COMPUTED_VALUE"""),"During the last few years, we assist to spectacular increase of Business intelligence and analytics (BI&amp;A) software revenue in the Middle East and Africa (MENA) totaled $245 million in 2014, a 12 percent increase from 2013 revenue of $219 million, accordi"&amp;"ng to Gartner, Inc. The Linked Open Data (LOD) era will contribute positively in keeping this dynamic. LOD datasets complete internal sources by new and relevant information for decision making. This integration in the data warehousing landscape has becom"&amp;"e a necessity. Recent studies conducted mainly in Europe have been proposed for this direction. Similarly, to first studies of conventional DW design, LOD driven approaches focused on data issues (like integration and multidimensionality) and ignored the "&amp;"importance of functional and non-functional requirements. This issue is a precondition for the success of BI&amp;A projects in Africa. This continent is living an interesting phenomenon related to the multiplication of Open Data initiatives. Based on our expe"&amp;"rience on developing BI&amp;A projects, our origin and knowing the European and African contexts, we propose a requirement-driven approach for designing semantic data warehouses from internal and LOD datasets, by considering requirements incrementally. All ph"&amp;"ases of our approach is formalized allowing a traceability of requirements. Experiments are conducted that show the impact of incorporating exploratory requirements of the target warehouse. A case study analyzing book sales transactions is given. © 2018 A"&amp;"CM.")</f>
        <v>During the last few years, we assist to spectacular increase of Business intelligence and analytics (BI&amp;A) software revenue in the Middle East and Africa (MENA) totaled $245 million in 2014, a 12 percent increase from 2013 revenue of $219 million, according to Gartner, Inc. The Linked Open Data (LOD) era will contribute positively in keeping this dynamic. LOD datasets complete internal sources by new and relevant information for decision making. This integration in the data warehousing landscape has become a necessity. Recent studies conducted mainly in Europe have been proposed for this direction. Similarly, to first studies of conventional DW design, LOD driven approaches focused on data issues (like integration and multidimensionality) and ignored the importance of functional and non-functional requirements. This issue is a precondition for the success of BI&amp;A projects in Africa. This continent is living an interesting phenomenon related to the multiplication of Open Data initiatives. Based on our experience on developing BI&amp;A projects, our origin and knowing the European and African contexts, we propose a requirement-driven approach for designing semantic data warehouses from internal and LOD datasets, by considering requirements incrementally. All phases of our approach is formalized allowing a traceability of requirements. Experiments are conducted that show the impact of incorporating exploratory requirements of the target warehouse. A case study analyzing book sales transactions is given. © 2018 ACM.</v>
      </c>
      <c r="H900" s="8" t="str">
        <f>IFERROR(__xludf.DUMMYFUNCTION("""COMPUTED_VALUE"""),"african context; data warehouses; linked open data; requirements engineering; semantic web")</f>
        <v>african context; data warehouses; linked open data; requirements engineering; semantic web</v>
      </c>
      <c r="I900" s="10" t="b">
        <v>0</v>
      </c>
      <c r="J900" s="10" t="b">
        <v>0</v>
      </c>
      <c r="K900" s="10" t="b">
        <v>0</v>
      </c>
      <c r="L900" s="10" t="b">
        <v>0</v>
      </c>
      <c r="M900" s="10" t="b">
        <v>0</v>
      </c>
      <c r="N900" s="10" t="b">
        <v>0</v>
      </c>
      <c r="O900" s="11" t="b">
        <f t="shared" si="1"/>
        <v>0</v>
      </c>
      <c r="P900" s="16" t="b">
        <v>0</v>
      </c>
      <c r="Q900" s="7"/>
    </row>
    <row r="901">
      <c r="A901" s="5" t="b">
        <v>1</v>
      </c>
      <c r="B901" s="5" t="s">
        <v>946</v>
      </c>
      <c r="C901" s="6" t="str">
        <f>IFERROR(__xludf.DUMMYFUNCTION("""COMPUTED_VALUE"""),"10.1145/1370175.1370250")</f>
        <v>10.1145/1370175.1370250</v>
      </c>
      <c r="D901" s="7" t="str">
        <f>IFERROR(__xludf.DUMMYFUNCTION("""COMPUTED_VALUE"""),"Cheng L.-T.; De Souza C.; Dittrich Y.; Hazzan O.; John M.; Maurer F.; Sharp H.; Sillito J.; Sim S.E.; Singer J.; Storey M.A.; Tessem B.; Venolia G.")</f>
        <v>Cheng L.-T.; De Souza C.; Dittrich Y.; Hazzan O.; John M.; Maurer F.; Sharp H.; Sillito J.; Sim S.E.; Singer J.; Storey M.A.; Tessem B.; Venolia G.</v>
      </c>
      <c r="E901" s="7" t="str">
        <f>IFERROR(__xludf.DUMMYFUNCTION("""COMPUTED_VALUE"""),"Cooperative and human aspects of software engineering (CHASE 2008)")</f>
        <v>Cooperative and human aspects of software engineering (CHASE 2008)</v>
      </c>
      <c r="F901" s="7" t="str">
        <f>IFERROR(__xludf.DUMMYFUNCTION("""COMPUTED_VALUE"""),"ICSE")</f>
        <v>ICSE</v>
      </c>
      <c r="G901" s="7" t="str">
        <f>IFERROR(__xludf.DUMMYFUNCTION("""COMPUTED_VALUE"""),"The CHASE 2008 workshop is concerned with exploring the cooperative and human aspects of software engineering, and providing a forum for discussing high-quality resarch. Accepted papers reflect the diversity of the field of software engineering-ranging fr"&amp;"om requirements to testing, and from ethnographic research to experiments. Moreover, the background of attendees reflects the diversity of researchers in this domain, ranging from sociology to psychology, from informatics to software engineering. CHASE 20"&amp;"08 met its goals in presenting high-quality research and building community through a mixture of presentations, discussions, posters, and social activities. Copyright 2008 ACM.")</f>
        <v>The CHASE 2008 workshop is concerned with exploring the cooperative and human aspects of software engineering, and providing a forum for discussing high-quality resarch. Accepted papers reflect the diversity of the field of software engineering-ranging from requirements to testing, and from ethnographic research to experiments. Moreover, the background of attendees reflects the diversity of researchers in this domain, ranging from sociology to psychology, from informatics to software engineering. CHASE 2008 met its goals in presenting high-quality research and building community through a mixture of presentations, discussions, posters, and social activities. Copyright 2008 ACM.</v>
      </c>
      <c r="H901" s="8" t="str">
        <f>IFERROR(__xludf.DUMMYFUNCTION("""COMPUTED_VALUE"""),"Collaboration; Design; Distributed teams; Organizations; Process; Social networks")</f>
        <v>Collaboration; Design; Distributed teams; Organizations; Process; Social networks</v>
      </c>
      <c r="I901" s="10" t="b">
        <v>0</v>
      </c>
      <c r="J901" s="10" t="b">
        <v>0</v>
      </c>
      <c r="K901" s="10" t="b">
        <v>0</v>
      </c>
      <c r="L901" s="10" t="b">
        <v>0</v>
      </c>
      <c r="M901" s="10" t="b">
        <v>0</v>
      </c>
      <c r="N901" s="10" t="b">
        <v>0</v>
      </c>
      <c r="O901" s="11" t="b">
        <f t="shared" si="1"/>
        <v>0</v>
      </c>
      <c r="P901" s="16" t="b">
        <v>0</v>
      </c>
      <c r="Q901" s="7"/>
    </row>
    <row r="902">
      <c r="A902" s="5" t="b">
        <v>1</v>
      </c>
      <c r="B902" s="5" t="s">
        <v>947</v>
      </c>
      <c r="C902" s="6" t="str">
        <f>IFERROR(__xludf.DUMMYFUNCTION("""COMPUTED_VALUE"""),"10.1145/3183440.3194993")</f>
        <v>10.1145/3183440.3194993</v>
      </c>
      <c r="D902" s="7" t="str">
        <f>IFERROR(__xludf.DUMMYFUNCTION("""COMPUTED_VALUE"""),"Li Z.; Wan H.; Deng Y.; Yu Q.; Li T.; Wei K.; Gu M.")</f>
        <v>Li Z.; Wan H.; Deng Y.; Yu Q.; Li T.; Wei K.; Gu M.</v>
      </c>
      <c r="E902" s="7" t="str">
        <f>IFERROR(__xludf.DUMMYFUNCTION("""COMPUTED_VALUE"""),"Poster: Model-based adaptation to extreme physical environments: A case study on mixed-criticality industrial ethernet")</f>
        <v>Poster: Model-based adaptation to extreme physical environments: A case study on mixed-criticality industrial ethernet</v>
      </c>
      <c r="F902" s="7" t="str">
        <f>IFERROR(__xludf.DUMMYFUNCTION("""COMPUTED_VALUE"""),"ICSE")</f>
        <v>ICSE</v>
      </c>
      <c r="G902" s="7" t="str">
        <f>IFERROR(__xludf.DUMMYFUNCTION("""COMPUTED_VALUE"""),"Industry-strength embedded systems have to meet rigorous application-specific requirements for operating environments. Such requirements are becoming increasingly challenging due to the growing system complexity. Existing works typically focus on reliabil"&amp;"ity driven design optimizations to improve the system robustness. Our work addresses the problem from another perspective by adaptively adjusting its service capability according to a model reflecting the interaction between the embedded system and the en"&amp;"vironments. This paper proposes a service capability model to capture the criticality of various services. A model-based adaption mechanism is designed to automatically identify the maximum allowed service capability under the current physical environment"&amp;". A case study was performed on Industrial Ethernet switches to validate its effectiveness on adaptation to high and low temperatures. Experimental results demonstrate the potential of our approach to improve system reliability under extreme physical envi"&amp;"ronments. © 2018 Authors.")</f>
        <v>Industry-strength embedded systems have to meet rigorous application-specific requirements for operating environments. Such requirements are becoming increasingly challenging due to the growing system complexity. Existing works typically focus on reliability driven design optimizations to improve the system robustness. Our work addresses the problem from another perspective by adaptively adjusting its service capability according to a model reflecting the interaction between the embedded system and the environments. This paper proposes a service capability model to capture the criticality of various services. A model-based adaption mechanism is designed to automatically identify the maximum allowed service capability under the current physical environment. A case study was performed on Industrial Ethernet switches to validate its effectiveness on adaptation to high and low temperatures. Experimental results demonstrate the potential of our approach to improve system reliability under extreme physical environments. © 2018 Authors.</v>
      </c>
      <c r="H902" s="8"/>
      <c r="I902" s="10" t="b">
        <v>0</v>
      </c>
      <c r="J902" s="10" t="b">
        <v>0</v>
      </c>
      <c r="K902" s="10" t="b">
        <v>0</v>
      </c>
      <c r="L902" s="10" t="b">
        <v>0</v>
      </c>
      <c r="M902" s="10" t="b">
        <v>0</v>
      </c>
      <c r="N902" s="10" t="b">
        <v>0</v>
      </c>
      <c r="O902" s="11" t="b">
        <f t="shared" si="1"/>
        <v>0</v>
      </c>
      <c r="P902" s="16" t="b">
        <v>0</v>
      </c>
      <c r="Q902" s="7"/>
    </row>
    <row r="903">
      <c r="A903" s="5" t="b">
        <v>1</v>
      </c>
      <c r="B903" s="5" t="s">
        <v>948</v>
      </c>
      <c r="C903" s="6" t="str">
        <f>IFERROR(__xludf.DUMMYFUNCTION("""COMPUTED_VALUE"""),"10.1145/2889160.2889254")</f>
        <v>10.1145/2889160.2889254</v>
      </c>
      <c r="D903" s="7" t="str">
        <f>IFERROR(__xludf.DUMMYFUNCTION("""COMPUTED_VALUE"""),"Mohanani R.")</f>
        <v>Mohanani R.</v>
      </c>
      <c r="E903" s="7" t="str">
        <f>IFERROR(__xludf.DUMMYFUNCTION("""COMPUTED_VALUE"""),"Implications of requirements engineering on software design: A cognitive insight")</f>
        <v>Implications of requirements engineering on software design: A cognitive insight</v>
      </c>
      <c r="F903" s="7" t="str">
        <f>IFERROR(__xludf.DUMMYFUNCTION("""COMPUTED_VALUE"""),"ICSE")</f>
        <v>ICSE</v>
      </c>
      <c r="G903" s="7" t="str">
        <f>IFERROR(__xludf.DUMMYFUNCTION("""COMPUTED_VALUE"""),"There is a broad consensus that understanding software requirements is critical in designing a good software system. Software engineering research literature is rife with state of the art practices and techniques that are proposed to improve requirements "&amp;"engineering techniques. Also, creative approaches are used to determine system requirements in a better way. However, little empirical research has investigated the critical underpinnings of human psychology on design performance from elicited requirement"&amp;"s, and its implications on high-level design creativity. The foremost objective of this research will be to explore the harmful effects of human cognitive biases on the designers' ability to generate conceptual designs from a set of requirements, and then"&amp;" to mitigate the harmful effects of biases by developing specific de-biasing technique(s) to enhance creativity of such design concepts. The research will adopt a quantitative approach, i.e., data will be collected through controlled experiments; also the"&amp;" existing literature will be reviewed. Exploring the manifestation of cognitive biases and its subsequent mitigation techniques shall help augmenting the focus of software engineering design research approach from technological to psychological. © 2016 AC"&amp;"M.")</f>
        <v>There is a broad consensus that understanding software requirements is critical in designing a good software system. Software engineering research literature is rife with state of the art practices and techniques that are proposed to improve requirements engineering techniques. Also, creative approaches are used to determine system requirements in a better way. However, little empirical research has investigated the critical underpinnings of human psychology on design performance from elicited requirements, and its implications on high-level design creativity. The foremost objective of this research will be to explore the harmful effects of human cognitive biases on the designers' ability to generate conceptual designs from a set of requirements, and then to mitigate the harmful effects of biases by developing specific de-biasing technique(s) to enhance creativity of such design concepts. The research will adopt a quantitative approach, i.e., data will be collected through controlled experiments; also the existing literature will be reviewed. Exploring the manifestation of cognitive biases and its subsequent mitigation techniques shall help augmenting the focus of software engineering design research approach from technological to psychological. © 2016 ACM.</v>
      </c>
      <c r="H903" s="8" t="str">
        <f>IFERROR(__xludf.DUMMYFUNCTION("""COMPUTED_VALUE"""),"Cognitive bias; De-Bias; Design creativity; Requirements")</f>
        <v>Cognitive bias; De-Bias; Design creativity; Requirements</v>
      </c>
      <c r="I903" s="9" t="b">
        <v>1</v>
      </c>
      <c r="J903" s="9" t="b">
        <v>1</v>
      </c>
      <c r="K903" s="9" t="b">
        <v>1</v>
      </c>
      <c r="L903" s="10" t="b">
        <v>0</v>
      </c>
      <c r="M903" s="10" t="b">
        <v>0</v>
      </c>
      <c r="N903" s="10" t="b">
        <v>0</v>
      </c>
      <c r="O903" s="11" t="b">
        <f t="shared" si="1"/>
        <v>1</v>
      </c>
      <c r="P903" s="16" t="b">
        <v>0</v>
      </c>
      <c r="Q903" s="13" t="s">
        <v>949</v>
      </c>
    </row>
    <row r="904">
      <c r="A904" s="5" t="b">
        <v>1</v>
      </c>
      <c r="B904" s="5" t="s">
        <v>950</v>
      </c>
      <c r="C904" s="6" t="str">
        <f>IFERROR(__xludf.DUMMYFUNCTION("""COMPUTED_VALUE"""),"10.1109/ICSE.2015.206")</f>
        <v>10.1109/ICSE.2015.206</v>
      </c>
      <c r="D904" s="7" t="str">
        <f>IFERROR(__xludf.DUMMYFUNCTION("""COMPUTED_VALUE"""),"Legunsen O.; Marinov D.; Rosu G.")</f>
        <v>Legunsen O.; Marinov D.; Rosu G.</v>
      </c>
      <c r="E904" s="7" t="str">
        <f>IFERROR(__xludf.DUMMYFUNCTION("""COMPUTED_VALUE"""),"Evolution-Aware Monitoring-Oriented Programming")</f>
        <v>Evolution-Aware Monitoring-Oriented Programming</v>
      </c>
      <c r="F904" s="7" t="str">
        <f>IFERROR(__xludf.DUMMYFUNCTION("""COMPUTED_VALUE"""),"ICSE")</f>
        <v>ICSE</v>
      </c>
      <c r="G904" s="7" t="str">
        <f>IFERROR(__xludf.DUMMYFUNCTION("""COMPUTED_VALUE"""),"Monitoring-Oriented Programming (MOP) helps develop more reliable software by means of monitoring against formal specifications. While MOP showed promising results, all prior research has focused on checking a single version of software. We propose to ext"&amp;"end MOP to support multiple software versions and thus be more relevant in the context of rapid software evolution. Our approach, called eMOP, is inspired by regression test selection - a well studied, evolution-centered technique. The key idea in eMOP is"&amp;" to monitor only the parts of code that changed between versions. We illustrate eMOP by means of a running example, and show the results of preliminary experiments. eMOP opens up a new line of research on MOP - it can significantly improve usability and p"&amp;"erformance when applied across multiple versions of software and is complementary to algorithmic MOP advances on a single version. © 2015 IEEE.")</f>
        <v>Monitoring-Oriented Programming (MOP) helps develop more reliable software by means of monitoring against formal specifications. While MOP showed promising results, all prior research has focused on checking a single version of software. We propose to extend MOP to support multiple software versions and thus be more relevant in the context of rapid software evolution. Our approach, called eMOP, is inspired by regression test selection - a well studied, evolution-centered technique. The key idea in eMOP is to monitor only the parts of code that changed between versions. We illustrate eMOP by means of a running example, and show the results of preliminary experiments. eMOP opens up a new line of research on MOP - it can significantly improve usability and performance when applied across multiple versions of software and is complementary to algorithmic MOP advances on a single version. © 2015 IEEE.</v>
      </c>
      <c r="H904" s="8" t="str">
        <f>IFERROR(__xludf.DUMMYFUNCTION("""COMPUTED_VALUE"""),"Monitoring-Oriented Programming; Regression Testing; Runtime Monitoring; Runtime Verification")</f>
        <v>Monitoring-Oriented Programming; Regression Testing; Runtime Monitoring; Runtime Verification</v>
      </c>
      <c r="I904" s="10" t="b">
        <v>0</v>
      </c>
      <c r="J904" s="10" t="b">
        <v>0</v>
      </c>
      <c r="K904" s="10" t="b">
        <v>0</v>
      </c>
      <c r="L904" s="10" t="b">
        <v>0</v>
      </c>
      <c r="M904" s="10" t="b">
        <v>0</v>
      </c>
      <c r="N904" s="10" t="b">
        <v>0</v>
      </c>
      <c r="O904" s="11" t="b">
        <f t="shared" si="1"/>
        <v>0</v>
      </c>
      <c r="P904" s="16" t="b">
        <v>0</v>
      </c>
      <c r="Q904" s="7"/>
    </row>
    <row r="905">
      <c r="A905" s="5" t="b">
        <v>1</v>
      </c>
      <c r="B905" s="5" t="s">
        <v>951</v>
      </c>
      <c r="C905" s="6" t="str">
        <f>IFERROR(__xludf.DUMMYFUNCTION("""COMPUTED_VALUE"""),"10.1109/ICSE-Companion52605.2021.00036")</f>
        <v>10.1109/ICSE-Companion52605.2021.00036</v>
      </c>
      <c r="D905" s="7" t="str">
        <f>IFERROR(__xludf.DUMMYFUNCTION("""COMPUTED_VALUE"""),"Zhang Q.; Wang J.; Gulzar M.A.; Padhye R.; Kim M.")</f>
        <v>Zhang Q.; Wang J.; Gulzar M.A.; Padhye R.; Kim M.</v>
      </c>
      <c r="E905" s="7" t="str">
        <f>IFERROR(__xludf.DUMMYFUNCTION("""COMPUTED_VALUE"""),"Efficient Fuzz Testing for Apache Spark Using Framework Abstraction")</f>
        <v>Efficient Fuzz Testing for Apache Spark Using Framework Abstraction</v>
      </c>
      <c r="F905" s="7" t="str">
        <f>IFERROR(__xludf.DUMMYFUNCTION("""COMPUTED_VALUE"""),"ICSE")</f>
        <v>ICSE</v>
      </c>
      <c r="G905" s="7" t="str">
        <f>IFERROR(__xludf.DUMMYFUNCTION("""COMPUTED_VALUE"""),"The emerging data-intensive applications are increasingly dependent on data-intensive scalable computing (DISC) systems, such as Apache Spark, to process large data. Despite their popularity, DISC applications are hard to test. In recent years, fuzz testi"&amp;"ng has been remarkably successful; however, it is nontrivial to apply such traditional fuzzing to big data analytics directly because: (1) the long latency of DISC systems prohibits the applicability of fuzzing, and (2) conventional branch coverage is unl"&amp;"ikely to identify application logic from the DISC framework implementation. We devise a novel fuzz testing tool called BigFuzz that automatically generates concrete data for an input Apache Spark program. The key essence of our approach is that we abstrac"&amp;"t the dataflow behavior of the DISC framework with executable specifications and we design schema-aware mutations based on common error types in DISC applications. Our experiments show that compared to random fuzzing, BigFuzz is able to speed up the fuzzi"&amp;"ng time by 1477X, improves application code coverage by 271%, and achieves 157% improvement in detecting application errors. The demonstration video of BigFuzz is available at https://www.youtube.com/watch?v=YvYQISILQHs&amp;feature=youtu.be. © 2021 IEEE.")</f>
        <v>The emerging data-intensive applications are increasingly dependent on data-intensive scalable computing (DISC) systems, such as Apache Spark, to process large data. Despite their popularity, DISC applications are hard to test. In recent years, fuzz testing has been remarkably successful; however, it is nontrivial to apply such traditional fuzzing to big data analytics directly because: (1) the long latency of DISC systems prohibits the applicability of fuzzing, and (2) conventional branch coverage is unlikely to identify application logic from the DISC framework implementation. We devise a novel fuzz testing tool called BigFuzz that automatically generates concrete data for an input Apache Spark program. The key essence of our approach is that we abstract the dataflow behavior of the DISC framework with executable specifications and we design schema-aware mutations based on common error types in DISC applications. Our experiments show that compared to random fuzzing, BigFuzz is able to speed up the fuzzing time by 1477X, improves application code coverage by 271%, and achieves 157% improvement in detecting application errors. The demonstration video of BigFuzz is available at https://www.youtube.com/watch?v=YvYQISILQHs&amp;feature=youtu.be. © 2021 IEEE.</v>
      </c>
      <c r="H905" s="8" t="str">
        <f>IFERROR(__xludf.DUMMYFUNCTION("""COMPUTED_VALUE"""),"data intensive scalable computing; dataflow programs; executable specifications; fuzz testing")</f>
        <v>data intensive scalable computing; dataflow programs; executable specifications; fuzz testing</v>
      </c>
      <c r="I905" s="10" t="b">
        <v>0</v>
      </c>
      <c r="J905" s="10" t="b">
        <v>0</v>
      </c>
      <c r="K905" s="10" t="b">
        <v>0</v>
      </c>
      <c r="L905" s="10" t="b">
        <v>0</v>
      </c>
      <c r="M905" s="10" t="b">
        <v>0</v>
      </c>
      <c r="N905" s="10" t="b">
        <v>0</v>
      </c>
      <c r="O905" s="11" t="b">
        <f t="shared" si="1"/>
        <v>0</v>
      </c>
      <c r="P905" s="16" t="b">
        <v>0</v>
      </c>
      <c r="Q905" s="7"/>
    </row>
    <row r="906">
      <c r="A906" s="5" t="b">
        <v>1</v>
      </c>
      <c r="B906" s="5" t="s">
        <v>952</v>
      </c>
      <c r="C906" s="6" t="str">
        <f>IFERROR(__xludf.DUMMYFUNCTION("""COMPUTED_VALUE"""),"10.1145/3377811.3380332")</f>
        <v>10.1145/3377811.3380332</v>
      </c>
      <c r="D906" s="7" t="str">
        <f>IFERROR(__xludf.DUMMYFUNCTION("""COMPUTED_VALUE"""),"Alenazi M.; Niu N.; Savolainen J.")</f>
        <v>Alenazi M.; Niu N.; Savolainen J.</v>
      </c>
      <c r="E906" s="7" t="str">
        <f>IFERROR(__xludf.DUMMYFUNCTION("""COMPUTED_VALUE"""),"A novel approach to tracing safety requirements and state-based design models")</f>
        <v>A novel approach to tracing safety requirements and state-based design models</v>
      </c>
      <c r="F906" s="7" t="str">
        <f>IFERROR(__xludf.DUMMYFUNCTION("""COMPUTED_VALUE"""),"ICSE")</f>
        <v>ICSE</v>
      </c>
      <c r="G906" s="7" t="str">
        <f>IFERROR(__xludf.DUMMYFUNCTION("""COMPUTED_VALUE"""),"Traceability plays an essential role in assuring that software and systems are safe to use. Automated requirements traceability faces the low precision challenge due to a large number of false positives being returned and mingled with the true links. To o"&amp;"vercome this challenge, we present a mutation-driven method built on the novel idea of proactively creating many seemingly correct tracing targets (i.e., mutants of a state machine diagram), and then exploiting model checking within process mining to auto"&amp;"matically verify whether the safety requirement's properties hold in the mutants. A mutant is killed if its model checking fails; otherwise, it is survived. We leverage the underlying killed-survived distinction, and develop a correlation analysis procedu"&amp;"re to identify the traceability links. Experimental evaluation results on two automotive systems with 27 safety requirements show considerable precision improvements compared with the state-of-the-art.  © 2020 Association for Computing Machinery.")</f>
        <v>Traceability plays an essential role in assuring that software and systems are safe to use. Automated requirements traceability faces the low precision challenge due to a large number of false positives being returned and mingled with the true links. To overcome this challenge, we present a mutation-driven method built on the novel idea of proactively creating many seemingly correct tracing targets (i.e., mutants of a state machine diagram), and then exploiting model checking within process mining to automatically verify whether the safety requirement's properties hold in the mutants. A mutant is killed if its model checking fails; otherwise, it is survived. We leverage the underlying killed-survived distinction, and develop a correlation analysis procedure to identify the traceability links. Experimental evaluation results on two automotive systems with 27 safety requirements show considerable precision improvements compared with the state-of-the-art.  © 2020 Association for Computing Machinery.</v>
      </c>
      <c r="H906" s="8" t="str">
        <f>IFERROR(__xludf.DUMMYFUNCTION("""COMPUTED_VALUE"""),"Mutation analysis; Process mining; Requirements engineering; Systems modeling language (sysml); Traceability")</f>
        <v>Mutation analysis; Process mining; Requirements engineering; Systems modeling language (sysml); Traceability</v>
      </c>
      <c r="I906" s="10" t="b">
        <v>0</v>
      </c>
      <c r="J906" s="10" t="b">
        <v>0</v>
      </c>
      <c r="K906" s="10" t="b">
        <v>0</v>
      </c>
      <c r="L906" s="10" t="b">
        <v>0</v>
      </c>
      <c r="M906" s="10" t="b">
        <v>0</v>
      </c>
      <c r="N906" s="10" t="b">
        <v>0</v>
      </c>
      <c r="O906" s="11" t="b">
        <f t="shared" si="1"/>
        <v>0</v>
      </c>
      <c r="P906" s="16" t="b">
        <v>0</v>
      </c>
      <c r="Q906" s="7"/>
    </row>
    <row r="907">
      <c r="A907" s="5" t="b">
        <v>1</v>
      </c>
      <c r="B907" s="5" t="s">
        <v>953</v>
      </c>
      <c r="C907" s="6" t="str">
        <f>IFERROR(__xludf.DUMMYFUNCTION("""COMPUTED_VALUE"""),"10.1109/ICSE.2015.84")</f>
        <v>10.1109/ICSE.2015.84</v>
      </c>
      <c r="D907" s="7" t="str">
        <f>IFERROR(__xludf.DUMMYFUNCTION("""COMPUTED_VALUE"""),"Baresi L.; Kallehbasti M.M.P.; Rossi M.")</f>
        <v>Baresi L.; Kallehbasti M.M.P.; Rossi M.</v>
      </c>
      <c r="E907" s="7" t="str">
        <f>IFERROR(__xludf.DUMMYFUNCTION("""COMPUTED_VALUE"""),"Efficient scalable verification of LTL specifications")</f>
        <v>Efficient scalable verification of LTL specifications</v>
      </c>
      <c r="F907" s="7" t="str">
        <f>IFERROR(__xludf.DUMMYFUNCTION("""COMPUTED_VALUE"""),"ICSE")</f>
        <v>ICSE</v>
      </c>
      <c r="G907" s="7" t="str">
        <f>IFERROR(__xludf.DUMMYFUNCTION("""COMPUTED_VALUE"""),"Linear Temporal Logic (LTL) has been used in computer science for decades to formally specify programs, systems, desired properties, and relevant behaviors. This paper presents a novel, efficient technique for verifying LTL specifications in a fully autom"&amp;"ated way. Our technique belongs to the category of Bounded Satisfiability Checking approaches, where LTL formulae are encoded as formulae of another decidable logic that can be solved through modern satisfiability solvers. The target logic in our approach"&amp;" is Bit-Vector Logic. We present our novel encoding, show its correctness, and experimentally compare it against existing encodings implemented in well-known formal verification tools. © 2015 IEEE.")</f>
        <v>Linear Temporal Logic (LTL) has been used in computer science for decades to formally specify programs, systems, desired properties, and relevant behaviors. This paper presents a novel, efficient technique for verifying LTL specifications in a fully automated way. Our technique belongs to the category of Bounded Satisfiability Checking approaches, where LTL formulae are encoded as formulae of another decidable logic that can be solved through modern satisfiability solvers. The target logic in our approach is Bit-Vector Logic. We present our novel encoding, show its correctness, and experimentally compare it against existing encodings implemented in well-known formal verification tools. © 2015 IEEE.</v>
      </c>
      <c r="H907" s="8"/>
      <c r="I907" s="10" t="b">
        <v>0</v>
      </c>
      <c r="J907" s="10" t="b">
        <v>0</v>
      </c>
      <c r="K907" s="10" t="b">
        <v>0</v>
      </c>
      <c r="L907" s="10" t="b">
        <v>0</v>
      </c>
      <c r="M907" s="10" t="b">
        <v>0</v>
      </c>
      <c r="N907" s="10" t="b">
        <v>0</v>
      </c>
      <c r="O907" s="11" t="b">
        <f t="shared" si="1"/>
        <v>0</v>
      </c>
      <c r="P907" s="16" t="b">
        <v>0</v>
      </c>
      <c r="Q907" s="7"/>
    </row>
    <row r="908">
      <c r="A908" s="5" t="b">
        <v>1</v>
      </c>
      <c r="B908" s="5" t="s">
        <v>954</v>
      </c>
      <c r="C908" s="6" t="str">
        <f>IFERROR(__xludf.DUMMYFUNCTION("""COMPUTED_VALUE"""),"10.1109/ICSE.2015.343")</f>
        <v>10.1109/ICSE.2015.343</v>
      </c>
      <c r="D908" s="7" t="str">
        <f>IFERROR(__xludf.DUMMYFUNCTION("""COMPUTED_VALUE"""),"Tichy M.; Bosch J.; Goedicke M.; Fitzgerald B.")</f>
        <v>Tichy M.; Bosch J.; Goedicke M.; Fitzgerald B.</v>
      </c>
      <c r="E908" s="7" t="str">
        <f>IFERROR(__xludf.DUMMYFUNCTION("""COMPUTED_VALUE"""),"2nd International Workshop on Rapid Continuous Software Engineering (RCoSE 2015)")</f>
        <v>2nd International Workshop on Rapid Continuous Software Engineering (RCoSE 2015)</v>
      </c>
      <c r="F908" s="7" t="str">
        <f>IFERROR(__xludf.DUMMYFUNCTION("""COMPUTED_VALUE"""),"ICSE")</f>
        <v>ICSE</v>
      </c>
      <c r="G908" s="7" t="str">
        <f>IFERROR(__xludf.DUMMYFUNCTION("""COMPUTED_VALUE"""),"Continuous software engineering refers to the organizational capability to develop, release and learn from software in very short rapid cycles, typically hours, days or a very small numbers of weeks. This requires not only agile processes in teams but in "&amp;"the complete research and development organization. Additionally, the technology used in the different development phases, like requirements engineering and system integration, must support the quick development cycles. Finally, automatic live experimenta"&amp;"tion for different system alternatives enables fast gathering of required data for decision making. The workshop, the second in the series after the first one at ICSE 2014, aims to bring the research communities of the aforementioned areas together to exc"&amp;"hange challenges, ideas, and solutions to bring software engineering a step further to being a holistic continuous process. The workshop program is based on eight papers selected in the peer-review process and supplemented by interaction and discussions a"&amp;"t the workshop. The topics range from agile methods, continuous software engineering practices to specific techniques, like visualization and testing. © 2015 IEEE.")</f>
        <v>Continuous software engineering refers to the organizational capability to develop, release and learn from software in very short rapid cycles, typically hours, days or a very small numbers of weeks. This requires not only agile processes in teams but in the complete research and development organization. Additionally, the technology used in the different development phases, like requirements engineering and system integration, must support the quick development cycles. Finally, automatic live experimentation for different system alternatives enables fast gathering of required data for decision making. The workshop, the second in the series after the first one at ICSE 2014, aims to bring the research communities of the aforementioned areas together to exchange challenges, ideas, and solutions to bring software engineering a step further to being a holistic continuous process. The workshop program is based on eight papers selected in the peer-review process and supplemented by interaction and discussions at the workshop. The topics range from agile methods, continuous software engineering practices to specific techniques, like visualization and testing. © 2015 IEEE.</v>
      </c>
      <c r="H908" s="8"/>
      <c r="I908" s="10" t="b">
        <v>0</v>
      </c>
      <c r="J908" s="10" t="b">
        <v>0</v>
      </c>
      <c r="K908" s="10" t="b">
        <v>0</v>
      </c>
      <c r="L908" s="10" t="b">
        <v>0</v>
      </c>
      <c r="M908" s="10" t="b">
        <v>0</v>
      </c>
      <c r="N908" s="10" t="b">
        <v>0</v>
      </c>
      <c r="O908" s="11" t="b">
        <f t="shared" si="1"/>
        <v>0</v>
      </c>
      <c r="P908" s="16" t="b">
        <v>0</v>
      </c>
      <c r="Q908" s="7"/>
    </row>
    <row r="909">
      <c r="A909" s="5" t="b">
        <v>1</v>
      </c>
      <c r="B909" s="5" t="s">
        <v>955</v>
      </c>
      <c r="C909" s="6" t="str">
        <f>IFERROR(__xludf.DUMMYFUNCTION("""COMPUTED_VALUE"""),"10.1109/ICSE43902.2021.00132")</f>
        <v>10.1109/ICSE43902.2021.00132</v>
      </c>
      <c r="D909" s="7" t="str">
        <f>IFERROR(__xludf.DUMMYFUNCTION("""COMPUTED_VALUE"""),"Luo W.; Wan H.; Song X.; Yang B.; Zhong H.; Chen Y.")</f>
        <v>Luo W.; Wan H.; Song X.; Yang B.; Zhong H.; Chen Y.</v>
      </c>
      <c r="E909" s="7" t="str">
        <f>IFERROR(__xludf.DUMMYFUNCTION("""COMPUTED_VALUE"""),"How to identify boundary conditions with contrasty metric?")</f>
        <v>How to identify boundary conditions with contrasty metric?</v>
      </c>
      <c r="F909" s="7" t="str">
        <f>IFERROR(__xludf.DUMMYFUNCTION("""COMPUTED_VALUE"""),"ICSE")</f>
        <v>ICSE</v>
      </c>
      <c r="G909" s="7" t="str">
        <f>IFERROR(__xludf.DUMMYFUNCTION("""COMPUTED_VALUE"""),"The boundary conditions (BCs) have shown great potential in requirements engineering because a BC captures the particular combination of circumstances, i.e., divergence, in which the goals of the requirement cannot be satisfied as a whole. Existing resear"&amp;"ches have attempted to automatically identify lots of BCs. Unfortunately, a large number of identified BCs make assessing and resolving divergences expensive. Existing methods adopt a coarse-grained metric, generality, to filter out less general BCs. Howe"&amp;"ver, the results still retain a large number of redundant BCs since a general BC potentially captures redundant circumstances that do not lead to a divergence. Furthermore, the likelihood of BC can be misled by redundant BCs resulting in costly repeatedly"&amp;" assessing and resolving divergences. In this paper, we present a fine-grained metric to filter out the redundant BCs. We first introduce the concept of contrasty of BC. Intuitively, if two BCs are contrastive, they capture different divergences. We argue"&amp;" that a set of contrastive BCs should be recommended to engineers, rather than a set of general BCs that potentially only indicates the same divergence. Then we design a post-processing framework (PPFc) to produce a set of contrastive BCs after identifyin"&amp;"g BCs. Experimental results show that the contrasty metric dramatically reduces the number of BCs recommended to engineers. Results also demonstrate that lots of BCs identified by the state-of-the-art method are redundant in most cases. Besides, to improv"&amp;"e efficiency, we propose a joint framework (JFc) to interleave assessing based on the contrasty metric with identifying BCs. The primary intuition behind JFc is that it considers the search bias toward contrastive BCs during identifying BCs, thereby pruni"&amp;"ng the BCs capturing the same divergence. Experiments confirm the improvements of JFc in identifying contrastive BCs.  © 2021 IEEE.")</f>
        <v>The boundary conditions (BCs) have shown great potential in requirements engineering because a BC captures the particular combination of circumstances, i.e., divergence, in which the goals of the requirement cannot be satisfied as a whole. Existing researches have attempted to automatically identify lots of BCs. Unfortunately, a large number of identified BCs make assessing and resolving divergences expensive. Existing methods adopt a coarse-grained metric, generality, to filter out less general BCs. However, the results still retain a large number of redundant BCs since a general BC potentially captures redundant circumstances that do not lead to a divergence. Furthermore, the likelihood of BC can be misled by redundant BCs resulting in costly repeatedly assessing and resolving divergences. In this paper, we present a fine-grained metric to filter out the redundant BCs. We first introduce the concept of contrasty of BC. Intuitively, if two BCs are contrastive, they capture different divergences. We argue that a set of contrastive BCs should be recommended to engineers, rather than a set of general BCs that potentially only indicates the same divergence. Then we design a post-processing framework (PPFc) to produce a set of contrastive BCs after identifying BCs. Experimental results show that the contrasty metric dramatically reduces the number of BCs recommended to engineers. Results also demonstrate that lots of BCs identified by the state-of-the-art method are redundant in most cases. Besides, to improve efficiency, we propose a joint framework (JFc) to interleave assessing based on the contrasty metric with identifying BCs. The primary intuition behind JFc is that it considers the search bias toward contrastive BCs during identifying BCs, thereby pruning the BCs capturing the same divergence. Experiments confirm the improvements of JFc in identifying contrastive BCs.  © 2021 IEEE.</v>
      </c>
      <c r="H909" s="8" t="str">
        <f>IFERROR(__xludf.DUMMYFUNCTION("""COMPUTED_VALUE"""),"Boundary Conditions; Goal Conflict Identification; Goal Oriented Requirement Engineering")</f>
        <v>Boundary Conditions; Goal Conflict Identification; Goal Oriented Requirement Engineering</v>
      </c>
      <c r="I909" s="10" t="b">
        <v>0</v>
      </c>
      <c r="J909" s="10" t="b">
        <v>0</v>
      </c>
      <c r="K909" s="10" t="b">
        <v>0</v>
      </c>
      <c r="L909" s="10" t="b">
        <v>0</v>
      </c>
      <c r="M909" s="10" t="b">
        <v>0</v>
      </c>
      <c r="N909" s="10" t="b">
        <v>0</v>
      </c>
      <c r="O909" s="11" t="b">
        <f t="shared" si="1"/>
        <v>0</v>
      </c>
      <c r="P909" s="16" t="b">
        <v>0</v>
      </c>
      <c r="Q909" s="7"/>
    </row>
    <row r="910">
      <c r="A910" s="5" t="b">
        <v>1</v>
      </c>
      <c r="B910" s="5" t="s">
        <v>956</v>
      </c>
      <c r="C910" s="6" t="str">
        <f>IFERROR(__xludf.DUMMYFUNCTION("""COMPUTED_VALUE"""),"10.1145/3510003.3512763")</f>
        <v>10.1145/3510003.3512763</v>
      </c>
      <c r="D910" s="7" t="str">
        <f>IFERROR(__xludf.DUMMYFUNCTION("""COMPUTED_VALUE"""),"Patterson Z.; Zhang Z.; Pappas B.; Wei S.; Gazzillo P.")</f>
        <v>Patterson Z.; Zhang Z.; Pappas B.; Wei S.; Gazzillo P.</v>
      </c>
      <c r="E910" s="7" t="str">
        <f>IFERROR(__xludf.DUMMYFUNCTION("""COMPUTED_VALUE"""),"SugarC: Scalable Desugaring of Real-World Preprocessor Usage into Pure C")</f>
        <v>SugarC: Scalable Desugaring of Real-World Preprocessor Usage into Pure C</v>
      </c>
      <c r="F910" s="7" t="str">
        <f>IFERROR(__xludf.DUMMYFUNCTION("""COMPUTED_VALUE"""),"ICSE")</f>
        <v>ICSE</v>
      </c>
      <c r="G910" s="7" t="str">
        <f>IFERROR(__xludf.DUMMYFUNCTION("""COMPUTED_VALUE"""),"Variability-aware analysis is critical for ensuring the quality of con-figurable C software. An important step toward the development of variability-aware analysis at scale is to transform real-world C soft-ware that uses both C and preprocessor into pure"&amp;" C code, by replacing the preprocessor's compile-time variability with C's runtime-variability. In this work, we design and implement a desugaring tool, SugarC, that transforms away real-world preprocessor usage. SugarC augments C's formal grammar specifi"&amp;"cation with translation rules, performs simultaneous type checking during de sugaring, and introduces numerous optimizations to address challenges that appear in real-world preprocessor usage. The experiments on DesugarBench, a benchmark consisting of 108"&amp;" manually-created programs, show that SugarC supports many more language features than two existing desugaring tools. When applied on three real-world configurable C software, SugarC desugared 774 out of 813 files in the three programs, taking at most ten"&amp;" minutes in the worst case and less than two minutes for 95% of the C files. © 2022 ACM.")</f>
        <v>Variability-aware analysis is critical for ensuring the quality of con-figurable C software. An important step toward the development of variability-aware analysis at scale is to transform real-world C soft-ware that uses both C and preprocessor into pure C code, by replacing the preprocessor's compile-time variability with C's runtime-variability. In this work, we design and implement a desugaring tool, SugarC, that transforms away real-world preprocessor usage. SugarC augments C's formal grammar specification with translation rules, performs simultaneous type checking during de sugaring, and introduces numerous optimizations to address challenges that appear in real-world preprocessor usage. The experiments on DesugarBench, a benchmark consisting of 108 manually-created programs, show that SugarC supports many more language features than two existing desugaring tools. When applied on three real-world configurable C software, SugarC desugared 774 out of 813 files in the three programs, taking at most ten minutes in the worst case and less than two minutes for 95% of the C files. © 2022 ACM.</v>
      </c>
      <c r="H910" s="8" t="str">
        <f>IFERROR(__xludf.DUMMYFUNCTION("""COMPUTED_VALUE"""),"C preprocessor; desugaring; syntax-directed translation")</f>
        <v>C preprocessor; desugaring; syntax-directed translation</v>
      </c>
      <c r="I910" s="10" t="b">
        <v>0</v>
      </c>
      <c r="J910" s="10" t="b">
        <v>0</v>
      </c>
      <c r="K910" s="10" t="b">
        <v>0</v>
      </c>
      <c r="L910" s="10" t="b">
        <v>0</v>
      </c>
      <c r="M910" s="10" t="b">
        <v>0</v>
      </c>
      <c r="N910" s="10" t="b">
        <v>0</v>
      </c>
      <c r="O910" s="11" t="b">
        <f t="shared" si="1"/>
        <v>0</v>
      </c>
      <c r="P910" s="16" t="b">
        <v>0</v>
      </c>
      <c r="Q910" s="7"/>
    </row>
    <row r="911">
      <c r="A911" s="5" t="b">
        <v>1</v>
      </c>
      <c r="B911" s="5" t="s">
        <v>957</v>
      </c>
      <c r="C911" s="6" t="str">
        <f>IFERROR(__xludf.DUMMYFUNCTION("""COMPUTED_VALUE"""),"10.1145/3193965.3193966")</f>
        <v>10.1145/3193965.3193966</v>
      </c>
      <c r="D911" s="7" t="str">
        <f>IFERROR(__xludf.DUMMYFUNCTION("""COMPUTED_VALUE"""),"Daneva M.; Sikkel K.; Condori-Fernandez N.; Herrmann A.")</f>
        <v>Daneva M.; Sikkel K.; Condori-Fernandez N.; Herrmann A.</v>
      </c>
      <c r="E911" s="7" t="str">
        <f>IFERROR(__xludf.DUMMYFUNCTION("""COMPUTED_VALUE"""),"Experiences in using practitioner's checklists to evaluate the industrial relevance of requirements engineering experiments")</f>
        <v>Experiences in using practitioner's checklists to evaluate the industrial relevance of requirements engineering experiments</v>
      </c>
      <c r="F911" s="7" t="str">
        <f>IFERROR(__xludf.DUMMYFUNCTION("""COMPUTED_VALUE"""),"ICSE")</f>
        <v>ICSE</v>
      </c>
      <c r="G911" s="7" t="str">
        <f>IFERROR(__xludf.DUMMYFUNCTION("""COMPUTED_VALUE"""),"Background: A grand challenge for Requirement Engineering (RE) research is to help practitioners understand which RE methods work in what contexts and why. RE researchers recognize that for an RE method to be adopted in industry, RE practitioners should b"&amp;"e able to evaluate the relevance of empirical studies to their practice. One possible approach to relevance evaluation is the set of perspective-based checklists proposed by Kitchenham et al. Specifically, the checklist from the practitioner's perspective"&amp;" seems to be a good candidate for evaluating the relevance of RE studies to RE practice. However, little is known about the applicability of this checklist to the RE field. Moreover, this checklist also requires a deeper analysis of its reliability. Aim: "&amp;"We propose a perspective-based checklist to the RE community that allows evaluating the relevance of experimental studies in RE from the practitioner's/consultant's viewpoint. Method: We followed an iterative design-science based approach in which we firs"&amp;"t analyzed the problems with a previously published checklist and then developed an operationalized proposal for a new checklist to counter these problems. We performed a reliability evaluation of this new checklist by having two practitioners apply the c"&amp;"hecklist on 24 papers that report experimental results on software requirements specifications' comprehensibility. Results: We report first-hand experiences of practitioners in evaluating the relevance of primary studies in RE, by using a perspective-base"&amp;"d checklist. With respect to the reliability of the adjusted checklist, 9 of out 19 questions show an acceptable proportion of agreement (between two practitioners). Conclusions: Based on our experience, the contextualization and operationalization of a p"&amp;"erspective-based checklist helps to make it more useful for the practitioners. However, to increase the reliability of the checklist, more reviewers and more discussion cycles are necessary. © 2018 Association for Computing Machinery.")</f>
        <v>Background: A grand challenge for Requirement Engineering (RE) research is to help practitioners understand which RE methods work in what contexts and why. RE researchers recognize that for an RE method to be adopted in industry, RE practitioners should be able to evaluate the relevance of empirical studies to their practice. One possible approach to relevance evaluation is the set of perspective-based checklists proposed by Kitchenham et al. Specifically, the checklist from the practitioner's perspective seems to be a good candidate for evaluating the relevance of RE studies to RE practice. However, little is known about the applicability of this checklist to the RE field. Moreover, this checklist also requires a deeper analysis of its reliability. Aim: We propose a perspective-based checklist to the RE community that allows evaluating the relevance of experimental studies in RE from the practitioner's/consultant's viewpoint. Method: We followed an iterative design-science based approach in which we first analyzed the problems with a previously published checklist and then developed an operationalized proposal for a new checklist to counter these problems. We performed a reliability evaluation of this new checklist by having two practitioners apply the checklist on 24 papers that report experimental results on software requirements specifications' comprehensibility. Results: We report first-hand experiences of practitioners in evaluating the relevance of primary studies in RE, by using a perspective-based checklist. With respect to the reliability of the adjusted checklist, 9 of out 19 questions show an acceptable proportion of agreement (between two practitioners). Conclusions: Based on our experience, the contextualization and operationalization of a perspective-based checklist helps to make it more useful for the practitioners. However, to increase the reliability of the checklist, more reviewers and more discussion cycles are necessary. © 2018 Association for Computing Machinery.</v>
      </c>
      <c r="H911" s="8"/>
      <c r="I911" s="9" t="b">
        <v>1</v>
      </c>
      <c r="J911" s="10" t="b">
        <v>0</v>
      </c>
      <c r="K911" s="10" t="b">
        <v>0</v>
      </c>
      <c r="L911" s="10" t="b">
        <v>0</v>
      </c>
      <c r="M911" s="10" t="b">
        <v>0</v>
      </c>
      <c r="N911" s="10" t="b">
        <v>0</v>
      </c>
      <c r="O911" s="11" t="b">
        <f t="shared" si="1"/>
        <v>0</v>
      </c>
      <c r="P911" s="16" t="b">
        <v>0</v>
      </c>
      <c r="Q911" s="7"/>
    </row>
    <row r="912">
      <c r="A912" s="5" t="b">
        <v>1</v>
      </c>
      <c r="B912" s="5" t="s">
        <v>958</v>
      </c>
      <c r="C912" s="6" t="str">
        <f>IFERROR(__xludf.DUMMYFUNCTION("""COMPUTED_VALUE"""),"10.1145/2884781.2884849")</f>
        <v>10.1145/2884781.2884849</v>
      </c>
      <c r="D912" s="7" t="str">
        <f>IFERROR(__xludf.DUMMYFUNCTION("""COMPUTED_VALUE"""),"Uesbeck P.M.; Stefik A.; Hanenberg S.; Pedersen J.; Daleiden P.")</f>
        <v>Uesbeck P.M.; Stefik A.; Hanenberg S.; Pedersen J.; Daleiden P.</v>
      </c>
      <c r="E912" s="7" t="str">
        <f>IFERROR(__xludf.DUMMYFUNCTION("""COMPUTED_VALUE"""),"An empirical study on the impact of C++ lambdas and programmer experience")</f>
        <v>An empirical study on the impact of C++ lambdas and programmer experience</v>
      </c>
      <c r="F912" s="7" t="str">
        <f>IFERROR(__xludf.DUMMYFUNCTION("""COMPUTED_VALUE"""),"ICSE")</f>
        <v>ICSE</v>
      </c>
      <c r="G912" s="7" t="str">
        <f>IFERROR(__xludf.DUMMYFUNCTION("""COMPUTED_VALUE"""),"Lambdas have seen increasing use in mainstream programming languages, notably in Java 8 and C++ 11. While the technical aspects of lambdas are known, we conducted the first randomized controlled trial on the human factors impact of C++ 11 lambdas compared"&amp;" to iterators. Because there has been recent debate on having students or professionals in experiments, we recruited undergraduates across the academic pipeline and professional programmers to evaluate these findings in a broader context. Results afford s"&amp;"ome doubt that lambdas benefit developers and show evidence that students are negatively impacted in regard to how quickly they can write correct programs to a test specification and whether they can complete a task. Analysis from log data shows that part"&amp;"icipants spent more time with compiler errors, and have more errors, when using lambdas as compared to iterators, suggesting difficulty with the syntax chosen for C++. Finally, experienced users were more likely to complete tasks, with or without lambdas,"&amp;" and could do so more quickly, with experience as a factor explaining 45.7% of the variance in our sample in regard to completion time. © 2016 ACM.")</f>
        <v>Lambdas have seen increasing use in mainstream programming languages, notably in Java 8 and C++ 11. While the technical aspects of lambdas are known, we conducted the first randomized controlled trial on the human factors impact of C++ 11 lambdas compared to iterators. Because there has been recent debate on having students or professionals in experiments, we recruited undergraduates across the academic pipeline and professional programmers to evaluate these findings in a broader context. Results afford some doubt that lambdas benefit developers and show evidence that students are negatively impacted in regard to how quickly they can write correct programs to a test specification and whether they can complete a task. Analysis from log data shows that participants spent more time with compiler errors, and have more errors, when using lambdas as compared to iterators, suggesting difficulty with the syntax chosen for C++. Finally, experienced users were more likely to complete tasks, with or without lambdas, and could do so more quickly, with experience as a factor explaining 45.7% of the variance in our sample in regard to completion time. © 2016 ACM.</v>
      </c>
      <c r="H912" s="8" t="str">
        <f>IFERROR(__xludf.DUMMYFUNCTION("""COMPUTED_VALUE"""),"C++11; Human Factors; Lambda Expressions")</f>
        <v>C++11; Human Factors; Lambda Expressions</v>
      </c>
      <c r="I912" s="9" t="b">
        <v>1</v>
      </c>
      <c r="J912" s="10" t="b">
        <v>0</v>
      </c>
      <c r="K912" s="9" t="b">
        <v>1</v>
      </c>
      <c r="L912" s="10" t="b">
        <v>0</v>
      </c>
      <c r="M912" s="10" t="b">
        <v>0</v>
      </c>
      <c r="N912" s="10" t="b">
        <v>0</v>
      </c>
      <c r="O912" s="11" t="b">
        <f t="shared" si="1"/>
        <v>0</v>
      </c>
      <c r="P912" s="16" t="b">
        <v>0</v>
      </c>
      <c r="Q912" s="7"/>
    </row>
    <row r="913">
      <c r="A913" s="5" t="b">
        <v>1</v>
      </c>
      <c r="B913" s="5" t="s">
        <v>959</v>
      </c>
      <c r="C913" s="6" t="str">
        <f>IFERROR(__xludf.DUMMYFUNCTION("""COMPUTED_VALUE"""),"10.1145/3194718.3194725")</f>
        <v>10.1145/3194718.3194725</v>
      </c>
      <c r="D913" s="7" t="str">
        <f>IFERROR(__xludf.DUMMYFUNCTION("""COMPUTED_VALUE"""),"Molina F.; Degiovanni R.; Regis G.; Castro P.; Aguirre N.; Frias M.")</f>
        <v>Molina F.; Degiovanni R.; Regis G.; Castro P.; Aguirre N.; Frias M.</v>
      </c>
      <c r="E913" s="7" t="str">
        <f>IFERROR(__xludf.DUMMYFUNCTION("""COMPUTED_VALUE"""),"From operational to declarative specifications using a genetic algorithm")</f>
        <v>From operational to declarative specifications using a genetic algorithm</v>
      </c>
      <c r="F913" s="7" t="str">
        <f>IFERROR(__xludf.DUMMYFUNCTION("""COMPUTED_VALUE"""),"ICSE")</f>
        <v>ICSE</v>
      </c>
      <c r="G913" s="7" t="str">
        <f>IFERROR(__xludf.DUMMYFUNCTION("""COMPUTED_VALUE"""),"In specification-based test generation, sometimes having a formal specification is not sufficient, since the specification may be in a different formalism from that required by the generation approach being used. In this paper, we deal with this problem s"&amp;"pecifically in the context in which, while having a formal specification in the form of an operational invariant written in a sequential programming language, one needs, for test generation, a declarative invariant in a logical formalism. We propose a gen"&amp;"etic algorithm that given a catalog of common properties of invariants, such as acyclicity, sortedness and balance, attempts to evolve a conjunction of these that most accurately approximates an original operational specification. We present some details "&amp;"of the algorithm, and an experimental evaluation based on a benchmark of data structures, for which we evolve declarative logical invariants from operational ones. © 2018 ACM.")</f>
        <v>In specification-based test generation, sometimes having a formal specification is not sufficient, since the specification may be in a different formalism from that required by the generation approach being used. In this paper, we deal with this problem specifically in the context in which, while having a formal specification in the form of an operational invariant written in a sequential programming language, one needs, for test generation, a declarative invariant in a logical formalism. We propose a genetic algorithm that given a catalog of common properties of invariants, such as acyclicity, sortedness and balance, attempts to evolve a conjunction of these that most accurately approximates an original operational specification. We present some details of the algorithm, and an experimental evaluation based on a benchmark of data structures, for which we evolve declarative logical invariants from operational ones. © 2018 ACM.</v>
      </c>
      <c r="H913" s="8"/>
      <c r="I913" s="10" t="b">
        <v>0</v>
      </c>
      <c r="J913" s="10" t="b">
        <v>0</v>
      </c>
      <c r="K913" s="10" t="b">
        <v>0</v>
      </c>
      <c r="L913" s="10" t="b">
        <v>0</v>
      </c>
      <c r="M913" s="10" t="b">
        <v>0</v>
      </c>
      <c r="N913" s="10" t="b">
        <v>0</v>
      </c>
      <c r="O913" s="11" t="b">
        <f t="shared" si="1"/>
        <v>0</v>
      </c>
      <c r="P913" s="16" t="b">
        <v>0</v>
      </c>
      <c r="Q913" s="7"/>
    </row>
    <row r="914">
      <c r="A914" s="5" t="b">
        <v>1</v>
      </c>
      <c r="B914" s="5" t="s">
        <v>960</v>
      </c>
      <c r="C914" s="6" t="str">
        <f>IFERROR(__xludf.DUMMYFUNCTION("""COMPUTED_VALUE"""),"10.1145/3196398.3196446")</f>
        <v>10.1145/3196398.3196446</v>
      </c>
      <c r="D914" s="7" t="str">
        <f>IFERROR(__xludf.DUMMYFUNCTION("""COMPUTED_VALUE"""),"Ma Y.; Fakhoury S.; Christensen M.; Arnaoudova V.; Zogaan W.; Mirakhorli M.")</f>
        <v>Ma Y.; Fakhoury S.; Christensen M.; Arnaoudova V.; Zogaan W.; Mirakhorli M.</v>
      </c>
      <c r="E914" s="7" t="str">
        <f>IFERROR(__xludf.DUMMYFUNCTION("""COMPUTED_VALUE"""),"Automatic classification of software artifacts in open-source applications")</f>
        <v>Automatic classification of software artifacts in open-source applications</v>
      </c>
      <c r="F914" s="7" t="str">
        <f>IFERROR(__xludf.DUMMYFUNCTION("""COMPUTED_VALUE"""),"ICSE")</f>
        <v>ICSE</v>
      </c>
      <c r="G914" s="7" t="str">
        <f>IFERROR(__xludf.DUMMYFUNCTION("""COMPUTED_VALUE"""),"With the increasing popularity of open-source software development, there is a tremendous growth of software artifacts that provide insight into how people build software. Researchers are always looking for large-scale and representative software artifact"&amp;"s to produce systematic and unbiased validation of novel and existing techniques. For example, in the domain of software requirements traceability, researchers often use software applications with multiple types of artifacts, such as requirements, system "&amp;"elements, verifications, or tasks to develop and evaluate their traceability analysis techniques. However, the manual identification of rich software artifacts is very labor-intensive. In this work, we first conduct a large-scale study to identify which t"&amp;"ypes of software artifacts are produced by a wide variety of open-source projects at different levels of granularity. Then we propose an automated approach based on Machine Learning techniques to identify various types of software artifacts. Through a set"&amp;" of experiments, we report and compare the performance of these algorithms when applied to software artifacts. © 2018 ACM.")</f>
        <v>With the increasing popularity of open-source software development, there is a tremendous growth of software artifacts that provide insight into how people build software. Researchers are always looking for large-scale and representative software artifacts to produce systematic and unbiased validation of novel and existing techniques. For example, in the domain of software requirements traceability, researchers often use software applications with multiple types of artifacts, such as requirements, system elements, verifications, or tasks to develop and evaluate their traceability analysis techniques. However, the manual identification of rich software artifacts is very labor-intensive. In this work, we first conduct a large-scale study to identify which types of software artifacts are produced by a wide variety of open-source projects at different levels of granularity. Then we propose an automated approach based on Machine Learning techniques to identify various types of software artifacts. Through a set of experiments, we report and compare the performance of these algorithms when applied to software artifacts. © 2018 ACM.</v>
      </c>
      <c r="H914" s="8" t="str">
        <f>IFERROR(__xludf.DUMMYFUNCTION("""COMPUTED_VALUE"""),"machine learning; open-source software; software artifacts")</f>
        <v>machine learning; open-source software; software artifacts</v>
      </c>
      <c r="I914" s="10" t="b">
        <v>0</v>
      </c>
      <c r="J914" s="10" t="b">
        <v>0</v>
      </c>
      <c r="K914" s="10" t="b">
        <v>0</v>
      </c>
      <c r="L914" s="10" t="b">
        <v>0</v>
      </c>
      <c r="M914" s="10" t="b">
        <v>0</v>
      </c>
      <c r="N914" s="10" t="b">
        <v>0</v>
      </c>
      <c r="O914" s="11" t="b">
        <f t="shared" si="1"/>
        <v>0</v>
      </c>
      <c r="P914" s="16" t="b">
        <v>0</v>
      </c>
      <c r="Q914" s="7"/>
    </row>
    <row r="915">
      <c r="A915" s="5" t="b">
        <v>1</v>
      </c>
      <c r="B915" s="5" t="s">
        <v>961</v>
      </c>
      <c r="C915" s="6" t="str">
        <f>IFERROR(__xludf.DUMMYFUNCTION("""COMPUTED_VALUE"""),"10.1145/3510003.3510171")</f>
        <v>10.1145/3510003.3510171</v>
      </c>
      <c r="D915" s="7" t="str">
        <f>IFERROR(__xludf.DUMMYFUNCTION("""COMPUTED_VALUE"""),"He J.; Bartocci E.; Nickovic D.; Isakovic H.; Grosu R.")</f>
        <v>He J.; Bartocci E.; Nickovic D.; Isakovic H.; Grosu R.</v>
      </c>
      <c r="E915" s="7" t="str">
        <f>IFERROR(__xludf.DUMMYFUNCTION("""COMPUTED_VALUE"""),"DeepSTL - From English Requirements to Signal Temporal Logic")</f>
        <v>DeepSTL - From English Requirements to Signal Temporal Logic</v>
      </c>
      <c r="F915" s="7" t="str">
        <f>IFERROR(__xludf.DUMMYFUNCTION("""COMPUTED_VALUE"""),"ICSE")</f>
        <v>ICSE</v>
      </c>
      <c r="G915" s="7" t="str">
        <f>IFERROR(__xludf.DUMMYFUNCTION("""COMPUTED_VALUE"""),"Formal methods provide very powerful tools and techniques for the design and analysis of complex systems. Their practical application remains however limited, due to the widely accepted belief that formal methods require extensive expertise and a steep le"&amp;"arning curve. Writing correct formal specifications in form of logical formulas is still considered to be a difficult and error prone task. In this paper we propose DeepSTL, a tool and technique for the translation of informal requirements, given as free "&amp;"English sentences, into Signal Temporal Logic (STL), a formal specification language for cyber-physical systems, used both by academia and advanced research labs in industry. A major challenge to devise such a translator is the lack of publicly available "&amp;"informal requirements and formal specifications. We propose a two-step workflow to address this challenge. We first design a grammar-based generation technique of synthetic data, where each output is a random STL formula and its associated set of possible"&amp;" English translations. In the second step, we use a state-of-the-art transformer-based neural translation technique, to train an accurate attentional translator of English to STL. The experimental results show high translation quality for patterns of Engl"&amp;"ish requirements that have been well trained, making this workflow promising to be extended for processing more complex translation tasks. © 2022 ACM.")</f>
        <v>Formal methods provide very powerful tools and techniques for the design and analysis of complex systems. Their practical application remains however limited, due to the widely accepted belief that formal methods require extensive expertise and a steep learning curve. Writing correct formal specifications in form of logical formulas is still considered to be a difficult and error prone task. In this paper we propose DeepSTL, a tool and technique for the translation of informal requirements, given as free English sentences, into Signal Temporal Logic (STL), a formal specification language for cyber-physical systems, used both by academia and advanced research labs in industry. A major challenge to devise such a translator is the lack of publicly available informal requirements and formal specifications. We propose a two-step workflow to address this challenge. We first design a grammar-based generation technique of synthetic data, where each output is a random STL formula and its associated set of possible English translations. In the second step, we use a state-of-the-art transformer-based neural translation technique, to train an accurate attentional translator of English to STL. The experimental results show high translation quality for patterns of English requirements that have been well trained, making this workflow promising to be extended for processing more complex translation tasks. © 2022 ACM.</v>
      </c>
      <c r="H915" s="8" t="str">
        <f>IFERROR(__xludf.DUMMYFUNCTION("""COMPUTED_VALUE"""),"Formal Specification; Machine Translation; Requirements Engineering; Signal Temporal Logic (STL)")</f>
        <v>Formal Specification; Machine Translation; Requirements Engineering; Signal Temporal Logic (STL)</v>
      </c>
      <c r="I915" s="10" t="b">
        <v>0</v>
      </c>
      <c r="J915" s="10" t="b">
        <v>0</v>
      </c>
      <c r="K915" s="10" t="b">
        <v>0</v>
      </c>
      <c r="L915" s="10" t="b">
        <v>0</v>
      </c>
      <c r="M915" s="10" t="b">
        <v>0</v>
      </c>
      <c r="N915" s="10" t="b">
        <v>0</v>
      </c>
      <c r="O915" s="11" t="b">
        <f t="shared" si="1"/>
        <v>0</v>
      </c>
      <c r="P915" s="16" t="b">
        <v>0</v>
      </c>
      <c r="Q915" s="7"/>
    </row>
    <row r="916">
      <c r="A916" s="5" t="b">
        <v>1</v>
      </c>
      <c r="B916" s="5" t="s">
        <v>962</v>
      </c>
      <c r="C916" s="6" t="str">
        <f>IFERROR(__xludf.DUMMYFUNCTION("""COMPUTED_VALUE"""),"10.1145/1809223.1809230")</f>
        <v>10.1145/1809223.1809230</v>
      </c>
      <c r="D916" s="7" t="str">
        <f>IFERROR(__xludf.DUMMYFUNCTION("""COMPUTED_VALUE"""),"Lind K.; Heldal R.")</f>
        <v>Lind K.; Heldal R.</v>
      </c>
      <c r="E916" s="7" t="str">
        <f>IFERROR(__xludf.DUMMYFUNCTION("""COMPUTED_VALUE"""),"On the relationship between functional size and software code size")</f>
        <v>On the relationship between functional size and software code size</v>
      </c>
      <c r="F916" s="7" t="str">
        <f>IFERROR(__xludf.DUMMYFUNCTION("""COMPUTED_VALUE"""),"ICSE")</f>
        <v>ICSE</v>
      </c>
      <c r="G916" s="7" t="str">
        <f>IFERROR(__xludf.DUMMYFUNCTION("""COMPUTED_VALUE"""),"SLOC (Source Lines-Of-Code) has been used extensively as a Code Size Measure, and as input to parametric software cost and effort estimation tools. SLOC is obtained by measuring FP (Function Points) on the requirements and multiplying by the SLOC/FP ratio"&amp;" from similar projects. This is done even though several studies show large variations in this ratio, due to weak correlation between FP and SLOC. However, in our previous experiments we have obtained strong correlation between CFP (COSMIC Function Points"&amp;") and Bytes compiled code as Code Size Measure. The experiments were conducted in the automotive industry using software components developed by GM (General Motors). In this paper we explain the reasons behind the strong correlation. The main reasons are "&amp;"that we apply the COSMIC method on software components of similar type, with a 1-to-1 mapping to COSMIC. A strong correlation between the Functional Size Measure and the Code Size Measure is required to obtain accurate Code Size estimation results. To est"&amp;"imate the Code Size before the software is available, is important both for Cost/Effort estimation and design of electronic hardware. © 2010 ACM.")</f>
        <v>SLOC (Source Lines-Of-Code) has been used extensively as a Code Size Measure, and as input to parametric software cost and effort estimation tools. SLOC is obtained by measuring FP (Function Points) on the requirements and multiplying by the SLOC/FP ratio from similar projects. This is done even though several studies show large variations in this ratio, due to weak correlation between FP and SLOC. However, in our previous experiments we have obtained strong correlation between CFP (COSMIC Function Points) and Bytes compiled code as Code Size Measure. The experiments were conducted in the automotive industry using software components developed by GM (General Motors). In this paper we explain the reasons behind the strong correlation. The main reasons are that we apply the COSMIC method on software components of similar type, with a 1-to-1 mapping to COSMIC. A strong correlation between the Functional Size Measure and the Code Size Measure is required to obtain accurate Code Size estimation results. To estimate the Code Size before the software is available, is important both for Cost/Effort estimation and design of electronic hardware. © 2010 ACM.</v>
      </c>
      <c r="H916" s="8" t="str">
        <f>IFERROR(__xludf.DUMMYFUNCTION("""COMPUTED_VALUE"""),"bytes; COSMIC function points; functional size measurement; software code size; source lines-of-code; system architecture; UML components")</f>
        <v>bytes; COSMIC function points; functional size measurement; software code size; source lines-of-code; system architecture; UML components</v>
      </c>
      <c r="I916" s="10" t="b">
        <v>0</v>
      </c>
      <c r="J916" s="10" t="b">
        <v>0</v>
      </c>
      <c r="K916" s="10" t="b">
        <v>0</v>
      </c>
      <c r="L916" s="10" t="b">
        <v>0</v>
      </c>
      <c r="M916" s="10" t="b">
        <v>0</v>
      </c>
      <c r="N916" s="10" t="b">
        <v>0</v>
      </c>
      <c r="O916" s="11" t="b">
        <f t="shared" si="1"/>
        <v>0</v>
      </c>
      <c r="P916" s="16" t="b">
        <v>0</v>
      </c>
      <c r="Q916" s="7"/>
    </row>
    <row r="917">
      <c r="A917" s="5" t="b">
        <v>1</v>
      </c>
      <c r="B917" s="5" t="s">
        <v>963</v>
      </c>
      <c r="C917" s="6" t="str">
        <f>IFERROR(__xludf.DUMMYFUNCTION("""COMPUTED_VALUE"""),"10.1145/3183440.3194960")</f>
        <v>10.1145/3183440.3194960</v>
      </c>
      <c r="D917" s="7" t="str">
        <f>IFERROR(__xludf.DUMMYFUNCTION("""COMPUTED_VALUE"""),"Huang Y.; Jia N.; Zhou Q.; Chen X.; Xiong Y.; Luo X.")</f>
        <v>Huang Y.; Jia N.; Zhou Q.; Chen X.; Xiong Y.; Luo X.</v>
      </c>
      <c r="E917" s="7" t="str">
        <f>IFERROR(__xludf.DUMMYFUNCTION("""COMPUTED_VALUE"""),"Poster: Guiding developers to make informative commenting decisions in source code")</f>
        <v>Poster: Guiding developers to make informative commenting decisions in source code</v>
      </c>
      <c r="F917" s="7" t="str">
        <f>IFERROR(__xludf.DUMMYFUNCTION("""COMPUTED_VALUE"""),"ICSE")</f>
        <v>ICSE</v>
      </c>
      <c r="G917" s="7" t="str">
        <f>IFERROR(__xludf.DUMMYFUNCTION("""COMPUTED_VALUE"""),"Code commenting is a common programming practice of practical importance to help developers review and comprehend source code. However, there is a lack of thorough specifications to help developers make their commenting decisions in current practice. To r"&amp;"educe the effort of making commenting decisions, we propose a novel method, CommentSuggester, to guide developers regarding appropriate commenting locations in the source code. We extract context information of source code and employ machine learning tech"&amp;"niques to identify possible commenting locations in the source code. The encouraging experimental results demonstrated the feasibility and effectiveness of our commenting suggestion method. © 2018 Authors.")</f>
        <v>Code commenting is a common programming practice of practical importance to help developers review and comprehend source code. However, there is a lack of thorough specifications to help developers make their commenting decisions in current practice. To reduce the effort of making commenting decisions, we propose a novel method, CommentSuggester, to guide developers regarding appropriate commenting locations in the source code. We extract context information of source code and employ machine learning techniques to identify possible commenting locations in the source code. The encouraging experimental results demonstrated the feasibility and effectiveness of our commenting suggestion method. © 2018 Authors.</v>
      </c>
      <c r="H917" s="8"/>
      <c r="I917" s="10" t="b">
        <v>0</v>
      </c>
      <c r="J917" s="10" t="b">
        <v>0</v>
      </c>
      <c r="K917" s="10" t="b">
        <v>0</v>
      </c>
      <c r="L917" s="10" t="b">
        <v>0</v>
      </c>
      <c r="M917" s="10" t="b">
        <v>0</v>
      </c>
      <c r="N917" s="10" t="b">
        <v>0</v>
      </c>
      <c r="O917" s="11" t="b">
        <f t="shared" si="1"/>
        <v>0</v>
      </c>
      <c r="P917" s="16" t="b">
        <v>0</v>
      </c>
      <c r="Q917" s="7"/>
    </row>
    <row r="918">
      <c r="A918" s="5" t="b">
        <v>1</v>
      </c>
      <c r="B918" s="5" t="s">
        <v>964</v>
      </c>
      <c r="C918" s="6"/>
      <c r="D918" s="7"/>
      <c r="E918" s="7" t="str">
        <f>IFERROR(__xludf.DUMMYFUNCTION("""COMPUTED_VALUE"""),"Proceedings - 2017 IEEE/ACM 39th International Conference on Software Engineering: Software Engineering in Practice Track, ICSE-SEIP 2017")</f>
        <v>Proceedings - 2017 IEEE/ACM 39th International Conference on Software Engineering: Software Engineering in Practice Track, ICSE-SEIP 2017</v>
      </c>
      <c r="F918" s="7" t="str">
        <f>IFERROR(__xludf.DUMMYFUNCTION("""COMPUTED_VALUE"""),"ICSE")</f>
        <v>ICSE</v>
      </c>
      <c r="G918" s="7" t="str">
        <f>IFERROR(__xludf.DUMMYFUNCTION("""COMPUTED_VALUE"""),"The proceedings contain 30 papers. The topics discussed include: what is the perception of female and male software professionals on performance, team dynamics and job satisfaction? insights from the trenches; towards continuous delivery by reducing the f"&amp;"eature freeze period: a case study; transferring code-clone detection and analysis to practice; software quality concerns in the Italian bank sector: the emergence of a meta-quality dimension; CrowdAdvisor: a framework for freelancer assessment in online "&amp;"marketplace; leveraging crowdsourcing for team elasticity: an empirical evaluation at topcoder; who broke the build? automatically identifying changes that induce test failures in continuous integration at Google scale; characterizing experimentation in c"&amp;"ontinuous deployment: a case study on Bing; online robustness testing of distributed embedded systems: an industrial approach; agile cultural challenges in Europe and Asia: insights from practitioners; scaling agile development in mechatronic organization"&amp;"s-a comparative case study; context-based analytics-establishing explicit links between runtime traces and source code; automated example oriented REST API documentation at Cisco; and supporting defect causal analysis in practice with cross-company data o"&amp;"n causes of requirements engineering problems.")</f>
        <v>The proceedings contain 30 papers. The topics discussed include: what is the perception of female and male software professionals on performance, team dynamics and job satisfaction? insights from the trenches; towards continuous delivery by reducing the feature freeze period: a case study; transferring code-clone detection and analysis to practice; software quality concerns in the Italian bank sector: the emergence of a meta-quality dimension; CrowdAdvisor: a framework for freelancer assessment in online marketplace; leveraging crowdsourcing for team elasticity: an empirical evaluation at topcoder; who broke the build? automatically identifying changes that induce test failures in continuous integration at Google scale; characterizing experimentation in continuous deployment: a case study on Bing; online robustness testing of distributed embedded systems: an industrial approach; agile cultural challenges in Europe and Asia: insights from practitioners; scaling agile development in mechatronic organizations-a comparative case study; context-based analytics-establishing explicit links between runtime traces and source code; automated example oriented REST API documentation at Cisco; and supporting defect causal analysis in practice with cross-company data on causes of requirements engineering problems.</v>
      </c>
      <c r="H918" s="8"/>
      <c r="I918" s="10" t="b">
        <v>0</v>
      </c>
      <c r="J918" s="10" t="b">
        <v>0</v>
      </c>
      <c r="K918" s="10" t="b">
        <v>0</v>
      </c>
      <c r="L918" s="10" t="b">
        <v>0</v>
      </c>
      <c r="M918" s="10" t="b">
        <v>0</v>
      </c>
      <c r="N918" s="10" t="b">
        <v>0</v>
      </c>
      <c r="O918" s="11" t="b">
        <f t="shared" si="1"/>
        <v>0</v>
      </c>
      <c r="P918" s="16" t="b">
        <v>0</v>
      </c>
      <c r="Q918" s="7"/>
    </row>
    <row r="919">
      <c r="A919" s="5" t="b">
        <v>1</v>
      </c>
      <c r="B919" s="5" t="s">
        <v>965</v>
      </c>
      <c r="C919" s="6" t="str">
        <f>IFERROR(__xludf.DUMMYFUNCTION("""COMPUTED_VALUE"""),"10.1145/1988630.1988640")</f>
        <v>10.1145/1988630.1988640</v>
      </c>
      <c r="D919" s="7" t="str">
        <f>IFERROR(__xludf.DUMMYFUNCTION("""COMPUTED_VALUE"""),"Bae K.S.; Ahn M.K.; Lee H.J.; Ha J.C.; Moon S.J.")</f>
        <v>Bae K.S.; Ahn M.K.; Lee H.J.; Ha J.C.; Moon S.J.</v>
      </c>
      <c r="E919" s="7" t="str">
        <f>IFERROR(__xludf.DUMMYFUNCTION("""COMPUTED_VALUE"""),"Power analysis attack and countermeasure on the rabbit stream cipher")</f>
        <v>Power analysis attack and countermeasure on the rabbit stream cipher</v>
      </c>
      <c r="F919" s="7" t="str">
        <f>IFERROR(__xludf.DUMMYFUNCTION("""COMPUTED_VALUE"""),"ICSE")</f>
        <v>ICSE</v>
      </c>
      <c r="G919" s="7" t="str">
        <f>IFERROR(__xludf.DUMMYFUNCTION("""COMPUTED_VALUE"""),"Recently, there has been extensive research on mobile devices and stream cipher to increase security. The Rabbit stream cipher was selected for the final eSTREAM portfolio organized by EU ECRYPT and as one of algorithms of the ISO/IEC 18033-4 Stream Ciphe"&amp;"rs on ISO Security Standardization. As the Rabbit evaluated the complexity of side-channel analysis attack as 'medium' in a theoretical approach, the method of correlation power analysis attack and the feasibility of a practical power analysis attack in t"&amp;"he experiments are described in this paper. We also propose a countermeasure with random masking and hiding schemes for linear operation. We construct the algorithm of the countermeasure with an additional operating time of 24% with 12.3% increased memory"&amp;" requirements to maintain high-speed performance. We use an eight-bit RISC AVR microprocessor (ATmega 128L) to implement our methods to show that the proposed method is secure against correlation power analysis attacks in practical experiments. © 2011 ACM"&amp;".")</f>
        <v>Recently, there has been extensive research on mobile devices and stream cipher to increase security. The Rabbit stream cipher was selected for the final eSTREAM portfolio organized by EU ECRYPT and as one of algorithms of the ISO/IEC 18033-4 Stream Ciphers on ISO Security Standardization. As the Rabbit evaluated the complexity of side-channel analysis attack as 'medium' in a theoretical approach, the method of correlation power analysis attack and the feasibility of a practical power analysis attack in the experiments are described in this paper. We also propose a countermeasure with random masking and hiding schemes for linear operation. We construct the algorithm of the countermeasure with an additional operating time of 24% with 12.3% increased memory requirements to maintain high-speed performance. We use an eight-bit RISC AVR microprocessor (ATmega 128L) to implement our methods to show that the proposed method is secure against correlation power analysis attacks in practical experiments. © 2011 ACM.</v>
      </c>
      <c r="H919" s="8" t="str">
        <f>IFERROR(__xludf.DUMMYFUNCTION("""COMPUTED_VALUE"""),"Countermeasures; Hiding scheme; Masking scheme; Power analysis attacks; Rabbit stream cipher")</f>
        <v>Countermeasures; Hiding scheme; Masking scheme; Power analysis attacks; Rabbit stream cipher</v>
      </c>
      <c r="I919" s="10" t="b">
        <v>0</v>
      </c>
      <c r="J919" s="10" t="b">
        <v>0</v>
      </c>
      <c r="K919" s="10" t="b">
        <v>0</v>
      </c>
      <c r="L919" s="10" t="b">
        <v>0</v>
      </c>
      <c r="M919" s="10" t="b">
        <v>0</v>
      </c>
      <c r="N919" s="10" t="b">
        <v>0</v>
      </c>
      <c r="O919" s="11" t="b">
        <f t="shared" si="1"/>
        <v>0</v>
      </c>
      <c r="P919" s="16" t="b">
        <v>0</v>
      </c>
      <c r="Q919" s="7"/>
    </row>
    <row r="920">
      <c r="A920" s="5" t="b">
        <v>1</v>
      </c>
      <c r="B920" s="5" t="s">
        <v>966</v>
      </c>
      <c r="C920" s="6" t="str">
        <f>IFERROR(__xludf.DUMMYFUNCTION("""COMPUTED_VALUE"""),"10.1145/1985793.1986029")</f>
        <v>10.1145/1985793.1986029</v>
      </c>
      <c r="D920" s="7" t="str">
        <f>IFERROR(__xludf.DUMMYFUNCTION("""COMPUTED_VALUE"""),"Kumar S.")</f>
        <v>Kumar S.</v>
      </c>
      <c r="E920" s="7" t="str">
        <f>IFERROR(__xludf.DUMMYFUNCTION("""COMPUTED_VALUE"""),"Specification mining in concurrent and distributed systems")</f>
        <v>Specification mining in concurrent and distributed systems</v>
      </c>
      <c r="F920" s="7" t="str">
        <f>IFERROR(__xludf.DUMMYFUNCTION("""COMPUTED_VALUE"""),"ICSE")</f>
        <v>ICSE</v>
      </c>
      <c r="G920" s="7" t="str">
        <f>IFERROR(__xludf.DUMMYFUNCTION("""COMPUTED_VALUE"""),"Dynamic specification mining involves discovering software behavior from traces for the purpose of program comprehension and bug detection. However, in concurrent/distributed programs, the inherent partial order relationships among events occurring across"&amp;" processes pose a big challenge to specification mining. A framework for mining partial orders that takes in a set of concurrent program traces, and produces a message sequence graph (MSG) is proposed. Mining an MSG allows one to understand concurrent beh"&amp;"aviors since the nodes of the MSG depict important ""phases"" or ""interaction snippets"" involving several concurrently executing processes. Experiments on mining behaviors of fairly complex distributed systems show that the proposed miner can produce th"&amp;"e corresponding MSGs with both high precision and high recall. © 2011 Author.")</f>
        <v>Dynamic specification mining involves discovering software behavior from traces for the purpose of program comprehension and bug detection. However, in concurrent/distributed programs, the inherent partial order relationships among events occurring across processes pose a big challenge to specification mining. A framework for mining partial orders that takes in a set of concurrent program traces, and produces a message sequence graph (MSG) is proposed. Mining an MSG allows one to understand concurrent behaviors since the nodes of the MSG depict important "phases" or "interaction snippets" involving several concurrently executing processes. Experiments on mining behaviors of fairly complex distributed systems show that the proposed miner can produce the corresponding MSGs with both high precision and high recall. © 2011 Author.</v>
      </c>
      <c r="H920" s="8" t="str">
        <f>IFERROR(__xludf.DUMMYFUNCTION("""COMPUTED_VALUE"""),"distributed systems; specification mining")</f>
        <v>distributed systems; specification mining</v>
      </c>
      <c r="I920" s="10" t="b">
        <v>0</v>
      </c>
      <c r="J920" s="10" t="b">
        <v>0</v>
      </c>
      <c r="K920" s="10" t="b">
        <v>0</v>
      </c>
      <c r="L920" s="10" t="b">
        <v>0</v>
      </c>
      <c r="M920" s="10" t="b">
        <v>0</v>
      </c>
      <c r="N920" s="10" t="b">
        <v>0</v>
      </c>
      <c r="O920" s="11" t="b">
        <f t="shared" si="1"/>
        <v>0</v>
      </c>
      <c r="P920" s="16" t="b">
        <v>0</v>
      </c>
      <c r="Q920" s="7"/>
    </row>
    <row r="921">
      <c r="A921" s="5" t="b">
        <v>1</v>
      </c>
      <c r="B921" s="5" t="s">
        <v>967</v>
      </c>
      <c r="C921" s="6" t="str">
        <f>IFERROR(__xludf.DUMMYFUNCTION("""COMPUTED_VALUE"""),"10.1109/ICSE.2012.6227178")</f>
        <v>10.1109/ICSE.2012.6227178</v>
      </c>
      <c r="D921" s="7" t="str">
        <f>IFERROR(__xludf.DUMMYFUNCTION("""COMPUTED_VALUE"""),"McMillan C.; Grechanik M.; Poshyvanyk D.")</f>
        <v>McMillan C.; Grechanik M.; Poshyvanyk D.</v>
      </c>
      <c r="E921" s="7" t="str">
        <f>IFERROR(__xludf.DUMMYFUNCTION("""COMPUTED_VALUE"""),"Detecting similar software applications")</f>
        <v>Detecting similar software applications</v>
      </c>
      <c r="F921" s="7" t="str">
        <f>IFERROR(__xludf.DUMMYFUNCTION("""COMPUTED_VALUE"""),"ICSE")</f>
        <v>ICSE</v>
      </c>
      <c r="G921" s="7" t="str">
        <f>IFERROR(__xludf.DUMMYFUNCTION("""COMPUTED_VALUE"""),"Although popular text search engines allow users to retrieve similar web pages, source code search engines do not have this feature. Detecting similar applications is a notoriously difficult problem, since it implies that similar highlevel requirements an"&amp;"d their low-level implementations can be detected and matched automatically for different applications. We created a novel approach for automatically detecting Closely reLated ApplicatioNs (CLAN) that helps users detect similar applications for a given Ja"&amp;"va application. Our main contributions are an extension to a framework of relevance and a novel algorithm that computes a similarity index between Java applications using the notion of semantic layers that correspond to packages and class hierarchies. We "&amp;"have built CLAN and we conducted an experiment with 33 participants to evaluate CLAN and compare it with the closest competitive approach, MUDABlue. The results show with strong statistical significance that CLAN automatically detects similar applications"&amp;" from a large repository of 8,310 Java applications with a higher precision than MUDABlue. © 2012 IEEE.")</f>
        <v>Although popular text search engines allow users to retrieve similar web pages, source code search engines do not have this feature. Detecting similar applications is a notoriously difficult problem, since it implies that similar highlevel requirements and their low-level implementations can be detected and matched automatically for different applications. We created a novel approach for automatically detecting Closely reLated ApplicatioNs (CLAN) that helps users detect similar applications for a given Java application. Our main contributions are an extension to a framework of relevance and a novel algorithm that computes a similarity index between Java applications using the notion of semantic layers that correspond to packages and class hierarchies. We have built CLAN and we conducted an experiment with 33 participants to evaluate CLAN and compare it with the closest competitive approach, MUDABlue. The results show with strong statistical significance that CLAN automatically detects similar applications from a large repository of 8,310 Java applications with a higher precision than MUDABlue. © 2012 IEEE.</v>
      </c>
      <c r="H921" s="8"/>
      <c r="I921" s="9" t="b">
        <v>1</v>
      </c>
      <c r="J921" s="10" t="b">
        <v>0</v>
      </c>
      <c r="K921" s="9" t="b">
        <v>1</v>
      </c>
      <c r="L921" s="10" t="b">
        <v>0</v>
      </c>
      <c r="M921" s="10" t="b">
        <v>0</v>
      </c>
      <c r="N921" s="10" t="b">
        <v>0</v>
      </c>
      <c r="O921" s="11" t="b">
        <f t="shared" si="1"/>
        <v>0</v>
      </c>
      <c r="P921" s="16" t="b">
        <v>0</v>
      </c>
      <c r="Q921" s="7"/>
    </row>
    <row r="922">
      <c r="A922" s="5" t="b">
        <v>1</v>
      </c>
      <c r="B922" s="5" t="s">
        <v>968</v>
      </c>
      <c r="C922" s="6" t="str">
        <f>IFERROR(__xludf.DUMMYFUNCTION("""COMPUTED_VALUE"""),"10.1109/ICSE-SEIP.2019.00019")</f>
        <v>10.1109/ICSE-SEIP.2019.00019</v>
      </c>
      <c r="D922" s="7" t="str">
        <f>IFERROR(__xludf.DUMMYFUNCTION("""COMPUTED_VALUE"""),"Leong C.; Singh A.; Papadakis M.; Le Traon Y.; Micco J.")</f>
        <v>Leong C.; Singh A.; Papadakis M.; Le Traon Y.; Micco J.</v>
      </c>
      <c r="E922" s="7" t="str">
        <f>IFERROR(__xludf.DUMMYFUNCTION("""COMPUTED_VALUE"""),"Assessing Transition-Based Test Selection Algorithms at Google")</f>
        <v>Assessing Transition-Based Test Selection Algorithms at Google</v>
      </c>
      <c r="F922" s="7" t="str">
        <f>IFERROR(__xludf.DUMMYFUNCTION("""COMPUTED_VALUE"""),"ICSE")</f>
        <v>ICSE</v>
      </c>
      <c r="G922" s="7" t="str">
        <f>IFERROR(__xludf.DUMMYFUNCTION("""COMPUTED_VALUE"""),"Continuous Integration traditionally relies on testing every code commit with all impacted tests. This practice requires considerable computational resources, which at Google scale, results in delayed test results and high operational costs. To deal with "&amp;"this issue and provide fast feedback, test selection and prioritization methods aim to execute the tests which are most likely to reveal changes in test results as soon as possible. In this paper we present a simulation framework to support the study and "&amp;"evaluation, with real data, of such techniques. We propose a test selection algorithm evaluation method, and detail several practical requirements which are often ignored by related work, such as the detection of transitions, the collection and analysis o"&amp;"f data, and the handling of flaky tests. Based on this framework, we design an experiment evaluating five potential regression test selection algorithms, based on simple heuristics and inspired by previous research, though the evaluation technique is appl"&amp;"icable to any number of algorithms for future experiments. Our results show that algorithms based on the recent (transition) execution history do not perform as well as expected (given the previously reported results) and that the test selection problem r"&amp;"emains largely open. We found that the best performing algorithms are based on the number of times a test has been triggered and the number of distinct authors committing code that triggers particular tests. More research is needed in order to close the g"&amp;"ap between the current approaches and the optimal solution. © 2019 IEEE.")</f>
        <v>Continuous Integration traditionally relies on testing every code commit with all impacted tests. This practice requires considerable computational resources, which at Google scale, results in delayed test results and high operational costs. To deal with this issue and provide fast feedback, test selection and prioritization methods aim to execute the tests which are most likely to reveal changes in test results as soon as possible. In this paper we present a simulation framework to support the study and evaluation, with real data, of such techniques. We propose a test selection algorithm evaluation method, and detail several practical requirements which are often ignored by related work, such as the detection of transitions, the collection and analysis of data, and the handling of flaky tests. Based on this framework, we design an experiment evaluating five potential regression test selection algorithms, based on simple heuristics and inspired by previous research, though the evaluation technique is applicable to any number of algorithms for future experiments. Our results show that algorithms based on the recent (transition) execution history do not perform as well as expected (given the previously reported results) and that the test selection problem remains largely open. We found that the best performing algorithms are based on the number of times a test has been triggered and the number of distinct authors committing code that triggers particular tests. More research is needed in order to close the gap between the current approaches and the optimal solution. © 2019 IEEE.</v>
      </c>
      <c r="H922" s="8" t="str">
        <f>IFERROR(__xludf.DUMMYFUNCTION("""COMPUTED_VALUE"""),"Continuous Integration; Regression Testing")</f>
        <v>Continuous Integration; Regression Testing</v>
      </c>
      <c r="I922" s="10" t="b">
        <v>0</v>
      </c>
      <c r="J922" s="10" t="b">
        <v>0</v>
      </c>
      <c r="K922" s="10" t="b">
        <v>0</v>
      </c>
      <c r="L922" s="10" t="b">
        <v>0</v>
      </c>
      <c r="M922" s="10" t="b">
        <v>0</v>
      </c>
      <c r="N922" s="10" t="b">
        <v>0</v>
      </c>
      <c r="O922" s="11" t="b">
        <f t="shared" si="1"/>
        <v>0</v>
      </c>
      <c r="P922" s="16" t="b">
        <v>0</v>
      </c>
      <c r="Q922" s="7"/>
    </row>
    <row r="923">
      <c r="A923" s="5" t="b">
        <v>1</v>
      </c>
      <c r="B923" s="5" t="s">
        <v>969</v>
      </c>
      <c r="C923" s="6" t="str">
        <f>IFERROR(__xludf.DUMMYFUNCTION("""COMPUTED_VALUE"""),"10.1145/3195555.3195562")</f>
        <v>10.1145/3195555.3195562</v>
      </c>
      <c r="D923" s="7" t="str">
        <f>IFERROR(__xludf.DUMMYFUNCTION("""COMPUTED_VALUE"""),"Mittal S.")</f>
        <v>Mittal S.</v>
      </c>
      <c r="E923" s="7" t="str">
        <f>IFERROR(__xludf.DUMMYFUNCTION("""COMPUTED_VALUE"""),"Self-organizing infrastructure for machine (deep) learning at scale")</f>
        <v>Self-organizing infrastructure for machine (deep) learning at scale</v>
      </c>
      <c r="F923" s="7" t="str">
        <f>IFERROR(__xludf.DUMMYFUNCTION("""COMPUTED_VALUE"""),"ICSE")</f>
        <v>ICSE</v>
      </c>
      <c r="G923" s="7" t="str">
        <f>IFERROR(__xludf.DUMMYFUNCTION("""COMPUTED_VALUE"""),"Building machine (deep) learning1 systems is hard. Computation requirements grow non-linearly with the complexity of the task at hand creating acute challenges relating to data dimensionality, complex model development, slow experiments, and scalability o"&amp;"f production deployments. The bulk of the ML/DL effort is consumed in infrastructure and data management. Automating such workflows has become the focus of recent research activity, so as to make ML/DL systems universally accessible. We extend these parad"&amp;"igms by infusing domain knowledge for infrastructure self-management. Key elements include understanding application design intent, fingerprinting the neural network for its computational, data and convergence properties, optimizing the implementation to "&amp;"achieving workload intent, and accelerating the neural network implementation in real-time hardware implementation. Keys to success require offline behavioural modelling coupled with online dynamic adaptation, made possible by the use of cognitive algorit"&amp;"hms that accumulate knowledge in a dynamic and continuously evolving knowledgebase. In this way, we use machine learning to automate AI infrastructure management to minimize human engineering, and significantly accelerating application performance. © 2018"&amp;" ACM.")</f>
        <v>Building machine (deep) learning1 systems is hard. Computation requirements grow non-linearly with the complexity of the task at hand creating acute challenges relating to data dimensionality, complex model development, slow experiments, and scalability of production deployments. The bulk of the ML/DL effort is consumed in infrastructure and data management. Automating such workflows has become the focus of recent research activity, so as to make ML/DL systems universally accessible. We extend these paradigms by infusing domain knowledge for infrastructure self-management. Key elements include understanding application design intent, fingerprinting the neural network for its computational, data and convergence properties, optimizing the implementation to achieving workload intent, and accelerating the neural network implementation in real-time hardware implementation. Keys to success require offline behavioural modelling coupled with online dynamic adaptation, made possible by the use of cognitive algorithms that accumulate knowledge in a dynamic and continuously evolving knowledgebase. In this way, we use machine learning to automate AI infrastructure management to minimize human engineering, and significantly accelerating application performance. © 2018 ACM.</v>
      </c>
      <c r="H923" s="8" t="str">
        <f>IFERROR(__xludf.DUMMYFUNCTION("""COMPUTED_VALUE"""),"cognitive infrastructure; deep learning; machine learning")</f>
        <v>cognitive infrastructure; deep learning; machine learning</v>
      </c>
      <c r="I923" s="10" t="b">
        <v>0</v>
      </c>
      <c r="J923" s="10" t="b">
        <v>0</v>
      </c>
      <c r="K923" s="10" t="b">
        <v>0</v>
      </c>
      <c r="L923" s="10" t="b">
        <v>0</v>
      </c>
      <c r="M923" s="10" t="b">
        <v>0</v>
      </c>
      <c r="N923" s="10" t="b">
        <v>0</v>
      </c>
      <c r="O923" s="11" t="b">
        <f t="shared" si="1"/>
        <v>0</v>
      </c>
      <c r="P923" s="16" t="b">
        <v>0</v>
      </c>
      <c r="Q923" s="7"/>
    </row>
    <row r="924">
      <c r="A924" s="5" t="b">
        <v>1</v>
      </c>
      <c r="B924" s="5" t="s">
        <v>970</v>
      </c>
      <c r="C924" s="6" t="str">
        <f>IFERROR(__xludf.DUMMYFUNCTION("""COMPUTED_VALUE"""),"10.1109/ICSE.2015.60")</f>
        <v>10.1109/ICSE.2015.60</v>
      </c>
      <c r="D924" s="7" t="str">
        <f>IFERROR(__xludf.DUMMYFUNCTION("""COMPUTED_VALUE"""),"Zhu J.; He P.; Fu Q.; Zhang H.; Lyu M.R.; Zhang D.")</f>
        <v>Zhu J.; He P.; Fu Q.; Zhang H.; Lyu M.R.; Zhang D.</v>
      </c>
      <c r="E924" s="7" t="str">
        <f>IFERROR(__xludf.DUMMYFUNCTION("""COMPUTED_VALUE"""),"Learning to log: Helping developers make informed logging decisions")</f>
        <v>Learning to log: Helping developers make informed logging decisions</v>
      </c>
      <c r="F924" s="7" t="str">
        <f>IFERROR(__xludf.DUMMYFUNCTION("""COMPUTED_VALUE"""),"ICSE")</f>
        <v>ICSE</v>
      </c>
      <c r="G924" s="7" t="str">
        <f>IFERROR(__xludf.DUMMYFUNCTION("""COMPUTED_VALUE"""),"Logging is a common programming practice of practical importance to collect system runtime information for postmortem analysis. Strategic logging placement is desired to cover necessary runtime information without incurring unintended consequences (e.g., "&amp;"performance overhead, trivial logs). However, in current practice, there is a lack of rigorous specifications for developers to govern their logging behaviours. Logging has become an important yet tough decision which mostly depends on the domain knowledg"&amp;"e of developers. To reduce the effort on making logging decisions, in this paper, we propose a ""learning to log"" framework, which aims to provide informative guidance on logging during development. As a proof of concept, we provide the design and implem"&amp;"entation of a logging suggestion tool, LogAdvisor, which automatically learns the common logging practices on where to log from existing logging instances and further leverages them for actionable suggestions to developers. Specifically, we identify the i"&amp;"mportant factors for determining where to log and extract them as structural features, textual features, and syntactic features. Then, by applying machine learning techniques (e.g., feature selection and classifier learning) and noise handling techniques,"&amp;" we achieve high accuracy of logging suggestions. We evaluate LogAdvisor on two industrial software systems from Microsoft and two open-source software systems from GitHub (totally 19.1M LOC and 100.6K logging statements). The encouraging experimental res"&amp;"ults, as well as a user study, demonstrate the feasibility and effectiveness of our logging suggestion tool. We believe our work can serve as an important first step towards the goal of ""learning to log"". © 2015 IEEE.")</f>
        <v>Logging is a common programming practice of practical importance to collect system runtime information for postmortem analysis. Strategic logging placement is desired to cover necessary runtime information without incurring unintended consequences (e.g., performance overhead, trivial logs). However, in current practice, there is a lack of rigorous specifications for developers to govern their logging behaviours. Logging has become an important yet tough decision which mostly depends on the domain knowledge of developers. To reduce the effort on making logging decisions, in this paper, we propose a "learning to log" framework, which aims to provide informative guidance on logging during development. As a proof of concept, we provide the design and implementation of a logging suggestion tool, LogAdvisor, which automatically learns the common logging practices on where to log from existing logging instances and further leverages them for actionable suggestions to developers. Specifically, we identify the important factors for determining where to log and extract them as structural features, textual features, and syntactic features. Then, by applying machine learning techniques (e.g., feature selection and classifier learning) and noise handling techniques, we achieve high accuracy of logging suggestions. We evaluate LogAdvisor on two industrial software systems from Microsoft and two open-source software systems from GitHub (totally 19.1M LOC and 100.6K logging statements). The encouraging experimental results, as well as a user study, demonstrate the feasibility and effectiveness of our logging suggestion tool. We believe our work can serve as an important first step towards the goal of "learning to log". © 2015 IEEE.</v>
      </c>
      <c r="H924" s="8"/>
      <c r="I924" s="10" t="b">
        <v>0</v>
      </c>
      <c r="J924" s="10" t="b">
        <v>0</v>
      </c>
      <c r="K924" s="10" t="b">
        <v>0</v>
      </c>
      <c r="L924" s="10" t="b">
        <v>0</v>
      </c>
      <c r="M924" s="10" t="b">
        <v>0</v>
      </c>
      <c r="N924" s="10" t="b">
        <v>0</v>
      </c>
      <c r="O924" s="11" t="b">
        <f t="shared" si="1"/>
        <v>0</v>
      </c>
      <c r="P924" s="16" t="b">
        <v>0</v>
      </c>
      <c r="Q924" s="7"/>
    </row>
    <row r="925">
      <c r="A925" s="5" t="b">
        <v>1</v>
      </c>
      <c r="B925" s="5" t="s">
        <v>971</v>
      </c>
      <c r="C925" s="6" t="str">
        <f>IFERROR(__xludf.DUMMYFUNCTION("""COMPUTED_VALUE"""),"10.1145/3510003.3510151")</f>
        <v>10.1145/3510003.3510151</v>
      </c>
      <c r="D925" s="7" t="str">
        <f>IFERROR(__xludf.DUMMYFUNCTION("""COMPUTED_VALUE"""),"Wu H.; Xu L.; Niu X.; Nie C.")</f>
        <v>Wu H.; Xu L.; Niu X.; Nie C.</v>
      </c>
      <c r="E925" s="7" t="str">
        <f>IFERROR(__xludf.DUMMYFUNCTION("""COMPUTED_VALUE"""),"Combinatorial Testing of RESTful APIs")</f>
        <v>Combinatorial Testing of RESTful APIs</v>
      </c>
      <c r="F925" s="7" t="str">
        <f>IFERROR(__xludf.DUMMYFUNCTION("""COMPUTED_VALUE"""),"ICSE")</f>
        <v>ICSE</v>
      </c>
      <c r="G925" s="7" t="str">
        <f>IFERROR(__xludf.DUMMYFUNCTION("""COMPUTED_VALUE"""),"This paper presents RestCT, a systematic and fully automatic approach that adopts Combinatorial Testing (CT) to test RESTful APIs. RestCT is systematic in that it covers and tests not only the interactions of a certain number of operations in RESTful APIs"&amp;", but also the interactions of particular input-parameters in every single operation. This is realised by a novel two-phase test case generation approach, which first generates a constrained sequence covering array to determine the execution orders of ava"&amp;"ilable operations, and then applies an adaptive strategy to generate and refine several constrained covering arrays to concretise input-parameters of each operation. RestCT is also automatic in that its application relies on only a given Swagger specifica"&amp;"tion of RESTful APIs. The creation of CT test models (especially, the inferring of dependency relationships in both operations and input-parameters), and the generation and execution of test cases are performed without any human intervention. Experimental"&amp;" results on 11 real-world RESTful APIs demonstrate the effectiveness and efficiency of RestCT. In particular, RestCT can find eight new bugs, where only one of them can be triggered by the state-of-the-art testing tool of RESTful APIs. © 2022 ACM.")</f>
        <v>This paper presents RestCT, a systematic and fully automatic approach that adopts Combinatorial Testing (CT) to test RESTful APIs. RestCT is systematic in that it covers and tests not only the interactions of a certain number of operations in RESTful APIs, but also the interactions of particular input-parameters in every single operation. This is realised by a novel two-phase test case generation approach, which first generates a constrained sequence covering array to determine the execution orders of available operations, and then applies an adaptive strategy to generate and refine several constrained covering arrays to concretise input-parameters of each operation. RestCT is also automatic in that its application relies on only a given Swagger specification of RESTful APIs. The creation of CT test models (especially, the inferring of dependency relationships in both operations and input-parameters), and the generation and execution of test cases are performed without any human intervention. Experimental results on 11 real-world RESTful APIs demonstrate the effectiveness and efficiency of RestCT. In particular, RestCT can find eight new bugs, where only one of them can be triggered by the state-of-the-art testing tool of RESTful APIs. © 2022 ACM.</v>
      </c>
      <c r="H925" s="8" t="str">
        <f>IFERROR(__xludf.DUMMYFUNCTION("""COMPUTED_VALUE"""),"combinatorial testing; RESTful API; test case generation")</f>
        <v>combinatorial testing; RESTful API; test case generation</v>
      </c>
      <c r="I925" s="10" t="b">
        <v>0</v>
      </c>
      <c r="J925" s="10" t="b">
        <v>0</v>
      </c>
      <c r="K925" s="10" t="b">
        <v>0</v>
      </c>
      <c r="L925" s="10" t="b">
        <v>0</v>
      </c>
      <c r="M925" s="10" t="b">
        <v>0</v>
      </c>
      <c r="N925" s="10" t="b">
        <v>0</v>
      </c>
      <c r="O925" s="11" t="b">
        <f t="shared" si="1"/>
        <v>0</v>
      </c>
      <c r="P925" s="16" t="b">
        <v>0</v>
      </c>
      <c r="Q925" s="7"/>
    </row>
    <row r="926">
      <c r="A926" s="5" t="b">
        <v>1</v>
      </c>
      <c r="B926" s="5" t="s">
        <v>972</v>
      </c>
      <c r="C926" s="6" t="str">
        <f>IFERROR(__xludf.DUMMYFUNCTION("""COMPUTED_VALUE"""),"10.1145/1985793.1985978")</f>
        <v>10.1145/1985793.1985978</v>
      </c>
      <c r="D926" s="7" t="str">
        <f>IFERROR(__xludf.DUMMYFUNCTION("""COMPUTED_VALUE"""),"Daniel B.; Dig D.; Gvero T.; Jagannath V.; Jiaa J.; Mitchell D.; Nogiec J.; Tan S.H.; Marinov D.")</f>
        <v>Daniel B.; Dig D.; Gvero T.; Jagannath V.; Jiaa J.; Mitchell D.; Nogiec J.; Tan S.H.; Marinov D.</v>
      </c>
      <c r="E926" s="7" t="str">
        <f>IFERROR(__xludf.DUMMYFUNCTION("""COMPUTED_VALUE"""),"ReAssert: A tool for repairing broken unit tests")</f>
        <v>ReAssert: A tool for repairing broken unit tests</v>
      </c>
      <c r="F926" s="7" t="str">
        <f>IFERROR(__xludf.DUMMYFUNCTION("""COMPUTED_VALUE"""),"ICSE")</f>
        <v>ICSE</v>
      </c>
      <c r="G926" s="7" t="str">
        <f>IFERROR(__xludf.DUMMYFUNCTION("""COMPUTED_VALUE"""),"Successful software systems continuously change their requirements and thus code. When this happens, some existing tests get broken because they no longer reflect the intended behavior, and thus they need to be updated. Repairing broken tests can be time-"&amp;"consuming and difficult. We present ReAssert, a tool that can automatically suggest repairs for broken unit tests. Examples include replacing literal values in tests, changing assertion methods, or replacing one assertion with several. Our experiments sho"&amp;"w that ReAssert can repair many common test failures and that its suggested repairs match developers' expectations. © 2011 Authors.")</f>
        <v>Successful software systems continuously change their requirements and thus code. When this happens, some existing tests get broken because they no longer reflect the intended behavior, and thus they need to be updated. Repairing broken tests can be time-consuming and difficult. We present ReAssert, a tool that can automatically suggest repairs for broken unit tests. Examples include replacing literal values in tests, changing assertion methods, or replacing one assertion with several. Our experiments show that ReAssert can repair many common test failures and that its suggested repairs match developers' expectations. © 2011 Authors.</v>
      </c>
      <c r="H926" s="8" t="str">
        <f>IFERROR(__xludf.DUMMYFUNCTION("""COMPUTED_VALUE"""),"reassert; test repair; testing tools; unit testing")</f>
        <v>reassert; test repair; testing tools; unit testing</v>
      </c>
      <c r="I926" s="10" t="b">
        <v>0</v>
      </c>
      <c r="J926" s="10" t="b">
        <v>0</v>
      </c>
      <c r="K926" s="10" t="b">
        <v>0</v>
      </c>
      <c r="L926" s="10" t="b">
        <v>0</v>
      </c>
      <c r="M926" s="10" t="b">
        <v>0</v>
      </c>
      <c r="N926" s="10" t="b">
        <v>0</v>
      </c>
      <c r="O926" s="11" t="b">
        <f t="shared" si="1"/>
        <v>0</v>
      </c>
      <c r="P926" s="16" t="b">
        <v>0</v>
      </c>
      <c r="Q926" s="7"/>
    </row>
    <row r="927">
      <c r="A927" s="5" t="b">
        <v>1</v>
      </c>
      <c r="B927" s="5" t="s">
        <v>973</v>
      </c>
      <c r="C927" s="6" t="str">
        <f>IFERROR(__xludf.DUMMYFUNCTION("""COMPUTED_VALUE"""),"10.1145/3377812.3382145")</f>
        <v>10.1145/3377812.3382145</v>
      </c>
      <c r="D927" s="7" t="str">
        <f>IFERROR(__xludf.DUMMYFUNCTION("""COMPUTED_VALUE"""),"Gulzar M.A.; Musuvathi M.; Kim M.")</f>
        <v>Gulzar M.A.; Musuvathi M.; Kim M.</v>
      </c>
      <c r="E927" s="7" t="str">
        <f>IFERROR(__xludf.DUMMYFUNCTION("""COMPUTED_VALUE"""),"BigTest: A symbolic execution based systematic test generation tool for apache spark")</f>
        <v>BigTest: A symbolic execution based systematic test generation tool for apache spark</v>
      </c>
      <c r="F927" s="7" t="str">
        <f>IFERROR(__xludf.DUMMYFUNCTION("""COMPUTED_VALUE"""),"ICSE")</f>
        <v>ICSE</v>
      </c>
      <c r="G927" s="7" t="str">
        <f>IFERROR(__xludf.DUMMYFUNCTION("""COMPUTED_VALUE"""),"Data-intensive scalable computing (DISC) systems such as Google'sMapReduce, Apache Hadoop, and Apache Spark are prevalent inmany production services. Despite their popularity, the quality ofDISC applications suffers due to a lack of exhaustive and automat"&amp;"edtesting. Current practices of testing DISC applications are limitedto using a small random sample of the entire input dataset whichmerely exposes any program faults. Unlike SQL queries, testingDISC applications has new challenges due to a composition of"&amp;" bothdataflow and relational operators, and user-defined functions (UDF)that could be arbitrarily long and complex.To address this problem, we demonstrate a new white-box testingframework called BigTest that takes an Apache Spark program asinput and autom"&amp;"atically generates synthetic, concrete data for effective and efficient testing. BigTest combines the symbolic executionof UDFs with the logical specifications of dataflow and relationaloperators to explore all paths in a DISC application. Our experiments"&amp;" show that BigTest is capable of generating test data thatcan reveal up to 2X more faults than the entire data set with 194Xless testing time. We implement BigTest in a Java-based commandline tool with a pre-compile binary jar. It exposes a configurationf"&amp;"ile in which a user can edit preferences, including the path of atarget program, the upper bound of loop exploration, and a choiceof theorem solver. The demonstration video of BigTest is available at https://youtu.be/OeHhoKiDYso and BigTest is availableat"&amp;" https://github.com/maligulzar/BigTest. © 2020 Copyright held by the owner/author(s).")</f>
        <v>Data-intensive scalable computing (DISC) systems such as Google'sMapReduce, Apache Hadoop, and Apache Spark are prevalent inmany production services. Despite their popularity, the quality ofDISC applications suffers due to a lack of exhaustive and automatedtesting. Current practices of testing DISC applications are limitedto using a small random sample of the entire input dataset whichmerely exposes any program faults. Unlike SQL queries, testingDISC applications has new challenges due to a composition of bothdataflow and relational operators, and user-defined functions (UDF)that could be arbitrarily long and complex.To address this problem, we demonstrate a new white-box testingframework called BigTest that takes an Apache Spark program asinput and automatically generates synthetic, concrete data for effective and efficient testing. BigTest combines the symbolic executionof UDFs with the logical specifications of dataflow and relationaloperators to explore all paths in a DISC application. Our experiments show that BigTest is capable of generating test data thatcan reveal up to 2X more faults than the entire data set with 194Xless testing time. We implement BigTest in a Java-based commandline tool with a pre-compile binary jar. It exposes a configurationfile in which a user can edit preferences, including the path of atarget program, the upper bound of loop exploration, and a choiceof theorem solver. The demonstration video of BigTest is available at https://youtu.be/OeHhoKiDYso and BigTest is availableat https://github.com/maligulzar/BigTest. © 2020 Copyright held by the owner/author(s).</v>
      </c>
      <c r="H927" s="8" t="str">
        <f>IFERROR(__xludf.DUMMYFUNCTION("""COMPUTED_VALUE"""),"Data intensive scalable computing; Dataflow programs; Map reduce; Symbolic execution; Test generation")</f>
        <v>Data intensive scalable computing; Dataflow programs; Map reduce; Symbolic execution; Test generation</v>
      </c>
      <c r="I927" s="10" t="b">
        <v>0</v>
      </c>
      <c r="J927" s="10" t="b">
        <v>0</v>
      </c>
      <c r="K927" s="10" t="b">
        <v>0</v>
      </c>
      <c r="L927" s="10" t="b">
        <v>0</v>
      </c>
      <c r="M927" s="10" t="b">
        <v>0</v>
      </c>
      <c r="N927" s="10" t="b">
        <v>0</v>
      </c>
      <c r="O927" s="11" t="b">
        <f t="shared" si="1"/>
        <v>0</v>
      </c>
      <c r="P927" s="16" t="b">
        <v>0</v>
      </c>
      <c r="Q927" s="7"/>
    </row>
    <row r="928">
      <c r="A928" s="5" t="b">
        <v>1</v>
      </c>
      <c r="B928" s="5" t="s">
        <v>974</v>
      </c>
      <c r="C928" s="6" t="str">
        <f>IFERROR(__xludf.DUMMYFUNCTION("""COMPUTED_VALUE"""),"10.1109/ICSE.2019.00083")</f>
        <v>10.1109/ICSE.2019.00083</v>
      </c>
      <c r="D928" s="7" t="str">
        <f>IFERROR(__xludf.DUMMYFUNCTION("""COMPUTED_VALUE"""),"Atlidakis V.; Godefroid P.; Polishchuk M.")</f>
        <v>Atlidakis V.; Godefroid P.; Polishchuk M.</v>
      </c>
      <c r="E928" s="7" t="str">
        <f>IFERROR(__xludf.DUMMYFUNCTION("""COMPUTED_VALUE"""),"RESTler: Stateful REST API Fuzzing")</f>
        <v>RESTler: Stateful REST API Fuzzing</v>
      </c>
      <c r="F928" s="7" t="str">
        <f>IFERROR(__xludf.DUMMYFUNCTION("""COMPUTED_VALUE"""),"ICSE")</f>
        <v>ICSE</v>
      </c>
      <c r="G928" s="7" t="str">
        <f>IFERROR(__xludf.DUMMYFUNCTION("""COMPUTED_VALUE"""),"This paper introduces RESTler, the first stateful REST API fuzzer. RESTler analyzes the API specification of a cloud service and generates sequences of requests that automatically test the service through its API. RESTler generates test sequences by (1) i"&amp;"nferring producer-consumer dependencies among request types declared in the specification (e.g., inferring that 'a request B should be executed after request A' because B takes as an input a resource-id x produced by A) and by (2) analyzing dynamic feedba"&amp;"ck from responses observed during prior test executions in order to generate new tests (e.g., learning that 'a request C after a request sequence A;B is refused by the service' and therefore avoiding this combination in the future). We present experimenta"&amp;"l results showing that these two techniques are necessary to thoroughly exercise a service under test while pruning the large search space of possible request sequences. We used RESTler to test GitLab, an open-source Git service, as well as several Micros"&amp;"oft Azure and Office365 cloud services. RESTler found 28 bugs in GitLab and several bugs in each of the Azure and Office365 cloud services tested so far. These bugs have been confirmed and fixed by the service owners. © 2019 IEEE.")</f>
        <v>This paper introduces RESTler, the first stateful REST API fuzzer. RESTler analyzes the API specification of a cloud service and generates sequences of requests that automatically test the service through its API. RESTler generates test sequences by (1) inferring producer-consumer dependencies among request types declared in the specification (e.g., inferring that 'a request B should be executed after request A' because B takes as an input a resource-id x produced by A) and by (2) analyzing dynamic feedback from responses observed during prior test executions in order to generate new tests (e.g., learning that 'a request C after a request sequence A;B is refused by the service' and therefore avoiding this combination in the future). We present experimental results showing that these two techniques are necessary to thoroughly exercise a service under test while pruning the large search space of possible request sequences. We used RESTler to test GitLab, an open-source Git service, as well as several Microsoft Azure and Office365 cloud services. RESTler found 28 bugs in GitLab and several bugs in each of the Azure and Office365 cloud services tested so far. These bugs have been confirmed and fixed by the service owners. © 2019 IEEE.</v>
      </c>
      <c r="H928" s="8" t="str">
        <f>IFERROR(__xludf.DUMMYFUNCTION("""COMPUTED_VALUE"""),"bug finding; cloud services; fuzzer; Fuzzing; REST API; testing")</f>
        <v>bug finding; cloud services; fuzzer; Fuzzing; REST API; testing</v>
      </c>
      <c r="I928" s="10" t="b">
        <v>0</v>
      </c>
      <c r="J928" s="10" t="b">
        <v>0</v>
      </c>
      <c r="K928" s="10" t="b">
        <v>0</v>
      </c>
      <c r="L928" s="10" t="b">
        <v>0</v>
      </c>
      <c r="M928" s="10" t="b">
        <v>0</v>
      </c>
      <c r="N928" s="10" t="b">
        <v>0</v>
      </c>
      <c r="O928" s="11" t="b">
        <f t="shared" si="1"/>
        <v>0</v>
      </c>
      <c r="P928" s="16" t="b">
        <v>0</v>
      </c>
      <c r="Q928" s="7"/>
    </row>
    <row r="929">
      <c r="A929" s="5" t="b">
        <v>1</v>
      </c>
      <c r="B929" s="5" t="s">
        <v>975</v>
      </c>
      <c r="C929" s="6" t="str">
        <f>IFERROR(__xludf.DUMMYFUNCTION("""COMPUTED_VALUE"""),"10.1145/3194133.3194142")</f>
        <v>10.1145/3194133.3194142</v>
      </c>
      <c r="D929" s="7" t="str">
        <f>IFERROR(__xludf.DUMMYFUNCTION("""COMPUTED_VALUE"""),"Edwards R.; Bencomo N.")</f>
        <v>Edwards R.; Bencomo N.</v>
      </c>
      <c r="E929" s="7" t="str">
        <f>IFERROR(__xludf.DUMMYFUNCTION("""COMPUTED_VALUE"""),"DeSiRE: Further understanding nuances of degrees of satisfaction of non-functional requirements trade-off")</f>
        <v>DeSiRE: Further understanding nuances of degrees of satisfaction of non-functional requirements trade-off</v>
      </c>
      <c r="F929" s="7" t="str">
        <f>IFERROR(__xludf.DUMMYFUNCTION("""COMPUTED_VALUE"""),"ICSE")</f>
        <v>ICSE</v>
      </c>
      <c r="G929" s="7" t="str">
        <f>IFERROR(__xludf.DUMMYFUNCTION("""COMPUTED_VALUE"""),"[Context/Motivation] Self-adaptive systems (SAS) are being deployed in environments of increasing uncertainty, in which they must adapt reconfiguring themselves in such a way as to continuously fulfil multiple objectives according to changes in the enviro"&amp;"nment. The trade-offs between a systems non-functional requirements (NFRs) need to be done to maximise a systems utility (or equity) with regards to the NFRs, and are key drivers of the adaptation process. Decision-making for multiple objective scenarios "&amp;"frequently uses utility functions as measures of satisfaction of both individual and sets of NFRs, usually resulting in a weighted sum of the different objectives. [Questions/Problems] However, while adaptations are performed autonomously, the methods for"&amp;" choosing an adaptation are based on the criteria of human expert(s), who are susceptible to bias, subjectivity and/or lack of quantitativeness in their judgements. Thus, there is a need for a non-subjective and quantitative approach to reason about NFR s"&amp;"atisfaction in multi-objective self-adaptation without relying on human expertise. Furthermore, human biases can also apply to the relationships between two or more NFRs (e.g. how much the satisfaction of one NFR affects the satisfaction of another), resu"&amp;"lting in emergent inaccuracies affecting the decision(s) chosen. [Principal ideas/ results] This paper presents DeSiRE (Degrees of Satisfaction of NFRs), a purely automated objective statistical approach to quantifying the extent that a requirement is vio"&amp;"lated or satisfied, and its application to further explore the trade-offs between NFRs in decision making. Experiments using case studies have positive results showing the identification of a Pareto optimal set of candidate solutions, in addition to a ran"&amp;"king of these configurations by their satisfaction of each NFR. © 2018 ACM.")</f>
        <v>[Context/Motivation] Self-adaptive systems (SAS) are being deployed in environments of increasing uncertainty, in which they must adapt reconfiguring themselves in such a way as to continuously fulfil multiple objectives according to changes in the environment. The trade-offs between a systems non-functional requirements (NFRs) need to be done to maximise a systems utility (or equity) with regards to the NFRs, and are key drivers of the adaptation process. Decision-making for multiple objective scenarios frequently uses utility functions as measures of satisfaction of both individual and sets of NFRs, usually resulting in a weighted sum of the different objectives. [Questions/Problems] However, while adaptations are performed autonomously, the methods for choosing an adaptation are based on the criteria of human expert(s), who are susceptible to bias, subjectivity and/or lack of quantitativeness in their judgements. Thus, there is a need for a non-subjective and quantitative approach to reason about NFR satisfaction in multi-objective self-adaptation without relying on human expertise. Furthermore, human biases can also apply to the relationships between two or more NFRs (e.g. how much the satisfaction of one NFR affects the satisfaction of another), resulting in emergent inaccuracies affecting the decision(s) chosen. [Principal ideas/ results] This paper presents DeSiRE (Degrees of Satisfaction of NFRs), a purely automated objective statistical approach to quantifying the extent that a requirement is violated or satisfied, and its application to further explore the trade-offs between NFRs in decision making. Experiments using case studies have positive results showing the identification of a Pareto optimal set of candidate solutions, in addition to a ranking of these configurations by their satisfaction of each NFR. © 2018 ACM.</v>
      </c>
      <c r="H929" s="8" t="str">
        <f>IFERROR(__xludf.DUMMYFUNCTION("""COMPUTED_VALUE"""),"multi-criteria decison making; non-functional requirements; self-adaptative systems")</f>
        <v>multi-criteria decison making; non-functional requirements; self-adaptative systems</v>
      </c>
      <c r="I929" s="10" t="b">
        <v>0</v>
      </c>
      <c r="J929" s="10" t="b">
        <v>0</v>
      </c>
      <c r="K929" s="10" t="b">
        <v>0</v>
      </c>
      <c r="L929" s="10" t="b">
        <v>0</v>
      </c>
      <c r="M929" s="10" t="b">
        <v>0</v>
      </c>
      <c r="N929" s="10" t="b">
        <v>0</v>
      </c>
      <c r="O929" s="11" t="b">
        <f t="shared" si="1"/>
        <v>0</v>
      </c>
      <c r="P929" s="16" t="b">
        <v>0</v>
      </c>
      <c r="Q929" s="7"/>
    </row>
    <row r="930">
      <c r="A930" s="5" t="b">
        <v>1</v>
      </c>
      <c r="B930" s="5" t="s">
        <v>976</v>
      </c>
      <c r="C930" s="6" t="str">
        <f>IFERROR(__xludf.DUMMYFUNCTION("""COMPUTED_VALUE"""),"10.1109/ICSE.2013.6606690")</f>
        <v>10.1109/ICSE.2013.6606690</v>
      </c>
      <c r="D930" s="7" t="str">
        <f>IFERROR(__xludf.DUMMYFUNCTION("""COMPUTED_VALUE"""),"Alrajeh D.; Russo A.; Lockerbie J.; Maiden N.; Mavin A.; Novak M.")</f>
        <v>Alrajeh D.; Russo A.; Lockerbie J.; Maiden N.; Mavin A.; Novak M.</v>
      </c>
      <c r="E930" s="7" t="str">
        <f>IFERROR(__xludf.DUMMYFUNCTION("""COMPUTED_VALUE"""),"Computational alignment of goals and scenarios for complex systems")</f>
        <v>Computational alignment of goals and scenarios for complex systems</v>
      </c>
      <c r="F930" s="7" t="str">
        <f>IFERROR(__xludf.DUMMYFUNCTION("""COMPUTED_VALUE"""),"ICSE")</f>
        <v>ICSE</v>
      </c>
      <c r="G930" s="7" t="str">
        <f>IFERROR(__xludf.DUMMYFUNCTION("""COMPUTED_VALUE"""),"The purpose of requirements validation is to determine whether a large requirements set will lead to the achievement of system-related goals under different conditions - a task that needs automation if it is to be performed quickly and accurately. One rea"&amp;"son for the current lack of software tools to undertake such validation is the absence of the computational mechanisms needed to associate scenario, system specification and goal analysis tools. Therefore, in this paper, we report first research experimen"&amp;"ts in developing these new capabilities, and demonstrate them with a non-trivial example associated with a Rolls Royce aircraft engine software component. © 2013 IEEE.")</f>
        <v>The purpose of requirements validation is to determine whether a large requirements set will lead to the achievement of system-related goals under different conditions - a task that needs automation if it is to be performed quickly and accurately. One reason for the current lack of software tools to undertake such validation is the absence of the computational mechanisms needed to associate scenario, system specification and goal analysis tools. Therefore, in this paper, we report first research experiments in developing these new capabilities, and demonstrate them with a non-trivial example associated with a Rolls Royce aircraft engine software component. © 2013 IEEE.</v>
      </c>
      <c r="H930" s="8" t="str">
        <f>IFERROR(__xludf.DUMMYFUNCTION("""COMPUTED_VALUE"""),"goal achievement; operational requirements; Requirements validation; scenarios")</f>
        <v>goal achievement; operational requirements; Requirements validation; scenarios</v>
      </c>
      <c r="I930" s="10" t="b">
        <v>0</v>
      </c>
      <c r="J930" s="10" t="b">
        <v>0</v>
      </c>
      <c r="K930" s="10" t="b">
        <v>0</v>
      </c>
      <c r="L930" s="10" t="b">
        <v>0</v>
      </c>
      <c r="M930" s="10" t="b">
        <v>0</v>
      </c>
      <c r="N930" s="10" t="b">
        <v>0</v>
      </c>
      <c r="O930" s="11" t="b">
        <f t="shared" si="1"/>
        <v>0</v>
      </c>
      <c r="P930" s="16" t="b">
        <v>0</v>
      </c>
      <c r="Q930" s="7"/>
    </row>
    <row r="931">
      <c r="A931" s="5" t="b">
        <v>1</v>
      </c>
      <c r="B931" s="5" t="s">
        <v>977</v>
      </c>
      <c r="C931" s="6" t="str">
        <f>IFERROR(__xludf.DUMMYFUNCTION("""COMPUTED_VALUE"""),"10.1145/3510003.3510084")</f>
        <v>10.1145/3510003.3510084</v>
      </c>
      <c r="D931" s="7" t="str">
        <f>IFERROR(__xludf.DUMMYFUNCTION("""COMPUTED_VALUE"""),"Han R.; Yang C.; Ma S.; Ma J.; Sun C.; Li J.; Bertino E.")</f>
        <v>Han R.; Yang C.; Ma S.; Ma J.; Sun C.; Li J.; Bertino E.</v>
      </c>
      <c r="E931" s="7" t="str">
        <f>IFERROR(__xludf.DUMMYFUNCTION("""COMPUTED_VALUE"""),"Control Parameters Considered Harmful: Detecting Range Specification Bugs in Drone Configuration Modules via Learning-Guided Search")</f>
        <v>Control Parameters Considered Harmful: Detecting Range Specification Bugs in Drone Configuration Modules via Learning-Guided Search</v>
      </c>
      <c r="F931" s="7" t="str">
        <f>IFERROR(__xludf.DUMMYFUNCTION("""COMPUTED_VALUE"""),"ICSE")</f>
        <v>ICSE</v>
      </c>
      <c r="G931" s="7" t="str">
        <f>IFERROR(__xludf.DUMMYFUNCTION("""COMPUTED_VALUE"""),"In order to support a variety of missions and deal with different flight environments, drone control programs typically provide configurable control parameters. However, such a flexibility introduces vulnerabilities. One such vulnerability, referred to as"&amp;" range specification bugs, has been recently identified. The vulnerability originates from the fact that even though each individual parameter receives a value in the recommended value range, certain combinations of parameter values may affect the drone p"&amp;"hysical stability. In this paper, we develop a novel learning-guided search system to find such combinations, that we refer to as incorrect configurations. Our system applies metaheuristic search algorithms mutating configurations to detect the configurat"&amp;"ion parameters that have values driving the drone to unstable physical states. To guide the mutations, our system leverages a machine learning based predictor as the fitness evaluator. Finally, by utilizing multi-objective optimization, our system returns"&amp;" the feasible ranges based on the mutation search results. Because in our system the mutations are guided by a predictor, evaluating the parameter configurations does not require realistic/simulation executions. Therefore, our system supports a comprehens"&amp;"ive and yet efficient detection of incorrect configurations. We have carried out an experimental evaluation of our system. The evaluation results show that the system successfully reports potentially incorrect configurations, of which over 85% lead to act"&amp;"ual unstable physical states. © 2022 ACM.")</f>
        <v>In order to support a variety of missions and deal with different flight environments, drone control programs typically provide configurable control parameters. However, such a flexibility introduces vulnerabilities. One such vulnerability, referred to as range specification bugs, has been recently identified. The vulnerability originates from the fact that even though each individual parameter receives a value in the recommended value range, certain combinations of parameter values may affect the drone physical stability. In this paper, we develop a novel learning-guided search system to find such combinations, that we refer to as incorrect configurations. Our system applies metaheuristic search algorithms mutating configurations to detect the configuration parameters that have values driving the drone to unstable physical states. To guide the mutations, our system leverages a machine learning based predictor as the fitness evaluator. Finally, by utilizing multi-objective optimization, our system returns the feasible ranges based on the mutation search results. Because in our system the mutations are guided by a predictor, evaluating the parameter configurations does not require realistic/simulation executions. Therefore, our system supports a comprehensive and yet efficient detection of incorrect configurations. We have carried out an experimental evaluation of our system. The evaluation results show that the system successfully reports potentially incorrect configurations, of which over 85% lead to actual unstable physical states. © 2022 ACM.</v>
      </c>
      <c r="H931" s="8" t="str">
        <f>IFERROR(__xludf.DUMMYFUNCTION("""COMPUTED_VALUE"""),"configuration test; deep learning approximation; Drone security; range specification bug")</f>
        <v>configuration test; deep learning approximation; Drone security; range specification bug</v>
      </c>
      <c r="I931" s="10" t="b">
        <v>0</v>
      </c>
      <c r="J931" s="10" t="b">
        <v>0</v>
      </c>
      <c r="K931" s="10" t="b">
        <v>0</v>
      </c>
      <c r="L931" s="10" t="b">
        <v>0</v>
      </c>
      <c r="M931" s="10" t="b">
        <v>0</v>
      </c>
      <c r="N931" s="10" t="b">
        <v>0</v>
      </c>
      <c r="O931" s="11" t="b">
        <f t="shared" si="1"/>
        <v>0</v>
      </c>
      <c r="P931" s="16" t="b">
        <v>0</v>
      </c>
      <c r="Q931" s="7"/>
    </row>
    <row r="932">
      <c r="A932" s="5" t="b">
        <v>1</v>
      </c>
      <c r="B932" s="5" t="s">
        <v>978</v>
      </c>
      <c r="C932" s="6" t="str">
        <f>IFERROR(__xludf.DUMMYFUNCTION("""COMPUTED_VALUE"""),"10.1145/1370788.1370807")</f>
        <v>10.1145/1370788.1370807</v>
      </c>
      <c r="D932" s="7" t="str">
        <f>IFERROR(__xludf.DUMMYFUNCTION("""COMPUTED_VALUE"""),"Jalali O.; Menzies T.; Feather M.")</f>
        <v>Jalali O.; Menzies T.; Feather M.</v>
      </c>
      <c r="E932" s="7" t="str">
        <f>IFERROR(__xludf.DUMMYFUNCTION("""COMPUTED_VALUE"""),"Optimizing requirements decisions with KEYS")</f>
        <v>Optimizing requirements decisions with KEYS</v>
      </c>
      <c r="F932" s="7" t="str">
        <f>IFERROR(__xludf.DUMMYFUNCTION("""COMPUTED_VALUE"""),"ICSE")</f>
        <v>ICSE</v>
      </c>
      <c r="G932" s="7" t="str">
        <f>IFERROR(__xludf.DUMMYFUNCTION("""COMPUTED_VALUE"""),"Recent work with NASA's Jet Propulsion Laboratory has allowed for external access to five of JPL's real-world requirements models, anonymized to conceal proprietary information, but retaining their computational nature. Experimentation with these models, "&amp;"reported herein, demonstrates a dramatic speedup in the computations performed on them. These models have a well defined goal: select mitigations that retire risks which, in turn, increases the number of attainable requirements. Such a non-linear optimiza"&amp;"tion is a well-studied problem. However identification of not only (a) the optimal solution(s) but also (b) the key factors leading to them is less well studied. Our technique, called KEYS, shows a rapid way of simultaneously identifying the solutions and"&amp;" their key factors. KEYS improves on prior work by several orders of magnitude. Prior experiments with simulated annealing or treatment learning took tens of minutes to hours to terminate. KEYS runs much faster than that; e.g for one model, KEYS ran 13,00"&amp;"0 times faster than treatment learning (40 minutes versus 0.18 seconds). Processing these JPL models is a non-linear optimization problem: the fewest mitigations must be selected while achieving the most requirements. Non-linear optimization is a well stu"&amp;"died problem. With this paper, we challenge other members of the PROMISE community to improve on our results with other techniques. Copyright 2008 ACM.")</f>
        <v>Recent work with NASA's Jet Propulsion Laboratory has allowed for external access to five of JPL's real-world requirements models, anonymized to conceal proprietary information, but retaining their computational nature. Experimentation with these models, reported herein, demonstrates a dramatic speedup in the computations performed on them. These models have a well defined goal: select mitigations that retire risks which, in turn, increases the number of attainable requirements. Such a non-linear optimization is a well-studied problem. However identification of not only (a) the optimal solution(s) but also (b) the key factors leading to them is less well studied. Our technique, called KEYS, shows a rapid way of simultaneously identifying the solutions and their key factors. KEYS improves on prior work by several orders of magnitude. Prior experiments with simulated annealing or treatment learning took tens of minutes to hours to terminate. KEYS runs much faster than that; e.g for one model, KEYS ran 13,000 times faster than treatment learning (40 minutes versus 0.18 seconds). Processing these JPL models is a non-linear optimization problem: the fewest mitigations must be selected while achieving the most requirements. Non-linear optimization is a well studied problem. With this paper, we challenge other members of the PROMISE community to improve on our results with other techniques. Copyright 2008 ACM.</v>
      </c>
      <c r="H932" s="8" t="str">
        <f>IFERROR(__xludf.DUMMYFUNCTION("""COMPUTED_VALUE"""),"Clumps; Collars; DDP; KEYS")</f>
        <v>Clumps; Collars; DDP; KEYS</v>
      </c>
      <c r="I932" s="10" t="b">
        <v>0</v>
      </c>
      <c r="J932" s="10" t="b">
        <v>0</v>
      </c>
      <c r="K932" s="10" t="b">
        <v>0</v>
      </c>
      <c r="L932" s="10" t="b">
        <v>0</v>
      </c>
      <c r="M932" s="10" t="b">
        <v>0</v>
      </c>
      <c r="N932" s="10" t="b">
        <v>0</v>
      </c>
      <c r="O932" s="11" t="b">
        <f t="shared" si="1"/>
        <v>0</v>
      </c>
      <c r="P932" s="16" t="b">
        <v>0</v>
      </c>
      <c r="Q932" s="7"/>
    </row>
    <row r="933">
      <c r="A933" s="5" t="b">
        <v>1</v>
      </c>
      <c r="B933" s="5" t="s">
        <v>979</v>
      </c>
      <c r="C933" s="6" t="str">
        <f>IFERROR(__xludf.DUMMYFUNCTION("""COMPUTED_VALUE"""),"10.1145/1985793.1985807")</f>
        <v>10.1145/1985793.1985807</v>
      </c>
      <c r="D933" s="7" t="str">
        <f>IFERROR(__xludf.DUMMYFUNCTION("""COMPUTED_VALUE"""),"Kumar S.; Khoo S.-C.; Roychoudhury A.; Lo D.")</f>
        <v>Kumar S.; Khoo S.-C.; Roychoudhury A.; Lo D.</v>
      </c>
      <c r="E933" s="7" t="str">
        <f>IFERROR(__xludf.DUMMYFUNCTION("""COMPUTED_VALUE"""),"Mining message sequence graphs")</f>
        <v>Mining message sequence graphs</v>
      </c>
      <c r="F933" s="7" t="str">
        <f>IFERROR(__xludf.DUMMYFUNCTION("""COMPUTED_VALUE"""),"ICSE")</f>
        <v>ICSE</v>
      </c>
      <c r="G933" s="7" t="str">
        <f>IFERROR(__xludf.DUMMYFUNCTION("""COMPUTED_VALUE"""),"Dynamic specification mining involves discovering software behavior from traces for the purpose of program comprehension and bug detection. However, mining program behavior from execution traces is difficult for concurrent/distributed programs. Specifical"&amp;"ly, the inherent partial order relationships among events occurring across processes pose a big challenge to specification mining. In this paper, we propose a framework for mining partial orders so as to understand concurrent program behavior. Our miner t"&amp;"akes in a set of concurrent program traces, and produces a message sequence graph (MSG) to represent the concurrent program behavior. An MSG represents a graph where the nodes of the graph are partial orders, represented as Message Sequence Charts. Mining"&amp;" an MSG allows us to understand concurrent program behaviors since the nodes of the MSG depict important ""phases"" or ""interaction snippets"" involving several concurrently executing processes. To demonstrate the power of this technique, we conducted ex"&amp;"periments on mining behaviors of several fairly complex distributed systems. We show that our miner can produce the corresponding MSGs with both high precision and recall. © 2011 ACM.")</f>
        <v>Dynamic specification mining involves discovering software behavior from traces for the purpose of program comprehension and bug detection. However, mining program behavior from execution traces is difficult for concurrent/distributed programs. Specifically, the inherent partial order relationships among events occurring across processes pose a big challenge to specification mining. In this paper, we propose a framework for mining partial orders so as to understand concurrent program behavior. Our miner takes in a set of concurrent program traces, and produces a message sequence graph (MSG) to represent the concurrent program behavior. An MSG represents a graph where the nodes of the graph are partial orders, represented as Message Sequence Charts. Mining an MSG allows us to understand concurrent program behaviors since the nodes of the MSG depict important "phases" or "interaction snippets" involving several concurrently executing processes. To demonstrate the power of this technique, we conducted experiments on mining behaviors of several fairly complex distributed systems. We show that our miner can produce the corresponding MSGs with both high precision and recall. © 2011 ACM.</v>
      </c>
      <c r="H933" s="8" t="str">
        <f>IFERROR(__xludf.DUMMYFUNCTION("""COMPUTED_VALUE"""),"distributed systems; specification mining")</f>
        <v>distributed systems; specification mining</v>
      </c>
      <c r="I933" s="10" t="b">
        <v>0</v>
      </c>
      <c r="J933" s="10" t="b">
        <v>0</v>
      </c>
      <c r="K933" s="10" t="b">
        <v>0</v>
      </c>
      <c r="L933" s="10" t="b">
        <v>0</v>
      </c>
      <c r="M933" s="10" t="b">
        <v>0</v>
      </c>
      <c r="N933" s="10" t="b">
        <v>0</v>
      </c>
      <c r="O933" s="11" t="b">
        <f t="shared" si="1"/>
        <v>0</v>
      </c>
      <c r="P933" s="16" t="b">
        <v>0</v>
      </c>
      <c r="Q933" s="7"/>
    </row>
    <row r="934">
      <c r="A934" s="5" t="b">
        <v>1</v>
      </c>
      <c r="B934" s="5" t="s">
        <v>980</v>
      </c>
      <c r="C934" s="6" t="str">
        <f>IFERROR(__xludf.DUMMYFUNCTION("""COMPUTED_VALUE"""),"10.1145/3180155.3180247")</f>
        <v>10.1145/3180155.3180247</v>
      </c>
      <c r="D934" s="7" t="str">
        <f>IFERROR(__xludf.DUMMYFUNCTION("""COMPUTED_VALUE"""),"Mechtaev S.; Nguyen M.-D.; Noller Y.; Grunske L.; Roychoudhury A.")</f>
        <v>Mechtaev S.; Nguyen M.-D.; Noller Y.; Grunske L.; Roychoudhury A.</v>
      </c>
      <c r="E934" s="7" t="str">
        <f>IFERROR(__xludf.DUMMYFUNCTION("""COMPUTED_VALUE"""),"Semantic program repair using a reference implementation")</f>
        <v>Semantic program repair using a reference implementation</v>
      </c>
      <c r="F934" s="7" t="str">
        <f>IFERROR(__xludf.DUMMYFUNCTION("""COMPUTED_VALUE"""),"ICSE")</f>
        <v>ICSE</v>
      </c>
      <c r="G934" s="7" t="str">
        <f>IFERROR(__xludf.DUMMYFUNCTION("""COMPUTED_VALUE"""),"Automated program repair has been studied via the use of techniques involving search, semantic analysis and artificial intelligence. Most of these techniques rely on tests as the correctness criteria, which causes the test overfitting problem. Although va"&amp;"rious approaches such as learning from code corpus have been proposed to address this problem, they are unable to guarantee that the generated patches generalize beyond the given tests. This work studies automated repair of errors using a reference implem"&amp;"entation. The reference implementation is symbolically analyzed to automatically infer a specification of the intended behavior. This specification is then used to synthesize a patch that enforces conditional equivalence of the patched and the reference p"&amp;"rograms. The use of the reference implementation as an implicit correctness criterion alleviates overfitting in test-based repair. Besides, since we generate patches by semantic analysis, the reference program may have a substantially different implementa"&amp;"tion from the patched program, which distinguishes our approach from existing techniques for regression repair like Relifix. Our experiments in repairing the embedded Linux Busybox with GNU Coreutils as reference (and vice-versa) revealed that the propose"&amp;"d approach scales to real-world programs and enables the generation of more correct patches. © 2018 Association for Computing Machinery.")</f>
        <v>Automated program repair has been studied via the use of techniques involving search, semantic analysis and artificial intelligence. Most of these techniques rely on tests as the correctness criteria, which causes the test overfitting problem. Although various approaches such as learning from code corpus have been proposed to address this problem, they are unable to guarantee that the generated patches generalize beyond the given tests. This work studies automated repair of errors using a reference implementation. The reference implementation is symbolically analyzed to automatically infer a specification of the intended behavior. This specification is then used to synthesize a patch that enforces conditional equivalence of the patched and the reference programs. The use of the reference implementation as an implicit correctness criterion alleviates overfitting in test-based repair. Besides, since we generate patches by semantic analysis, the reference program may have a substantially different implementation from the patched program, which distinguishes our approach from existing techniques for regression repair like Relifix. Our experiments in repairing the embedded Linux Busybox with GNU Coreutils as reference (and vice-versa) revealed that the proposed approach scales to real-world programs and enables the generation of more correct patches. © 2018 Association for Computing Machinery.</v>
      </c>
      <c r="H934" s="8" t="str">
        <f>IFERROR(__xludf.DUMMYFUNCTION("""COMPUTED_VALUE"""),"Debugging; Program repair; Verification")</f>
        <v>Debugging; Program repair; Verification</v>
      </c>
      <c r="I934" s="10" t="b">
        <v>0</v>
      </c>
      <c r="J934" s="10" t="b">
        <v>0</v>
      </c>
      <c r="K934" s="10" t="b">
        <v>0</v>
      </c>
      <c r="L934" s="10" t="b">
        <v>0</v>
      </c>
      <c r="M934" s="10" t="b">
        <v>0</v>
      </c>
      <c r="N934" s="10" t="b">
        <v>0</v>
      </c>
      <c r="O934" s="11" t="b">
        <f t="shared" si="1"/>
        <v>0</v>
      </c>
      <c r="P934" s="16" t="b">
        <v>0</v>
      </c>
      <c r="Q934" s="7"/>
    </row>
    <row r="935">
      <c r="A935" s="5" t="b">
        <v>1</v>
      </c>
      <c r="B935" s="5" t="s">
        <v>981</v>
      </c>
      <c r="C935" s="6"/>
      <c r="D935" s="7"/>
      <c r="E935" s="7" t="str">
        <f>IFERROR(__xludf.DUMMYFUNCTION("""COMPUTED_VALUE"""),"Proceedings - International Conference on Software Engineering")</f>
        <v>Proceedings - International Conference on Software Engineering</v>
      </c>
      <c r="F935" s="7" t="str">
        <f>IFERROR(__xludf.DUMMYFUNCTION("""COMPUTED_VALUE"""),"ICSE")</f>
        <v>ICSE</v>
      </c>
      <c r="G935" s="7" t="str">
        <f>IFERROR(__xludf.DUMMYFUNCTION("""COMPUTED_VALUE"""),"The proceedings contain 99 papers. The topics discussed include: the dimensions of software engineering success; how do professionals perceive legacy systems and software modernization?; SimRT: an automated framework to support regression testing for data"&amp;" races; performance regression testing target prioritization via performance risk analysis; code coverage for suite evaluation by developers; time pressure: a controlled experiment of test case development and requirements review; lifting model transforma"&amp;"tions to product lines; automated goal operationalization based on interpolation and SAT solving; mining configuration constraints: static analyses and empirical results; which configuration option should i change?; and achieving accuracy and scalability "&amp;"simultaneously in detecting application clones on android markets.")</f>
        <v>The proceedings contain 99 papers. The topics discussed include: the dimensions of software engineering success; how do professionals perceive legacy systems and software modernization?; SimRT: an automated framework to support regression testing for data races; performance regression testing target prioritization via performance risk analysis; code coverage for suite evaluation by developers; time pressure: a controlled experiment of test case development and requirements review; lifting model transformations to product lines; automated goal operationalization based on interpolation and SAT solving; mining configuration constraints: static analyses and empirical results; which configuration option should i change?; and achieving accuracy and scalability simultaneously in detecting application clones on android markets.</v>
      </c>
      <c r="H935" s="8"/>
      <c r="I935" s="10" t="b">
        <v>0</v>
      </c>
      <c r="J935" s="10" t="b">
        <v>0</v>
      </c>
      <c r="K935" s="10" t="b">
        <v>0</v>
      </c>
      <c r="L935" s="10" t="b">
        <v>0</v>
      </c>
      <c r="M935" s="10" t="b">
        <v>0</v>
      </c>
      <c r="N935" s="10" t="b">
        <v>0</v>
      </c>
      <c r="O935" s="11" t="b">
        <f t="shared" si="1"/>
        <v>0</v>
      </c>
      <c r="P935" s="16" t="b">
        <v>0</v>
      </c>
      <c r="Q935" s="7"/>
    </row>
    <row r="936">
      <c r="A936" s="5" t="b">
        <v>1</v>
      </c>
      <c r="B936" s="5" t="s">
        <v>982</v>
      </c>
      <c r="C936" s="6" t="str">
        <f>IFERROR(__xludf.DUMMYFUNCTION("""COMPUTED_VALUE"""),"10.1145/2568225.2568287")</f>
        <v>10.1145/2568225.2568287</v>
      </c>
      <c r="D936" s="7" t="str">
        <f>IFERROR(__xludf.DUMMYFUNCTION("""COMPUTED_VALUE"""),"Carzaniga A.; Goffi A.; Gorla A.; Mattavelli A.; Pezzè M.")</f>
        <v>Carzaniga A.; Goffi A.; Gorla A.; Mattavelli A.; Pezzè M.</v>
      </c>
      <c r="E936" s="7" t="str">
        <f>IFERROR(__xludf.DUMMYFUNCTION("""COMPUTED_VALUE"""),"Cross-checking oracles from intrinsic software redundancy")</f>
        <v>Cross-checking oracles from intrinsic software redundancy</v>
      </c>
      <c r="F936" s="7" t="str">
        <f>IFERROR(__xludf.DUMMYFUNCTION("""COMPUTED_VALUE"""),"ICSE")</f>
        <v>ICSE</v>
      </c>
      <c r="G936" s="7" t="str">
        <f>IFERROR(__xludf.DUMMYFUNCTION("""COMPUTED_VALUE"""),"Despite the recent advances in automatic test generation, testers must still write test oracles manually. If formal specifications are available, it might be possible to use decision procedures derived from those specifications. We present a technique tha"&amp;"t is based on a form of specification but also leverages more information from the system under test. We assume that the system under test is somewhat redundant, in the sense that some operations are designed to behave like others but their executions are"&amp;" different. Our experience in this and previous work indicates that this redundancy exists and is easily documented. We then generate oracles by cross-checking the execution of a test with the same test in which we replace some operations with redundant o"&amp;"nes. We develop this notion of cross-checking oracles into a generic technique to automatically insert oracles into unit tests. An experimental evaluation shows that cross-checking oracles, used in combination with automatic test generation techniques, ca"&amp;"n be very effective in revealing faults, and that they can even improve good hand-written test suites. © 2014 ACM.")</f>
        <v>Despite the recent advances in automatic test generation, testers must still write test oracles manually. If formal specifications are available, it might be possible to use decision procedures derived from those specifications. We present a technique that is based on a form of specification but also leverages more information from the system under test. We assume that the system under test is somewhat redundant, in the sense that some operations are designed to behave like others but their executions are different. Our experience in this and previous work indicates that this redundancy exists and is easily documented. We then generate oracles by cross-checking the execution of a test with the same test in which we replace some operations with redundant ones. We develop this notion of cross-checking oracles into a generic technique to automatically insert oracles into unit tests. An experimental evaluation shows that cross-checking oracles, used in combination with automatic test generation techniques, can be very effective in revealing faults, and that they can even improve good hand-written test suites. © 2014 ACM.</v>
      </c>
      <c r="H936" s="8" t="str">
        <f>IFERROR(__xludf.DUMMYFUNCTION("""COMPUTED_VALUE"""),"oracle generation; Redundancy; test oracles")</f>
        <v>oracle generation; Redundancy; test oracles</v>
      </c>
      <c r="I936" s="10" t="b">
        <v>0</v>
      </c>
      <c r="J936" s="10" t="b">
        <v>0</v>
      </c>
      <c r="K936" s="10" t="b">
        <v>0</v>
      </c>
      <c r="L936" s="10" t="b">
        <v>0</v>
      </c>
      <c r="M936" s="10" t="b">
        <v>0</v>
      </c>
      <c r="N936" s="10" t="b">
        <v>0</v>
      </c>
      <c r="O936" s="11" t="b">
        <f t="shared" si="1"/>
        <v>0</v>
      </c>
      <c r="P936" s="16" t="b">
        <v>0</v>
      </c>
      <c r="Q936" s="7"/>
    </row>
    <row r="937">
      <c r="A937" s="5" t="b">
        <v>1</v>
      </c>
      <c r="B937" s="5" t="s">
        <v>983</v>
      </c>
      <c r="C937" s="6" t="str">
        <f>IFERROR(__xludf.DUMMYFUNCTION("""COMPUTED_VALUE"""),"10.1145/2884781.2884853")</f>
        <v>10.1145/2884781.2884853</v>
      </c>
      <c r="D937" s="7" t="str">
        <f>IFERROR(__xludf.DUMMYFUNCTION("""COMPUTED_VALUE"""),"Mirzaei N.; Garcia J.; Bagheri H.; Sadeghi A.; Malek S.")</f>
        <v>Mirzaei N.; Garcia J.; Bagheri H.; Sadeghi A.; Malek S.</v>
      </c>
      <c r="E937" s="7" t="str">
        <f>IFERROR(__xludf.DUMMYFUNCTION("""COMPUTED_VALUE"""),"Reducing combinatorics in GUI testing of android applications")</f>
        <v>Reducing combinatorics in GUI testing of android applications</v>
      </c>
      <c r="F937" s="7" t="str">
        <f>IFERROR(__xludf.DUMMYFUNCTION("""COMPUTED_VALUE"""),"ICSE")</f>
        <v>ICSE</v>
      </c>
      <c r="G937" s="7" t="str">
        <f>IFERROR(__xludf.DUMMYFUNCTION("""COMPUTED_VALUE"""),"The rising popularity of Android and the GUI-driven nature of its apps have motivated the need for applicable automated GUI testing techniques. Although exhaustive testing of all possible combinations is the ideal upper bound in combinatorial testing, it "&amp;"is often infeasible, due to the combinatorial explosion of test cases. This paper presents TrimDroid, a framework for GUI testing of Android apps that uses a novel strategy to generate tests in a combinatorial, yet scalable, fashion. It is backed with aut"&amp;"omated program analysis and formally rigorous test generation engines. TrimDroid relies on program analysis to extract formal specifications. These speci-fications express the app's behavior (i.e., control flow between the various app screens) as well as "&amp;"the GUI elements and their dependencies. The dependencies among the GUI elements comprising the app are used to reduce the number of combinations with the help of a solver. Our experiments have corroborated TrimDroid's ability to achieve a comparable cove"&amp;"rage as that possible under exhaustive GUI testing using significantly fewer test cases. © 2016 ACM.")</f>
        <v>The rising popularity of Android and the GUI-driven nature of its apps have motivated the need for applicable automated GUI testing techniques. Although exhaustive testing of all possible combinations is the ideal upper bound in combinatorial testing, it is often infeasible, due to the combinatorial explosion of test cases. This paper presents TrimDroid, a framework for GUI testing of Android apps that uses a novel strategy to generate tests in a combinatorial, yet scalable, fashion. It is backed with automated program analysis and formally rigorous test generation engines. TrimDroid relies on program analysis to extract formal specifications. These speci-fications express the app's behavior (i.e., control flow between the various app screens) as well as the GUI elements and their dependencies. The dependencies among the GUI elements comprising the app are used to reduce the number of combinations with the help of a solver. Our experiments have corroborated TrimDroid's ability to achieve a comparable coverage as that possible under exhaustive GUI testing using significantly fewer test cases. © 2016 ACM.</v>
      </c>
      <c r="H937" s="8" t="str">
        <f>IFERROR(__xludf.DUMMYFUNCTION("""COMPUTED_VALUE"""),"Android; Input Generation; Software Testing")</f>
        <v>Android; Input Generation; Software Testing</v>
      </c>
      <c r="I937" s="10" t="b">
        <v>0</v>
      </c>
      <c r="J937" s="10" t="b">
        <v>0</v>
      </c>
      <c r="K937" s="10" t="b">
        <v>0</v>
      </c>
      <c r="L937" s="10" t="b">
        <v>0</v>
      </c>
      <c r="M937" s="10" t="b">
        <v>0</v>
      </c>
      <c r="N937" s="10" t="b">
        <v>0</v>
      </c>
      <c r="O937" s="11" t="b">
        <f t="shared" si="1"/>
        <v>0</v>
      </c>
      <c r="P937" s="16" t="b">
        <v>0</v>
      </c>
      <c r="Q937" s="7"/>
    </row>
    <row r="938">
      <c r="A938" s="5" t="b">
        <v>1</v>
      </c>
      <c r="B938" s="5" t="s">
        <v>984</v>
      </c>
      <c r="C938" s="6" t="str">
        <f>IFERROR(__xludf.DUMMYFUNCTION("""COMPUTED_VALUE"""),"10.1145/1985441.1985466")</f>
        <v>10.1145/1985441.1985466</v>
      </c>
      <c r="D938" s="7" t="str">
        <f>IFERROR(__xludf.DUMMYFUNCTION("""COMPUTED_VALUE"""),"Hindle A.; Ernst N.A.; Godfrey M.W.; Mylopoulos J.")</f>
        <v>Hindle A.; Ernst N.A.; Godfrey M.W.; Mylopoulos J.</v>
      </c>
      <c r="E938" s="7" t="str">
        <f>IFERROR(__xludf.DUMMYFUNCTION("""COMPUTED_VALUE"""),"Automated topic naming to support cross-project analysis of software maintenance activities")</f>
        <v>Automated topic naming to support cross-project analysis of software maintenance activities</v>
      </c>
      <c r="F938" s="7" t="str">
        <f>IFERROR(__xludf.DUMMYFUNCTION("""COMPUTED_VALUE"""),"ICSE")</f>
        <v>ICSE</v>
      </c>
      <c r="G938" s="7" t="str">
        <f>IFERROR(__xludf.DUMMYFUNCTION("""COMPUTED_VALUE"""),"Researchers have employed a variety of techniques to extract underlying topics that relate to software development artifacts. Typically, these techniques use semi-unsupervised machine-learning algorithms to suggest candidate word-lists. However, word-list"&amp;"s are difficult to interpret in the absence of meaningful summary labels. Current topic modeling techniques assume manual labelling and do not use domainspecific knowledge to improve, contextualize, or describe results for the developers. We propose a sol"&amp;"ution: automated labelled topic extraction. Topics are extracted using Latent Dirichlet Allocation (LDA) from commit-log comments recovered from source control systems such as CVS and Bit-Keeper. These topics are given labels from a generalizable cross-pr"&amp;"oject taxonomy, consisting of non-functional requirements. Our approach was evaluated with experiments and case studies on two large-scale RDBMS projects: MySQL and MaxDB. The case studies show that labelled topic extraction can produce appropriate, conte"&amp;"xt-sensitive labels relevant to these projects, which provides fresh insight into their evolving software development activities. © 2011 ACM.")</f>
        <v>Researchers have employed a variety of techniques to extract underlying topics that relate to software development artifacts. Typically, these techniques use semi-unsupervised machine-learning algorithms to suggest candidate word-lists. However, word-lists are difficult to interpret in the absence of meaningful summary labels. Current topic modeling techniques assume manual labelling and do not use domainspecific knowledge to improve, contextualize, or describe results for the developers. We propose a solution: automated labelled topic extraction. Topics are extracted using Latent Dirichlet Allocation (LDA) from commit-log comments recovered from source control systems such as CVS and Bit-Keeper. These topics are given labels from a generalizable cross-project taxonomy, consisting of non-functional requirements. Our approach was evaluated with experiments and case studies on two large-scale RDBMS projects: MySQL and MaxDB. The case studies show that labelled topic extraction can produce appropriate, context-sensitive labels relevant to these projects, which provides fresh insight into their evolving software development activities. © 2011 ACM.</v>
      </c>
      <c r="H938" s="8" t="str">
        <f>IFERROR(__xludf.DUMMYFUNCTION("""COMPUTED_VALUE"""),"lda; non-functional requirements; topic analysis")</f>
        <v>lda; non-functional requirements; topic analysis</v>
      </c>
      <c r="I938" s="10" t="b">
        <v>0</v>
      </c>
      <c r="J938" s="10" t="b">
        <v>0</v>
      </c>
      <c r="K938" s="10" t="b">
        <v>0</v>
      </c>
      <c r="L938" s="10" t="b">
        <v>0</v>
      </c>
      <c r="M938" s="10" t="b">
        <v>0</v>
      </c>
      <c r="N938" s="10" t="b">
        <v>0</v>
      </c>
      <c r="O938" s="11" t="b">
        <f t="shared" si="1"/>
        <v>0</v>
      </c>
      <c r="P938" s="16" t="b">
        <v>0</v>
      </c>
      <c r="Q938" s="7"/>
    </row>
    <row r="939">
      <c r="A939" s="5" t="b">
        <v>1</v>
      </c>
      <c r="B939" s="5" t="s">
        <v>985</v>
      </c>
      <c r="C939" s="6" t="str">
        <f>IFERROR(__xludf.DUMMYFUNCTION("""COMPUTED_VALUE"""),"10.1145/1987856.1987865")</f>
        <v>10.1145/1987856.1987865</v>
      </c>
      <c r="D939" s="7" t="str">
        <f>IFERROR(__xludf.DUMMYFUNCTION("""COMPUTED_VALUE"""),"Welsh K.; Bencomo N.; Sawyer P.")</f>
        <v>Welsh K.; Bencomo N.; Sawyer P.</v>
      </c>
      <c r="E939" s="7" t="str">
        <f>IFERROR(__xludf.DUMMYFUNCTION("""COMPUTED_VALUE"""),"Tracing requirements for adaptive systems using claims")</f>
        <v>Tracing requirements for adaptive systems using claims</v>
      </c>
      <c r="F939" s="7" t="str">
        <f>IFERROR(__xludf.DUMMYFUNCTION("""COMPUTED_VALUE"""),"ICSE")</f>
        <v>ICSE</v>
      </c>
      <c r="G939" s="7" t="str">
        <f>IFERROR(__xludf.DUMMYFUNCTION("""COMPUTED_VALUE"""),"The complexity of environments faced by dynamically adaptive systems (DAS) means that the RE process will often be iterative with analysts revisiting the system specifications based on new environmental understanding product of experiences with experiment"&amp;"al deployments, or even after final deployments. An ability to trace backwards to an identified environmental assumption, and to trace forwards to find the areas of a DAS's specification that are affected by changes in environmental understanding aids in "&amp;"supporting this necessarily iterative RE process. This paper demonstrates how claims can be used as markers for areas of uncertainty in a DAS specification. The paper demonstrates backward tracing using claims to identify faulty environmental understandin"&amp;"g, and forward tracing to allow generation of new behaviour in the form of policy adaptations and models for transitioning the running system. © 2011 ACM.")</f>
        <v>The complexity of environments faced by dynamically adaptive systems (DAS) means that the RE process will often be iterative with analysts revisiting the system specifications based on new environmental understanding product of experiences with experimental deployments, or even after final deployments. An ability to trace backwards to an identified environmental assumption, and to trace forwards to find the areas of a DAS's specification that are affected by changes in environmental understanding aids in supporting this necessarily iterative RE process. This paper demonstrates how claims can be used as markers for areas of uncertainty in a DAS specification. The paper demonstrates backward tracing using claims to identify faulty environmental understanding, and forward tracing to allow generation of new behaviour in the form of policy adaptations and models for transitioning the running system. © 2011 ACM.</v>
      </c>
      <c r="H939" s="8" t="str">
        <f>IFERROR(__xludf.DUMMYFUNCTION("""COMPUTED_VALUE"""),"adaptive systems; claims; requirements; traceability")</f>
        <v>adaptive systems; claims; requirements; traceability</v>
      </c>
      <c r="I939" s="10" t="b">
        <v>0</v>
      </c>
      <c r="J939" s="10" t="b">
        <v>0</v>
      </c>
      <c r="K939" s="10" t="b">
        <v>0</v>
      </c>
      <c r="L939" s="10" t="b">
        <v>0</v>
      </c>
      <c r="M939" s="10" t="b">
        <v>0</v>
      </c>
      <c r="N939" s="10" t="b">
        <v>0</v>
      </c>
      <c r="O939" s="11" t="b">
        <f t="shared" si="1"/>
        <v>0</v>
      </c>
      <c r="P939" s="16" t="b">
        <v>0</v>
      </c>
      <c r="Q939" s="7"/>
    </row>
    <row r="940">
      <c r="A940" s="5" t="b">
        <v>1</v>
      </c>
      <c r="B940" s="5" t="s">
        <v>986</v>
      </c>
      <c r="C940" s="6" t="str">
        <f>IFERROR(__xludf.DUMMYFUNCTION("""COMPUTED_VALUE"""),"10.1145/3194133.3194147")</f>
        <v>10.1145/3194133.3194147</v>
      </c>
      <c r="D940" s="7" t="str">
        <f>IFERROR(__xludf.DUMMYFUNCTION("""COMPUTED_VALUE"""),"Rodrigues A.; Caldas R.D.; Rodrigues G.N.; Vogel T.; Pelliccione P.")</f>
        <v>Rodrigues A.; Caldas R.D.; Rodrigues G.N.; Vogel T.; Pelliccione P.</v>
      </c>
      <c r="E940" s="7" t="str">
        <f>IFERROR(__xludf.DUMMYFUNCTION("""COMPUTED_VALUE"""),"A learning approach to enhance assurances for real-time self-adaptive systems")</f>
        <v>A learning approach to enhance assurances for real-time self-adaptive systems</v>
      </c>
      <c r="F940" s="7" t="str">
        <f>IFERROR(__xludf.DUMMYFUNCTION("""COMPUTED_VALUE"""),"ICSE")</f>
        <v>ICSE</v>
      </c>
      <c r="G940" s="7" t="str">
        <f>IFERROR(__xludf.DUMMYFUNCTION("""COMPUTED_VALUE"""),"The assurance of real-time properties is prone to context variability. Providing such assurance at design time would require to check all the possible context and system variations or to predict which one will be actually used. Both cases are not viable i"&amp;"n practice since there are too many possibilities to foresee. Moreover, the knowledge required to fully provide the assurance for self-adaptive systems is only available at runtime and therefore difficult to predict at early development stages. Despite al"&amp;"l the efforts on assurances for self-adaptive systems at design or runtime, there is still a gap on verifying and validating real-time constraints accounting for context variability. To fill this gap, we propose a method to provide assurance of self-adapt"&amp;"ive systems, at design- and runtime, with special focus on real-time constraints. We combine off-line requirements elicitation and model checking with on-line data collection and data mining to guarantee the system's goals, both functional and non-functio"&amp;"nal, with fine tuning of the adaptation policies towards the optimization of quality attributes. We experimentally evaluate our method on a simulated prototype of a Body Sensor Network system (BSN) implemented in OpenDaVINCI. The results of the validation"&amp;" are promising and show that our method is effective in providing evidence that support the provision of assurance. © 2018 ACM.")</f>
        <v>The assurance of real-time properties is prone to context variability. Providing such assurance at design time would require to check all the possible context and system variations or to predict which one will be actually used. Both cases are not viable in practice since there are too many possibilities to foresee. Moreover, the knowledge required to fully provide the assurance for self-adaptive systems is only available at runtime and therefore difficult to predict at early development stages. Despite all the efforts on assurances for self-adaptive systems at design or runtime, there is still a gap on verifying and validating real-time constraints accounting for context variability. To fill this gap, we propose a method to provide assurance of self-adaptive systems, at design- and runtime, with special focus on real-time constraints. We combine off-line requirements elicitation and model checking with on-line data collection and data mining to guarantee the system's goals, both functional and non-functional, with fine tuning of the adaptation policies towards the optimization of quality attributes. We experimentally evaluate our method on a simulated prototype of a Body Sensor Network system (BSN) implemented in OpenDaVINCI. The results of the validation are promising and show that our method is effective in providing evidence that support the provision of assurance. © 2018 ACM.</v>
      </c>
      <c r="H940" s="8" t="str">
        <f>IFERROR(__xludf.DUMMYFUNCTION("""COMPUTED_VALUE"""),"assurance evidence; data mining; goal-oriented; learning approach; real-time systems; self-adaptive systems")</f>
        <v>assurance evidence; data mining; goal-oriented; learning approach; real-time systems; self-adaptive systems</v>
      </c>
      <c r="I940" s="10" t="b">
        <v>0</v>
      </c>
      <c r="J940" s="10" t="b">
        <v>0</v>
      </c>
      <c r="K940" s="10" t="b">
        <v>0</v>
      </c>
      <c r="L940" s="10" t="b">
        <v>0</v>
      </c>
      <c r="M940" s="10" t="b">
        <v>0</v>
      </c>
      <c r="N940" s="10" t="b">
        <v>0</v>
      </c>
      <c r="O940" s="11" t="b">
        <f t="shared" si="1"/>
        <v>0</v>
      </c>
      <c r="P940" s="16" t="b">
        <v>0</v>
      </c>
      <c r="Q940" s="7"/>
    </row>
    <row r="941">
      <c r="A941" s="5" t="b">
        <v>1</v>
      </c>
      <c r="B941" s="5" t="s">
        <v>987</v>
      </c>
      <c r="C941" s="6"/>
      <c r="D941" s="7"/>
      <c r="E941" s="7" t="str">
        <f>IFERROR(__xludf.DUMMYFUNCTION("""COMPUTED_VALUE"""),"Proceedings - International Conference on Software Engineering")</f>
        <v>Proceedings - International Conference on Software Engineering</v>
      </c>
      <c r="F941" s="7" t="str">
        <f>IFERROR(__xludf.DUMMYFUNCTION("""COMPUTED_VALUE"""),"ICSE")</f>
        <v>ICSE</v>
      </c>
      <c r="G941" s="7" t="str">
        <f>IFERROR(__xludf.DUMMYFUNCTION("""COMPUTED_VALUE"""),"The proceedings contain 229 papers. The topics discussed include: SATD detector: a text-mining-based self-admitted technical debt detection tool; Aletheia: a failure diagnosis toolchain; when the testing gets tough, the tough get ElasTest; an extensible, "&amp;"regular-expression-based tool for multi-language mutant generation; MDroid+: a mutation testing framework for android; the Palladio-bench for modeling and simulating software architectures; PerformanceHat - augmenting source code with runtime performance "&amp;"traces in the IDE; GuideGen - a tool for keeping requirements and acceptance tests aligned; EVA: a tool for visualizing software architectural evolution; SAFL: increasing and accelerating testing coverage with symbolic execution and guided fuzzing; Kernel"&amp;"Haven - an experimentation workbench for analyzing software product lines; Elixir: an automated repair tool for java programs; multi-view editing of software product lines with PEoPL; VisuFlow: a debugging environment for static analyses; MDebugger: a mod"&amp;"el-level debugger for UML-RT; COMB: computing relevant program behaviors; the gamma statechart composition framework: design, verification and code generation for component-based reactive systems; understanding the role of reporting in work item tracking "&amp;"systems for software development: an industrial case study; a methodology to teaching statistical process control for software engineers; continuous inspection in the classroom: improving students' programming quality with social coding methods; and a mul"&amp;"ti-year analysis of students' build errors in agile software development educational projects.")</f>
        <v>The proceedings contain 229 papers. The topics discussed include: SATD detector: a text-mining-based self-admitted technical debt detection tool; Aletheia: a failure diagnosis toolchain; when the testing gets tough, the tough get ElasTest; an extensible, regular-expression-based tool for multi-language mutant generation; MDroid+: a mutation testing framework for android; the Palladio-bench for modeling and simulating software architectures; PerformanceHat - augmenting source code with runtime performance traces in the IDE; GuideGen - a tool for keeping requirements and acceptance tests aligned; EVA: a tool for visualizing software architectural evolution; SAFL: increasing and accelerating testing coverage with symbolic execution and guided fuzzing; KernelHaven - an experimentation workbench for analyzing software product lines; Elixir: an automated repair tool for java programs; multi-view editing of software product lines with PEoPL; VisuFlow: a debugging environment for static analyses; MDebugger: a model-level debugger for UML-RT; COMB: computing relevant program behaviors; the gamma statechart composition framework: design, verification and code generation for component-based reactive systems; understanding the role of reporting in work item tracking systems for software development: an industrial case study; a methodology to teaching statistical process control for software engineers; continuous inspection in the classroom: improving students' programming quality with social coding methods; and a multi-year analysis of students' build errors in agile software development educational projects.</v>
      </c>
      <c r="H941" s="8"/>
      <c r="I941" s="10" t="b">
        <v>0</v>
      </c>
      <c r="J941" s="10" t="b">
        <v>0</v>
      </c>
      <c r="K941" s="10" t="b">
        <v>0</v>
      </c>
      <c r="L941" s="10" t="b">
        <v>0</v>
      </c>
      <c r="M941" s="10" t="b">
        <v>0</v>
      </c>
      <c r="N941" s="10" t="b">
        <v>0</v>
      </c>
      <c r="O941" s="11" t="b">
        <f t="shared" si="1"/>
        <v>0</v>
      </c>
      <c r="P941" s="16" t="b">
        <v>0</v>
      </c>
      <c r="Q941" s="7"/>
    </row>
    <row r="942">
      <c r="A942" s="5" t="b">
        <v>1</v>
      </c>
      <c r="B942" s="5" t="s">
        <v>988</v>
      </c>
      <c r="C942" s="6" t="str">
        <f>IFERROR(__xludf.DUMMYFUNCTION("""COMPUTED_VALUE"""),"10.1145/1985793.1985922")</f>
        <v>10.1145/1985793.1985922</v>
      </c>
      <c r="D942" s="7" t="str">
        <f>IFERROR(__xludf.DUMMYFUNCTION("""COMPUTED_VALUE"""),"Li Y.; Narayan N.; Helming J.; Koegel M.")</f>
        <v>Li Y.; Narayan N.; Helming J.; Koegel M.</v>
      </c>
      <c r="E942" s="7" t="str">
        <f>IFERROR(__xludf.DUMMYFUNCTION("""COMPUTED_VALUE"""),"A domain specific requirements model for scientific computing (NIER track)")</f>
        <v>A domain specific requirements model for scientific computing (NIER track)</v>
      </c>
      <c r="F942" s="7" t="str">
        <f>IFERROR(__xludf.DUMMYFUNCTION("""COMPUTED_VALUE"""),"ICSE")</f>
        <v>ICSE</v>
      </c>
      <c r="G942" s="7" t="str">
        <f>IFERROR(__xludf.DUMMYFUNCTION("""COMPUTED_VALUE"""),"Requirements engineering is a core activity in software engineering. However, formal requirements engineering methodologies and documented requirements are often missing in scientific computing projects. We claim that there is a need for methodologies, wh"&amp;"ich capture requirements for scientific computing projects, because traditional requirements engineering methodologies are difficult to apply in this domain. We propose a novel domain specific requirements model to meet this need. We conducted an explorat"&amp;"ory experiment to evaluate the usage of this model in scientific computing projects. The results indicate that the proposed model facilitates the communication across the domain boundary, which is between the scientific computing domain and the software e"&amp;"ngineering domain. It supports requirements elicitation for the projects efficiently. © 2011 ACM.")</f>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 2011 ACM.</v>
      </c>
      <c r="H942" s="8" t="str">
        <f>IFERROR(__xludf.DUMMYFUNCTION("""COMPUTED_VALUE"""),"domain specific; requirements modeling; scientific computing")</f>
        <v>domain specific; requirements modeling; scientific computing</v>
      </c>
      <c r="I942" s="10" t="b">
        <v>0</v>
      </c>
      <c r="J942" s="10" t="b">
        <v>0</v>
      </c>
      <c r="K942" s="10" t="b">
        <v>0</v>
      </c>
      <c r="L942" s="10" t="b">
        <v>0</v>
      </c>
      <c r="M942" s="10" t="b">
        <v>0</v>
      </c>
      <c r="N942" s="10" t="b">
        <v>0</v>
      </c>
      <c r="O942" s="11" t="b">
        <f t="shared" si="1"/>
        <v>0</v>
      </c>
      <c r="P942" s="16" t="b">
        <v>0</v>
      </c>
      <c r="Q942" s="7"/>
    </row>
    <row r="943">
      <c r="A943" s="5" t="b">
        <v>1</v>
      </c>
      <c r="B943" s="5" t="s">
        <v>989</v>
      </c>
      <c r="C943" s="6" t="str">
        <f>IFERROR(__xludf.DUMMYFUNCTION("""COMPUTED_VALUE"""),"10.1109/ICSE.2017.13")</f>
        <v>10.1109/ICSE.2017.13</v>
      </c>
      <c r="D943" s="7" t="str">
        <f>IFERROR(__xludf.DUMMYFUNCTION("""COMPUTED_VALUE"""),"Rodeghero P.; Jiang S.; Armaly A.; McMillan C.")</f>
        <v>Rodeghero P.; Jiang S.; Armaly A.; McMillan C.</v>
      </c>
      <c r="E943" s="7" t="str">
        <f>IFERROR(__xludf.DUMMYFUNCTION("""COMPUTED_VALUE"""),"Detecting User Story Information in Developer-Client Conversations to Generate Extractive Summaries")</f>
        <v>Detecting User Story Information in Developer-Client Conversations to Generate Extractive Summaries</v>
      </c>
      <c r="F943" s="7" t="str">
        <f>IFERROR(__xludf.DUMMYFUNCTION("""COMPUTED_VALUE"""),"ICSE")</f>
        <v>ICSE</v>
      </c>
      <c r="G943" s="7" t="str">
        <f>IFERROR(__xludf.DUMMYFUNCTION("""COMPUTED_VALUE"""),"User stories are descriptions of functionality that a software user needs. They play an important role in determining which software requirements and bug fixes should be handled and in what order. Developers elicit user stories through meetings with custo"&amp;"mers. But user story elicitation is complex, and involves many passes to accommodate shifting and unclear customer needs. The result is that developers must take detailed notes during meetings or risk missing important information. Ideally, developers wou"&amp;"ld be freed of the need to take notes themselves, and instead speak naturally with their customers. This paper is a step towards that ideal. We present a technique for automatically extracting information relevant to user stories from recorded conversatio"&amp;"ns between customers and developers. We perform a qualitative study to demonstrate that user story information exists in these conversations in a sufficient quantity to extract automatically. From this, we found that roughly 10.2% of these conversations c"&amp;"ontained user story information. Then, we test our technique in a quantitative study to determine the degree to which our technique can extract user story information. In our experiment, our process obtained about 70.8% precision and 18.3% recall on the i"&amp;"nformation. © 2017 IEEE.")</f>
        <v>User stories are descriptions of functionality that a software user needs. They play an important role in determining which software requirements and bug fixes should be handled and in what order. Developers elicit user stories through meetings with customers. But user story elicitation is complex, and involves many passes to accommodate shifting and unclear customer needs. The result is that developers must take detailed notes during meetings or risk missing important information. Ideally, developers would be freed of the need to take notes themselves, and instead speak naturally with their customers. This paper is a step towards that ideal. We present a technique for automatically extracting information relevant to user stories from recorded conversations between customers and developers. We perform a qualitative study to demonstrate that user story information exists in these conversations in a sufficient quantity to extract automatically. From this, we found that roughly 10.2% of these conversations contained user story information. Then, we test our technique in a quantitative study to determine the degree to which our technique can extract user story information. In our experiment, our process obtained about 70.8% precision and 18.3% recall on the information. © 2017 IEEE.</v>
      </c>
      <c r="H943" s="8" t="str">
        <f>IFERROR(__xludf.DUMMYFUNCTION("""COMPUTED_VALUE"""),"developer communication; productivity; software engineering; transcripts; user story generation")</f>
        <v>developer communication; productivity; software engineering; transcripts; user story generation</v>
      </c>
      <c r="I943" s="10" t="b">
        <v>0</v>
      </c>
      <c r="J943" s="10" t="b">
        <v>0</v>
      </c>
      <c r="K943" s="10" t="b">
        <v>0</v>
      </c>
      <c r="L943" s="10" t="b">
        <v>0</v>
      </c>
      <c r="M943" s="10" t="b">
        <v>0</v>
      </c>
      <c r="N943" s="10" t="b">
        <v>0</v>
      </c>
      <c r="O943" s="11" t="b">
        <f t="shared" si="1"/>
        <v>0</v>
      </c>
      <c r="P943" s="16" t="b">
        <v>0</v>
      </c>
      <c r="Q943" s="7"/>
    </row>
    <row r="944">
      <c r="A944" s="5" t="b">
        <v>1</v>
      </c>
      <c r="B944" s="5" t="s">
        <v>990</v>
      </c>
      <c r="C944" s="6" t="str">
        <f>IFERROR(__xludf.DUMMYFUNCTION("""COMPUTED_VALUE"""),"10.1145/1808920.1808922")</f>
        <v>10.1145/1808920.1808922</v>
      </c>
      <c r="D944" s="7" t="str">
        <f>IFERROR(__xludf.DUMMYFUNCTION("""COMPUTED_VALUE"""),"Carlos C.-H.; Jane C.-H.")</f>
        <v>Carlos C.-H.; Jane C.-H.</v>
      </c>
      <c r="E944" s="7" t="str">
        <f>IFERROR(__xludf.DUMMYFUNCTION("""COMPUTED_VALUE"""),"Utilizing recommender systems to support software requirements elicitation")</f>
        <v>Utilizing recommender systems to support software requirements elicitation</v>
      </c>
      <c r="F944" s="7" t="str">
        <f>IFERROR(__xludf.DUMMYFUNCTION("""COMPUTED_VALUE"""),"ICSE")</f>
        <v>ICSE</v>
      </c>
      <c r="G944" s="7" t="str">
        <f>IFERROR(__xludf.DUMMYFUNCTION("""COMPUTED_VALUE"""),"Requirements Engineering involves a number of human intensive activities designed to help project stakeholders discover, analyze, and specify the functional and non-functional needs for a software intensive system. Recommender systems can support several "&amp;"different areas of this process including identifying potential subject matter experts for a topic, keeping individual stakeholders informed of relevant issues, and even recommending possible features for stakeholders to consider and explore. This positio"&amp;"n paper summarizes an extensive series of experiments that were conducted to identify best-of-breed algorithms for recommending forums to stakeholders and recommending unexplored topics to project managers. Copyright © 2010 ACM.")</f>
        <v>Requirements Engineering involves a number of human intensive activities designed to help project stakeholders discover, analyze, and specify the functional and non-functional needs for a software intensive system. Recommender systems can support several different areas of this process including identifying potential subject matter experts for a topic, keeping individual stakeholders informed of relevant issues, and even recommending possible features for stakeholders to consider and explore. This position paper summarizes an extensive series of experiments that were conducted to identify best-of-breed algorithms for recommending forums to stakeholders and recommending unexplored topics to project managers. Copyright © 2010 ACM.</v>
      </c>
      <c r="H944" s="8" t="str">
        <f>IFERROR(__xludf.DUMMYFUNCTION("""COMPUTED_VALUE"""),"Recommender systems; Requirements elicitation; Stakeholders; Subject matter experts")</f>
        <v>Recommender systems; Requirements elicitation; Stakeholders; Subject matter experts</v>
      </c>
      <c r="I944" s="10" t="b">
        <v>0</v>
      </c>
      <c r="J944" s="10" t="b">
        <v>0</v>
      </c>
      <c r="K944" s="10" t="b">
        <v>0</v>
      </c>
      <c r="L944" s="10" t="b">
        <v>0</v>
      </c>
      <c r="M944" s="10" t="b">
        <v>0</v>
      </c>
      <c r="N944" s="10" t="b">
        <v>0</v>
      </c>
      <c r="O944" s="11" t="b">
        <f t="shared" si="1"/>
        <v>0</v>
      </c>
      <c r="P944" s="16" t="b">
        <v>0</v>
      </c>
      <c r="Q944" s="7"/>
    </row>
    <row r="945">
      <c r="A945" s="5" t="b">
        <v>1</v>
      </c>
      <c r="B945" s="5" t="s">
        <v>991</v>
      </c>
      <c r="C945" s="6" t="str">
        <f>IFERROR(__xludf.DUMMYFUNCTION("""COMPUTED_VALUE"""),"10.1145/1988008.1988015")</f>
        <v>10.1145/1988008.1988015</v>
      </c>
      <c r="D945" s="7" t="str">
        <f>IFERROR(__xludf.DUMMYFUNCTION("""COMPUTED_VALUE"""),"Nakagawa H.; Ohsuga A.; Honiden S.")</f>
        <v>Nakagawa H.; Ohsuga A.; Honiden S.</v>
      </c>
      <c r="E945" s="7" t="str">
        <f>IFERROR(__xludf.DUMMYFUNCTION("""COMPUTED_VALUE"""),"Gocc: A configuration compiler for self-adaptive systems using goal-oriented requirements description")</f>
        <v>Gocc: A configuration compiler for self-adaptive systems using goal-oriented requirements description</v>
      </c>
      <c r="F945" s="7" t="str">
        <f>IFERROR(__xludf.DUMMYFUNCTION("""COMPUTED_VALUE"""),"ICSE")</f>
        <v>ICSE</v>
      </c>
      <c r="G945" s="7" t="str">
        <f>IFERROR(__xludf.DUMMYFUNCTION("""COMPUTED_VALUE"""),"Self-adaptive systems have recently attracted attention because of their ability to cope with changing environments, including system intrusions or faults. Such software must modify itself to better fit its environment, and one of the approaches by which "&amp;"we expect this capability to be achieved is the introduction of multiple control loops to assess the situation and to determine whether a change in behaviors or configurations is necessary and how to implement the change. Development of such systems with "&amp;"multiple control loops complicates the task of identifying components, and could be greatly aided by appropriate tool support. In this paper, we propose an architectural compiler for self-adaptive systems, which generates architectural configurations from"&amp;" the goal-oriented requirements descriptions. We also present a framework for generating such configurations with this compiler and a pattern in the requirements description. We evaluate the framework experimentally and show that it helps to generate suit"&amp;"able configurations that have high performance, and that the compiler scales well to large input models. © 2011 ACM.")</f>
        <v>Self-adaptive systems have recently attracted attention because of their ability to cope with changing environments, including system intrusions or faults. Such software must modify itself to better fit its environment, and one of the approaches by which we expect this capability to be achieved is the introduction of multiple control loops to assess the situation and to determine whether a change in behaviors or configurations is necessary and how to implement the change. Development of such systems with multiple control loops complicates the task of identifying components, and could be greatly aided by appropriate tool support. In this paper, we propose an architectural compiler for self-adaptive systems, which generates architectural configurations from the goal-oriented requirements descriptions. We also present a framework for generating such configurations with this compiler and a pattern in the requirements description. We evaluate the framework experimentally and show that it helps to generate suitable configurations that have high performance, and that the compiler scales well to large input models. © 2011 ACM.</v>
      </c>
      <c r="H945" s="8" t="str">
        <f>IFERROR(__xludf.DUMMYFUNCTION("""COMPUTED_VALUE"""),"Development framework; Goal-oriented requirements analysis; Self-adaptive systems; Software architecture")</f>
        <v>Development framework; Goal-oriented requirements analysis; Self-adaptive systems; Software architecture</v>
      </c>
      <c r="I945" s="10" t="b">
        <v>0</v>
      </c>
      <c r="J945" s="10" t="b">
        <v>0</v>
      </c>
      <c r="K945" s="10" t="b">
        <v>0</v>
      </c>
      <c r="L945" s="10" t="b">
        <v>0</v>
      </c>
      <c r="M945" s="10" t="b">
        <v>0</v>
      </c>
      <c r="N945" s="10" t="b">
        <v>0</v>
      </c>
      <c r="O945" s="11" t="b">
        <f t="shared" si="1"/>
        <v>0</v>
      </c>
      <c r="P945" s="16" t="b">
        <v>0</v>
      </c>
      <c r="Q945" s="7"/>
    </row>
    <row r="946">
      <c r="A946" s="5" t="b">
        <v>1</v>
      </c>
      <c r="B946" s="5" t="s">
        <v>992</v>
      </c>
      <c r="C946" s="6" t="str">
        <f>IFERROR(__xludf.DUMMYFUNCTION("""COMPUTED_VALUE"""),"10.1145/3193992.3194001")</f>
        <v>10.1145/3193992.3194001</v>
      </c>
      <c r="D946" s="7" t="str">
        <f>IFERROR(__xludf.DUMMYFUNCTION("""COMPUTED_VALUE"""),"Borda A.; Koutavas V.")</f>
        <v>Borda A.; Koutavas V.</v>
      </c>
      <c r="E946" s="7" t="str">
        <f>IFERROR(__xludf.DUMMYFUNCTION("""COMPUTED_VALUE"""),"Self-adaptive automata")</f>
        <v>Self-adaptive automata</v>
      </c>
      <c r="F946" s="7" t="str">
        <f>IFERROR(__xludf.DUMMYFUNCTION("""COMPUTED_VALUE"""),"ICSE")</f>
        <v>ICSE</v>
      </c>
      <c r="G946" s="7" t="str">
        <f>IFERROR(__xludf.DUMMYFUNCTION("""COMPUTED_VALUE"""),"Self-adaptive systems aim to efficiently respond to a wide range of changes in their operational environment by dynamically altering their behaviour. Such systems are typically comprised of a base system, implementing core functionality, and an adaptation"&amp;" decision process, which determines how the base system must change at different points in its execution. These two components coordinate through a set of adaptation events: a set of execution points of the former where the latter is invoked. The pattern "&amp;"of these events is crucial for the overall system to achieve (a) correctness against specific requirements, and (b) efficiency of system resources. Existing techniques for modelling self-adaptive systems usually hardcode adaptation events within the base "&amp;"system or the adaptation decision process. This limits system designers in discovering correct and optimal patterns of adaptation events, as changing those involves significant changes in the model. In this work we present Self-Adaptive Automata, an abstr"&amp;"act modelling framework which decouples adaptation event patterns from the descriptions of base systems and adaptation decision processes. In our framework, base systems expose execution points where adaptation may happen-in the most general case this can"&amp;" include all system states-and adaptation decision processes are parametric to these points. A distinct automaton then pinpoints when in the system adaptation must happen. Using this framework system designers can experiment with different adaptation even"&amp;"t patterns, without modifications to the base system or the adaptation decision process, and discover correct and efficient patterns. We show that our framework is compatible with traditional verification tools by providing an adequate translation from Se"&amp;"lf-Adaptive Automata into FDR, in which correctness against requirements can be verified. We also prove that, although our automata framework includes dynamic self-modifying features, it corresponds to standard models of computation.We illustrate the use "&amp;"of our framework through a use case of a self-adaptive system of autonomous search-and-rescue rovers. © 2018 Association for Computing Machinery.")</f>
        <v>Self-adaptive systems aim to efficiently respond to a wide range of changes in their operational environment by dynamically altering their behaviour. Such systems are typically comprised of a base system, implementing core functionality, and an adaptation decision process, which determines how the base system must change at different points in its execution. These two components coordinate through a set of adaptation events: a set of execution points of the former where the latter is invoked. The pattern of these events is crucial for the overall system to achieve (a) correctness against specific requirements, and (b) efficiency of system resources. Existing techniques for modelling self-adaptive systems usually hardcode adaptation events within the base system or the adaptation decision process. This limits system designers in discovering correct and optimal patterns of adaptation events, as changing those involves significant changes in the model. In this work we present Self-Adaptive Automata, an abstract modelling framework which decouples adaptation event patterns from the descriptions of base systems and adaptation decision processes. In our framework, base systems expose execution points where adaptation may happen-in the most general case this can include all system states-and adaptation decision processes are parametric to these points. A distinct automaton then pinpoints when in the system adaptation must happen. Using this framework system designers can experiment with different adaptation event patterns, without modifications to the base system or the adaptation decision process, and discover correct and efficient patterns. We show that our framework is compatible with traditional verification tools by providing an adequate translation from Self-Adaptive Automata into FDR, in which correctness against requirements can be verified. We also prove that, although our automata framework includes dynamic self-modifying features, it corresponds to standard models of computation.We illustrate the use of our framework through a use case of a self-adaptive system of autonomous search-and-rescue rovers. © 2018 Association for Computing Machinery.</v>
      </c>
      <c r="H946" s="8"/>
      <c r="I946" s="10" t="b">
        <v>0</v>
      </c>
      <c r="J946" s="10" t="b">
        <v>0</v>
      </c>
      <c r="K946" s="10" t="b">
        <v>0</v>
      </c>
      <c r="L946" s="10" t="b">
        <v>0</v>
      </c>
      <c r="M946" s="10" t="b">
        <v>0</v>
      </c>
      <c r="N946" s="10" t="b">
        <v>0</v>
      </c>
      <c r="O946" s="11" t="b">
        <f t="shared" si="1"/>
        <v>0</v>
      </c>
      <c r="P946" s="16" t="b">
        <v>0</v>
      </c>
      <c r="Q946" s="7"/>
    </row>
    <row r="947">
      <c r="A947" s="5" t="b">
        <v>1</v>
      </c>
      <c r="B947" s="5" t="s">
        <v>993</v>
      </c>
      <c r="C947" s="6" t="str">
        <f>IFERROR(__xludf.DUMMYFUNCTION("""COMPUTED_VALUE"""),"10.1145/2889160.2889166")</f>
        <v>10.1145/2889160.2889166</v>
      </c>
      <c r="D947" s="7" t="str">
        <f>IFERROR(__xludf.DUMMYFUNCTION("""COMPUTED_VALUE"""),"Ohmann T.; Stanley R.; Beschastnikh I.; Brun Y.")</f>
        <v>Ohmann T.; Stanley R.; Beschastnikh I.; Brun Y.</v>
      </c>
      <c r="E947" s="7" t="str">
        <f>IFERROR(__xludf.DUMMYFUNCTION("""COMPUTED_VALUE"""),"Visually reasoning about system and resource behavior")</f>
        <v>Visually reasoning about system and resource behavior</v>
      </c>
      <c r="F947" s="7" t="str">
        <f>IFERROR(__xludf.DUMMYFUNCTION("""COMPUTED_VALUE"""),"ICSE")</f>
        <v>ICSE</v>
      </c>
      <c r="G947" s="7" t="str">
        <f>IFERROR(__xludf.DUMMYFUNCTION("""COMPUTED_VALUE"""),"Understanding how software utilizes resources is an important software engineering task. Existing software comprehension approaches rarely consider how resource utilization affects system behavior. We present Perfume, a general-purpose tool to help develo"&amp;"pers understand how resource utilization impacts their systems' control flow. Perfume is broadly applicable, as it is configurable to parse a wide variety of execution log formats and applies to all resource types that can be represented numerically. Perf"&amp;"ume mines temporal properties that hold over the logged executions and represents system behavior in a resource finite state automaton that satisfies the mined properties. Perfume's interactive interface allows the developers to understand system behavior"&amp;" and to formulate and test hypotheses about system executions. A controlled experiment with 40 students shows that Perfume effectively supports understanding and debugging tasks. Students using Perfume answered 8.3% more questions correctly than those usi"&amp;"ng execution logs alone and did so 15.5% more quickly. © 2016 ACM.")</f>
        <v>Understanding how software utilizes resources is an important software engineering task. Existing software comprehension approaches rarely consider how resource utilization affects system behavior. We present Perfume, a general-purpose tool to help developers understand how resource utilization impacts their systems' control flow. Perfume is broadly applicable, as it is configurable to parse a wide variety of execution log formats and applies to all resource types that can be represented numerically. Perfume mines temporal properties that hold over the logged executions and represents system behavior in a resource finite state automaton that satisfies the mined properties. Perfume's interactive interface allows the developers to understand system behavior and to formulate and test hypotheses about system executions. A controlled experiment with 40 students shows that Perfume effectively supports understanding and debugging tasks. Students using Perfume answered 8.3% more questions correctly than those using execution logs alone and did so 15.5% more quickly. © 2016 ACM.</v>
      </c>
      <c r="H947" s="8" t="str">
        <f>IFERROR(__xludf.DUMMYFUNCTION("""COMPUTED_VALUE"""),"Model inference; Resource modeling; Software comprehension; Specification mining; System understanding")</f>
        <v>Model inference; Resource modeling; Software comprehension; Specification mining; System understanding</v>
      </c>
      <c r="I947" s="9" t="b">
        <v>1</v>
      </c>
      <c r="J947" s="10" t="b">
        <v>0</v>
      </c>
      <c r="K947" s="9" t="b">
        <v>1</v>
      </c>
      <c r="L947" s="10" t="b">
        <v>0</v>
      </c>
      <c r="M947" s="10" t="b">
        <v>0</v>
      </c>
      <c r="N947" s="10" t="b">
        <v>0</v>
      </c>
      <c r="O947" s="11" t="b">
        <f t="shared" si="1"/>
        <v>0</v>
      </c>
      <c r="P947" s="16" t="b">
        <v>0</v>
      </c>
      <c r="Q947" s="7"/>
    </row>
    <row r="948">
      <c r="A948" s="5" t="b">
        <v>1</v>
      </c>
      <c r="B948" s="5" t="s">
        <v>994</v>
      </c>
      <c r="C948" s="6" t="str">
        <f>IFERROR(__xludf.DUMMYFUNCTION("""COMPUTED_VALUE"""),"10.1145/2884781.2884882")</f>
        <v>10.1145/2884781.2884882</v>
      </c>
      <c r="D948" s="7" t="str">
        <f>IFERROR(__xludf.DUMMYFUNCTION("""COMPUTED_VALUE"""),"Ernst M.D.; Lovato A.; Macedonio D.; Spoto F.; Thaine J.")</f>
        <v>Ernst M.D.; Lovato A.; Macedonio D.; Spoto F.; Thaine J.</v>
      </c>
      <c r="E948" s="7" t="str">
        <f>IFERROR(__xludf.DUMMYFUNCTION("""COMPUTED_VALUE"""),"Locking discipline inference and checking")</f>
        <v>Locking discipline inference and checking</v>
      </c>
      <c r="F948" s="7" t="str">
        <f>IFERROR(__xludf.DUMMYFUNCTION("""COMPUTED_VALUE"""),"ICSE")</f>
        <v>ICSE</v>
      </c>
      <c r="G948" s="7" t="str">
        <f>IFERROR(__xludf.DUMMYFUNCTION("""COMPUTED_VALUE"""),"Concurrency is a requirement for much modern software, but the implementation of multithreaded algorithms comes at the risk of errors such as data races. Programmers can prevent data races by documenting and obeying a locking discipline, which indicates w"&amp;"hich locks must be held in order to access which data. This paper introduces a formal semantics for locking specifications that gives a guarantee of race freedom. A notable difference from most other semantics is that it is in terms of values (which is wh"&amp;"at the runtime system locks) rather than variables. The paper also shows how to express the formal semantics in two different styles of analysis: abstract interpretation and type theory. We have implemented both analyses, in tools that operate on Java. To"&amp;" the best of our knowledge, these are the first tools that can soundly infer and check a locking discipline for Java. Our experiments compare the implementations with one another and with annotations written by programmers, showing that the ambiguities an"&amp;"d unsoundness of previous formulations are a problem in practice. © 2016 ACM.")</f>
        <v>Concurrency is a requirement for much modern software, but the implementation of multithreaded algorithms comes at the risk of errors such as data races. Programmers can prevent data races by documenting and obeying a locking discipline, which indicates which locks must be held in order to access which data. This paper introduces a formal semantics for locking specifications that gives a guarantee of race freedom. A notable difference from most other semantics is that it is in terms of values (which is what the runtime system locks) rather than variables. The paper also shows how to express the formal semantics in two different styles of analysis: abstract interpretation and type theory. We have implemented both analyses, in tools that operate on Java. To the best of our knowledge, these are the first tools that can soundly infer and check a locking discipline for Java. Our experiments compare the implementations with one another and with annotations written by programmers, showing that the ambiguities and unsoundness of previous formulations are a problem in practice. © 2016 ACM.</v>
      </c>
      <c r="H948" s="8"/>
      <c r="I948" s="10" t="b">
        <v>0</v>
      </c>
      <c r="J948" s="10" t="b">
        <v>0</v>
      </c>
      <c r="K948" s="10" t="b">
        <v>0</v>
      </c>
      <c r="L948" s="10" t="b">
        <v>0</v>
      </c>
      <c r="M948" s="10" t="b">
        <v>0</v>
      </c>
      <c r="N948" s="10" t="b">
        <v>0</v>
      </c>
      <c r="O948" s="11" t="b">
        <f t="shared" si="1"/>
        <v>0</v>
      </c>
      <c r="P948" s="16" t="b">
        <v>0</v>
      </c>
      <c r="Q948" s="7"/>
    </row>
    <row r="949">
      <c r="A949" s="5" t="b">
        <v>1</v>
      </c>
      <c r="B949" s="5" t="s">
        <v>995</v>
      </c>
      <c r="C949" s="6" t="str">
        <f>IFERROR(__xludf.DUMMYFUNCTION("""COMPUTED_VALUE"""),"10.1109/ICSE43902.2021.00151")</f>
        <v>10.1109/ICSE43902.2021.00151</v>
      </c>
      <c r="D949" s="7" t="str">
        <f>IFERROR(__xludf.DUMMYFUNCTION("""COMPUTED_VALUE"""),"Hwang S.; Lee S.; Kim J.; Ryu S.")</f>
        <v>Hwang S.; Lee S.; Kim J.; Ryu S.</v>
      </c>
      <c r="E949" s="7" t="str">
        <f>IFERROR(__xludf.DUMMYFUNCTION("""COMPUTED_VALUE"""),"JUSTGen: Effective test generation for unspecified JNI behaviors on JVMs")</f>
        <v>JUSTGen: Effective test generation for unspecified JNI behaviors on JVMs</v>
      </c>
      <c r="F949" s="7" t="str">
        <f>IFERROR(__xludf.DUMMYFUNCTION("""COMPUTED_VALUE"""),"ICSE")</f>
        <v>ICSE</v>
      </c>
      <c r="G949" s="7" t="str">
        <f>IFERROR(__xludf.DUMMYFUNCTION("""COMPUTED_VALUE"""),"Java Native Interface (JNI) provides a way for Java applications to access native libraries, but it is difficult to develop correct JNI programs. By leveraging native code, the JNI enables Java developers to implement efficient applications and to reuse c"&amp;"ode written in other programming languages such as C and C++. Besides, the core Java libraries already use the JNI to provide system features like a graphical user interface. As a result, many mainstream Java Virtual Machines (JVMs) support the JNI. Howev"&amp;"er, due to the complex interoperation semantics between different programming languages, implementing correct JNI programs is not trivial. Moreover, because of the performance overhead, JVMs do not validate erroneous JNI interoperations by default, but th"&amp;"ey validate them only when the debug feature, the -Xcheck:jni option, is enabled. Therefore, the correctness of JNI programs highly relies on the checks by the -Xcheck:jni option of JVMs. Questions remain, however, on the quality of the checks provided by"&amp;" the feature. Are there any properties that the -Xcheck:jni option fails to validate? If so, what potential issues can arise due to the lack of such validation? To the best of our knowledge, no research has explored these questions in-depth. In this paper"&amp;", we empirically study the validation quality and impacts of the -Xcheck:jni option on mainstream JVMs using unspecified corner cases in the JNI specification. Such unspecified cases may lead to unexpected run-time behaviors because their semantics is not"&amp;" defined in the specification. For a systematic study, we propose JUSTGEN, a semi-automated approach to identify unspecified cases from a specification and generate test programs. JUSTGEN receives the JNI specification written in our domain specific langu"&amp;"age (DSL), and automatically discovers unspecified cases using an SMT solver. It then generates test programs that trigger the behaviors of unspecified cases. Using the generated tests, we empirically study the validation ability of the -Xcheck:jni option"&amp;". Our experimental result shows that the JNI debug feature does not validate thousands of unspecified cases on JVMs, and they can cause critical run-time errors such as violation of the Java type system and memory corruption. We reported 792 unspecified c"&amp;"ases that are not validated by JVMs to their corresponding JVM vendors. Among them, 563 cases have been fixed and the remaining cases will be fixed in near future. Based on our empirical study, we believe that the JNI specification should specify the sema"&amp;"ntics of the missing cases clearly and the debug feature should be supported completely.  © 2021 IEEE.")</f>
        <v>Java Native Interface (JNI) provides a way for Java applications to access native libraries, but it is difficult to develop correct JNI programs. By leveraging native code, the JNI enables Java developers to implement efficient applications and to reuse code written in other programming languages such as C and C++. Besides, the core Java libraries already use the JNI to provide system features like a graphical user interface. As a result, many mainstream Java Virtual Machines (JVMs) support the JNI. However, due to the complex interoperation semantics between different programming languages, implementing correct JNI programs is not trivial. Moreover, because of the performance overhead, JVMs do not validate erroneous JNI interoperations by default, but they validate them only when the debug feature, the -Xcheck:jni option, is enabled. Therefore, the correctness of JNI programs highly relies on the checks by the -Xcheck:jni option of JVMs. Questions remain, however, on the quality of the checks provided by the feature. Are there any properties that the -Xcheck:jni option fails to validate? If so, what potential issues can arise due to the lack of such validation? To the best of our knowledge, no research has explored these questions in-depth. In this paper, we empirically study the validation quality and impacts of the -Xcheck:jni option on mainstream JVMs using unspecified corner cases in the JNI specification. Such unspecified cases may lead to unexpected run-time behaviors because their semantics is not defined in the specification. For a systematic study, we propose JUSTGEN, a semi-automated approach to identify unspecified cases from a specification and generate test programs. JUSTGEN receives the JNI specification written in our domain specific language (DSL), and automatically discovers unspecified cases using an SMT solver. It then generates test programs that trigger the behaviors of unspecified cases. Using the generated tests, we empirically study the validation ability of the -Xcheck:jni option. Our experimental result shows that the JNI debug feature does not validate thousands of unspecified cases on JVMs, and they can cause critical run-time errors such as violation of the Java type system and memory corruption. We reported 792 unspecified cases that are not validated by JVMs to their corresponding JVM vendors. Among them, 563 cases have been fixed and the remaining cases will be fixed in near future. Based on our empirical study, we believe that the JNI specification should specify the semantics of the missing cases clearly and the debug feature should be supported completely.  © 2021 IEEE.</v>
      </c>
      <c r="H949" s="8" t="str">
        <f>IFERROR(__xludf.DUMMYFUNCTION("""COMPUTED_VALUE"""),"Debugging; Empirical Study; Fuzzing; Java Native Interface; Java Virtual Machine; Testing")</f>
        <v>Debugging; Empirical Study; Fuzzing; Java Native Interface; Java Virtual Machine; Testing</v>
      </c>
      <c r="I949" s="10" t="b">
        <v>0</v>
      </c>
      <c r="J949" s="10" t="b">
        <v>0</v>
      </c>
      <c r="K949" s="10" t="b">
        <v>0</v>
      </c>
      <c r="L949" s="10" t="b">
        <v>0</v>
      </c>
      <c r="M949" s="10" t="b">
        <v>0</v>
      </c>
      <c r="N949" s="10" t="b">
        <v>0</v>
      </c>
      <c r="O949" s="11" t="b">
        <f t="shared" si="1"/>
        <v>0</v>
      </c>
      <c r="P949" s="16" t="b">
        <v>0</v>
      </c>
      <c r="Q949" s="7"/>
    </row>
    <row r="950">
      <c r="A950" s="5" t="b">
        <v>1</v>
      </c>
      <c r="B950" s="5" t="s">
        <v>996</v>
      </c>
      <c r="C950" s="6" t="str">
        <f>IFERROR(__xludf.DUMMYFUNCTION("""COMPUTED_VALUE"""),"10.1145/3183519.3183554")</f>
        <v>10.1145/3183519.3183554</v>
      </c>
      <c r="D950" s="7" t="str">
        <f>IFERROR(__xludf.DUMMYFUNCTION("""COMPUTED_VALUE"""),"Zhang C.; Yan Y.; Zhou H.; Yao Y.; Wu K.; Su T.; Miao W.; Pu G.")</f>
        <v>Zhang C.; Yan Y.; Zhou H.; Yao Y.; Wu K.; Su T.; Miao W.; Pu G.</v>
      </c>
      <c r="E950" s="7" t="str">
        <f>IFERROR(__xludf.DUMMYFUNCTION("""COMPUTED_VALUE"""),"Smartunit: Empirical evaluations for automated unit testing of embedded software in industry")</f>
        <v>Smartunit: Empirical evaluations for automated unit testing of embedded software in industry</v>
      </c>
      <c r="F950" s="7" t="str">
        <f>IFERROR(__xludf.DUMMYFUNCTION("""COMPUTED_VALUE"""),"ICSE")</f>
        <v>ICSE</v>
      </c>
      <c r="G950" s="7" t="str">
        <f>IFERROR(__xludf.DUMMYFUNCTION("""COMPUTED_VALUE"""),"In this paper, we aim at the automated unit coverage-based testing for embedded software. To achieve the goal, by analyzing the industrial requirements and our previous work on automated unit testing tool CAUT, we rebuild a new tool, SmartUnit, to solve t"&amp;"he engineering requirements that take place in our partner companies. SmartUnit is a dynamic symbolic execution implementation, which supports statement, branch, boundary value and MC/DC coverage. SmartUnit has been used to test more than one million line"&amp;"s of code in real projects. For confidentiality motives, we select three in-house real projects for the empirical evaluations. We also carry out our evaluations on two open source database projects, SQLite and PostgreSQL, to test the scalability of our to"&amp;"ol since the scale of the embedded software project is mostly not large, 5K-50K lines of code on average. From our experimental results, in general, more than 90% of functions in commercial embedded software achieve 100% statement, branch, MC/DC coverage,"&amp;" more than 80% of functions in SQLite achieve 100% MC/DC coverage, and more than 60% of functions in PostgreSQL achieve 100% MC/DC coverage. Moreover, SmartUnit is able to find the runtime exceptions at the unit testing level. We also have reported except"&amp;"ions like array index out of bounds and divided-by-zero in SQLite. Furthermore, we analyze the reasons of low coverage in automated unit testing in our setting and give a survey on the situation of manual unit testing with respect to automated unit testin"&amp;"g in industry. © 2018 ACM.")</f>
        <v>In this paper, we aim at the automated unit coverage-based testing for embedded software. To achieve the goal, by analyzing the industrial requirements and our previous work on automated unit testing tool CAUT, we rebuild a new tool, SmartUnit, to solve the engineering requirements that take place in our partner companies. SmartUnit is a dynamic symbolic execution implementation, which supports statement, branch, boundary value and MC/DC coverage. SmartUnit has been used to test more than one million lines of code in real projects. For confidentiality motives, we select three in-house real projects for the empirical evaluations. We also carry out our evaluations on two open source database projects, SQLite and PostgreSQL, to test the scalability of our tool since the scale of the embedded software project is mostly not large, 5K-50K lines of code on average. From our experimental results, in general, more than 90% of functions in commercial embedded software achieve 100% statement, branch, MC/DC coverage, more than 80% of functions in SQLite achieve 100% MC/DC coverage, and more than 60% of functions in PostgreSQL achieve 100% MC/DC coverage. Moreover, SmartUnit is able to find the runtime exceptions at the unit testing level. We also have reported exceptions like array index out of bounds and divided-by-zero in SQLite. Furthermore, we analyze the reasons of low coverage in automated unit testing in our setting and give a survey on the situation of manual unit testing with respect to automated unit testing in industry. © 2018 ACM.</v>
      </c>
      <c r="H950" s="8" t="str">
        <f>IFERROR(__xludf.DUMMYFUNCTION("""COMPUTED_VALUE"""),"Automated unit testing; Dynamic symbolic execution; Embedded system")</f>
        <v>Automated unit testing; Dynamic symbolic execution; Embedded system</v>
      </c>
      <c r="I950" s="10" t="b">
        <v>0</v>
      </c>
      <c r="J950" s="10" t="b">
        <v>0</v>
      </c>
      <c r="K950" s="10" t="b">
        <v>0</v>
      </c>
      <c r="L950" s="10" t="b">
        <v>0</v>
      </c>
      <c r="M950" s="10" t="b">
        <v>0</v>
      </c>
      <c r="N950" s="10" t="b">
        <v>0</v>
      </c>
      <c r="O950" s="11" t="b">
        <f t="shared" si="1"/>
        <v>0</v>
      </c>
      <c r="P950" s="16" t="b">
        <v>0</v>
      </c>
      <c r="Q950" s="7"/>
    </row>
    <row r="951">
      <c r="A951" s="5" t="b">
        <v>1</v>
      </c>
      <c r="B951" s="5" t="s">
        <v>997</v>
      </c>
      <c r="C951" s="6" t="str">
        <f>IFERROR(__xludf.DUMMYFUNCTION("""COMPUTED_VALUE"""),"10.1109/ICSE.2012.6227227")</f>
        <v>10.1109/ICSE.2012.6227227</v>
      </c>
      <c r="D951" s="7" t="str">
        <f>IFERROR(__xludf.DUMMYFUNCTION("""COMPUTED_VALUE"""),"Kukreja N.")</f>
        <v>Kukreja N.</v>
      </c>
      <c r="E951" s="7" t="str">
        <f>IFERROR(__xludf.DUMMYFUNCTION("""COMPUTED_VALUE"""),"Winbook: A social networking based framework for collaborative requirements elicitation and WinWin negotiations")</f>
        <v>Winbook: A social networking based framework for collaborative requirements elicitation and WinWin negotiations</v>
      </c>
      <c r="F951" s="7" t="str">
        <f>IFERROR(__xludf.DUMMYFUNCTION("""COMPUTED_VALUE"""),"ICSE")</f>
        <v>ICSE</v>
      </c>
      <c r="G951" s="7" t="str">
        <f>IFERROR(__xludf.DUMMYFUNCTION("""COMPUTED_VALUE"""),"Easy-to-use groupware for diverse stakeholder negotiation has been a continuing challenge [7, 8, 9]. USC's fifth-generation wiki-based win-win negotiation support tool [1] was not as successful in improving over the previous four generations [2] as hoped "&amp;"- it encountered problems with non-technical stakeholder usage. The popularity of Facebook and Gmail ushered in a new era of widely-used social networking capabilities that I have been using to develop and experiment with a new way for collaborative requi"&amp;"rements elicitation and management - marrying the way people collaborate on Facebook and organize their emails on Gmail to come up with a social networking-like platform to help achieve better usage of the WinWin negotiation framework [4]. Initial usage r"&amp;"esults on 14 small projects involving non-technical stakeholders have shown profound implications on the way requirements are negotiated and used, through the system and software definition and development processes. Subsequently, Winbook has also been ad"&amp;"opted as a part of a project to bridge requirements and architecting for a major US government organization. © 2012 IEEE.")</f>
        <v>Easy-to-use groupware for diverse stakeholder negotiation has been a continuing challenge [7, 8, 9]. USC's fifth-generation wiki-based win-win negotiation support tool [1] was not as successful in improving over the previous four generations [2] as hoped - it encountered problems with non-technical stakeholder usage. The popularity of Facebook and Gmail ushered in a new era of widely-used social networking capabilities that I have been using to develop and experiment with a new way for collaborative requirements elicitation and management - marrying the way people collaborate on Facebook and organize their emails on Gmail to come up with a social networking-like platform to help achieve better usage of the WinWin negotiation framework [4]. Initial usage results on 14 small projects involving non-technical stakeholders have shown profound implications on the way requirements are negotiated and used, through the system and software definition and development processes. Subsequently, Winbook has also been adopted as a part of a project to bridge requirements and architecting for a major US government organization. © 2012 IEEE.</v>
      </c>
      <c r="H951" s="8" t="str">
        <f>IFERROR(__xludf.DUMMYFUNCTION("""COMPUTED_VALUE"""),"collaborative requirements elicitation; social networking; WinWin negotiations")</f>
        <v>collaborative requirements elicitation; social networking; WinWin negotiations</v>
      </c>
      <c r="I951" s="10" t="b">
        <v>0</v>
      </c>
      <c r="J951" s="10" t="b">
        <v>0</v>
      </c>
      <c r="K951" s="10" t="b">
        <v>0</v>
      </c>
      <c r="L951" s="10" t="b">
        <v>0</v>
      </c>
      <c r="M951" s="10" t="b">
        <v>0</v>
      </c>
      <c r="N951" s="10" t="b">
        <v>0</v>
      </c>
      <c r="O951" s="11" t="b">
        <f t="shared" si="1"/>
        <v>0</v>
      </c>
      <c r="P951" s="16" t="b">
        <v>0</v>
      </c>
      <c r="Q951" s="7"/>
    </row>
    <row r="952">
      <c r="A952" s="5" t="b">
        <v>1</v>
      </c>
      <c r="B952" s="5" t="s">
        <v>998</v>
      </c>
      <c r="C952" s="6" t="str">
        <f>IFERROR(__xludf.DUMMYFUNCTION("""COMPUTED_VALUE"""),"10.1145/3194133.3194153")</f>
        <v>10.1145/3194133.3194153</v>
      </c>
      <c r="D952" s="7" t="str">
        <f>IFERROR(__xludf.DUMMYFUNCTION("""COMPUTED_VALUE"""),"Moghadam M.H.; Saadatmand M.; Borg M.; Bohlin M.; Lisper B.")</f>
        <v>Moghadam M.H.; Saadatmand M.; Borg M.; Bohlin M.; Lisper B.</v>
      </c>
      <c r="E952" s="7" t="str">
        <f>IFERROR(__xludf.DUMMYFUNCTION("""COMPUTED_VALUE"""),"Adaptive runtime response time control in PLC-based real-time systems using reinforcement learning")</f>
        <v>Adaptive runtime response time control in PLC-based real-time systems using reinforcement learning</v>
      </c>
      <c r="F952" s="7" t="str">
        <f>IFERROR(__xludf.DUMMYFUNCTION("""COMPUTED_VALUE"""),"ICSE")</f>
        <v>ICSE</v>
      </c>
      <c r="G952" s="7" t="str">
        <f>IFERROR(__xludf.DUMMYFUNCTION("""COMPUTED_VALUE"""),"Timing requirements such as constraints on response time are key characteristics of real-time systems and violations of these requirements might cause a total failure, particularly in hard real-time systems. Runtime monitoring of the system properties is "&amp;"of great importance to check the system status and mitigate such failures. Thus, a runtime control to preserve the system properties could improve the robustness of the system with respect to timing violations. Common control approaches may require a prec"&amp;"ise analytical model of the system which is difficult to be provided at design time. Reinforcement learning is a promising technique to provide adaptive model-free control when the environment is stochastic, and the control problem could be formulated as "&amp;"a Markov Decision Process. In this paper, we propose an adaptive runtime control using reinforcement learning for real-time programs based on Programmable Logic Controllers (PLCs), to meet the response time requirements. We demonstrate through multiple ex"&amp;"periments that our approach could control the response time efficiently to satisfy the timing requirements. © 2018 ACM.")</f>
        <v>Timing requirements such as constraints on response time are key characteristics of real-time systems and violations of these requirements might cause a total failure, particularly in hard real-time systems. Runtime monitoring of the system properties is of great importance to check the system status and mitigate such failures. Thus, a runtime control to preserve the system properties could improve the robustness of the system with respect to timing violations. Common control approaches may require a precise analytical model of the system which is difficult to be provided at design time. Reinforcement learning is a promising technique to provide adaptive model-free control when the environment is stochastic, and the control problem could be formulated as a Markov Decision Process. In this paper, we propose an adaptive runtime control using reinforcement learning for real-time programs based on Programmable Logic Controllers (PLCs), to meet the response time requirements. We demonstrate through multiple experiments that our approach could control the response time efficiently to satisfy the timing requirements. © 2018 ACM.</v>
      </c>
      <c r="H952" s="8" t="str">
        <f>IFERROR(__xludf.DUMMYFUNCTION("""COMPUTED_VALUE"""),"adaptive response time control; PLC-based real-time programs; reinforcement learning; runtime monitoring")</f>
        <v>adaptive response time control; PLC-based real-time programs; reinforcement learning; runtime monitoring</v>
      </c>
      <c r="I952" s="10" t="b">
        <v>0</v>
      </c>
      <c r="J952" s="10" t="b">
        <v>0</v>
      </c>
      <c r="K952" s="10" t="b">
        <v>0</v>
      </c>
      <c r="L952" s="10" t="b">
        <v>0</v>
      </c>
      <c r="M952" s="10" t="b">
        <v>0</v>
      </c>
      <c r="N952" s="10" t="b">
        <v>0</v>
      </c>
      <c r="O952" s="11" t="b">
        <f t="shared" si="1"/>
        <v>0</v>
      </c>
      <c r="P952" s="16" t="b">
        <v>0</v>
      </c>
      <c r="Q952" s="7"/>
    </row>
    <row r="953">
      <c r="A953" s="5" t="b">
        <v>1</v>
      </c>
      <c r="B953" s="5" t="s">
        <v>999</v>
      </c>
      <c r="C953" s="6" t="str">
        <f>IFERROR(__xludf.DUMMYFUNCTION("""COMPUTED_VALUE"""),"10.1145/3183440.3194984")</f>
        <v>10.1145/3183440.3194984</v>
      </c>
      <c r="D953" s="7" t="str">
        <f>IFERROR(__xludf.DUMMYFUNCTION("""COMPUTED_VALUE"""),"Romano S.; Scanniello G.; Fucci D.; Juristo N.; Turhan B.")</f>
        <v>Romano S.; Scanniello G.; Fucci D.; Juristo N.; Turhan B.</v>
      </c>
      <c r="E953" s="7" t="str">
        <f>IFERROR(__xludf.DUMMYFUNCTION("""COMPUTED_VALUE"""),"Poster: The effect of noise on requirements comprehension")</f>
        <v>Poster: The effect of noise on requirements comprehension</v>
      </c>
      <c r="F953" s="7" t="str">
        <f>IFERROR(__xludf.DUMMYFUNCTION("""COMPUTED_VALUE"""),"ICSE")</f>
        <v>ICSE</v>
      </c>
      <c r="G953" s="7" t="str">
        <f>IFERROR(__xludf.DUMMYFUNCTION("""COMPUTED_VALUE"""),"We conducted a controlled experiment with 55 final-year undergraduate students in Computer Science. We asked them to comprehend functional requirements exposing them or not to noise. We did not observe any effect of noise on requirements comprehension. © "&amp;"2018 Authors.")</f>
        <v>We conducted a controlled experiment with 55 final-year undergraduate students in Computer Science. We asked them to comprehend functional requirements exposing them or not to noise. We did not observe any effect of noise on requirements comprehension. © 2018 Authors.</v>
      </c>
      <c r="H953" s="8" t="str">
        <f>IFERROR(__xludf.DUMMYFUNCTION("""COMPUTED_VALUE"""),"Comprehension; Experiment; Functional requirement; Noise")</f>
        <v>Comprehension; Experiment; Functional requirement; Noise</v>
      </c>
      <c r="I953" s="9" t="b">
        <v>1</v>
      </c>
      <c r="J953" s="9" t="b">
        <v>1</v>
      </c>
      <c r="K953" s="9" t="b">
        <v>1</v>
      </c>
      <c r="L953" s="10" t="b">
        <v>0</v>
      </c>
      <c r="M953" s="10" t="b">
        <v>0</v>
      </c>
      <c r="N953" s="10" t="b">
        <v>0</v>
      </c>
      <c r="O953" s="11" t="b">
        <f t="shared" si="1"/>
        <v>1</v>
      </c>
      <c r="P953" s="16" t="b">
        <v>0</v>
      </c>
      <c r="Q953" s="7"/>
    </row>
    <row r="954">
      <c r="A954" s="5" t="b">
        <v>1</v>
      </c>
      <c r="B954" s="5" t="s">
        <v>1000</v>
      </c>
      <c r="C954" s="6" t="str">
        <f>IFERROR(__xludf.DUMMYFUNCTION("""COMPUTED_VALUE"""),"10.1145/1368088.1368138")</f>
        <v>10.1145/1368088.1368138</v>
      </c>
      <c r="D954" s="7" t="str">
        <f>IFERROR(__xludf.DUMMYFUNCTION("""COMPUTED_VALUE"""),"Ricca F.; Di Penta M.; Torchiano M.; Tonella P.; Ceccato M.; Visaggio C.A.")</f>
        <v>Ricca F.; Di Penta M.; Torchiano M.; Tonella P.; Ceccato M.; Visaggio C.A.</v>
      </c>
      <c r="E954" s="7" t="str">
        <f>IFERROR(__xludf.DUMMYFUNCTION("""COMPUTED_VALUE"""),"Are fit tables really talking? a series of experiments to understand whether fit tables are useful during evolution tasks")</f>
        <v>Are fit tables really talking? a series of experiments to understand whether fit tables are useful during evolution tasks</v>
      </c>
      <c r="F954" s="7" t="str">
        <f>IFERROR(__xludf.DUMMYFUNCTION("""COMPUTED_VALUE"""),"ICSE")</f>
        <v>ICSE</v>
      </c>
      <c r="G954" s="7" t="str">
        <f>IFERROR(__xludf.DUMMYFUNCTION("""COMPUTED_VALUE"""),"Test-driven software development tackles the problem of operationally defining the features to be implemented by means of test cases. This approach was recently ported to the early development phase, when requirements are gathered and clarified. Among the"&amp;" existing proposals, Fit (Framework for Integrated Testing) supports the precise specification of requirements by means of so called Fit tables, which express relevant usage scenarios in a tabular format, easily understood also by the customer. Fit tables"&amp;" can be turned into executable test cases through the creation of pieces of glue code, called fixtures. In this paper, we test the claimed benefits of Fit through a series of three controlled experiments in which Fit tables and related fixtures are used t"&amp;"o clarify a set of change requirements, in a software evolution scenario. Results indicate improved correctness achieved with no significant impact on time, however benefits of Fit vary in a substantial way depending on the developers' experience. Prelimi"&amp;"nary results on the usage of Fit in combination with pair programming revealed another relevant source of variation. Copyright 2008 ACM.")</f>
        <v>Test-driven software development tackles the problem of operationally defining the features to be implemented by means of test cases. This approach was recently ported to the early development phase, when requirements are gathered and clarified. Among the existing proposals, Fit (Framework for Integrated Testing) supports the precise specification of requirements by means of so called Fit tables, which express relevant usage scenarios in a tabular format, easily understood also by the customer. Fit tables can be turned into executable test cases through the creation of pieces of glue code, called fixtures. In this paper, we test the claimed benefits of Fit through a series of three controlled experiments in which Fit tables and related fixtures are used to clarify a set of change requirements, in a software evolution scenario. Results indicate improved correctness achieved with no significant impact on time, however benefits of Fit vary in a substantial way depending on the developers' experience. Preliminary results on the usage of Fit in combination with pair programming revealed another relevant source of variation. Copyright 2008 ACM.</v>
      </c>
      <c r="H954" s="8" t="str">
        <f>IFERROR(__xludf.DUMMYFUNCTION("""COMPUTED_VALUE"""),"Acceptance test; Empirical studies; Software maintenance")</f>
        <v>Acceptance test; Empirical studies; Software maintenance</v>
      </c>
      <c r="I954" s="10" t="b">
        <v>0</v>
      </c>
      <c r="J954" s="10" t="b">
        <v>0</v>
      </c>
      <c r="K954" s="10" t="b">
        <v>0</v>
      </c>
      <c r="L954" s="10" t="b">
        <v>0</v>
      </c>
      <c r="M954" s="10" t="b">
        <v>0</v>
      </c>
      <c r="N954" s="10" t="b">
        <v>0</v>
      </c>
      <c r="O954" s="11" t="b">
        <f t="shared" si="1"/>
        <v>0</v>
      </c>
      <c r="P954" s="16" t="b">
        <v>0</v>
      </c>
      <c r="Q954" s="7"/>
    </row>
    <row r="955">
      <c r="A955" s="5" t="b">
        <v>1</v>
      </c>
      <c r="B955" s="5" t="s">
        <v>1001</v>
      </c>
      <c r="C955" s="6" t="str">
        <f>IFERROR(__xludf.DUMMYFUNCTION("""COMPUTED_VALUE"""),"10.1109/ICSE48619.2023.00114")</f>
        <v>10.1109/ICSE48619.2023.00114</v>
      </c>
      <c r="D955" s="7" t="str">
        <f>IFERROR(__xludf.DUMMYFUNCTION("""COMPUTED_VALUE"""),"Ferrari A.; Spoletini P.")</f>
        <v>Ferrari A.; Spoletini P.</v>
      </c>
      <c r="E955" s="7" t="str">
        <f>IFERROR(__xludf.DUMMYFUNCTION("""COMPUTED_VALUE"""),"Strategies, Benefits and Challenges of App Store-inspired Requirements Elicitation")</f>
        <v>Strategies, Benefits and Challenges of App Store-inspired Requirements Elicitation</v>
      </c>
      <c r="F955" s="7" t="str">
        <f>IFERROR(__xludf.DUMMYFUNCTION("""COMPUTED_VALUE"""),"ICSE")</f>
        <v>ICSE</v>
      </c>
      <c r="G955" s="7" t="str">
        <f>IFERROR(__xludf.DUMMYFUNCTION("""COMPUTED_VALUE"""),"App store-inspired elicitation is the practice of exploring competitors' apps, to get inspiration for requirements. This activity is common among developers, but little insight is available on its practical use, advantages and possible issues. This paper "&amp;"aims to empirically analyse this technique in a realistic scenario, in which it is used to extend the requirements of a product that were initially captured by means of more traditional requirements elicitation interviews. Considering this scenario, we co"&amp;"nduct an experimental simulation with 58 analysts and collect qualitative data. We perform thematic analysis of the data to identify strategies, benefits, and challenges of app store-inspired elicitation, as well as differences with respect to interviews "&amp;"in the considered elicitation setting. Our results show that: (1) specific guidelines and procedures are required to better conduct app store-inspired elicitation; (2) current search features made available by app stores are not suitable for this practice"&amp;", and more tool support is required to help analysts in the retrieval and evaluation of competing products; (3) while interviews focus on the why dimension of requirements engineering (i.e., goals), app store-inspired elicitation focuses on how (i.e., sol"&amp;"utions), offering indications for implementation and improved usability. Our study provides a framework for researchers to address existing challenges and suggests possible benefits to fostering app store-inspired elicitation among practitioners. © 2023 I"&amp;"EEE.")</f>
        <v>App store-inspired elicitation is the practice of exploring competitors' apps, to get inspiration for requirements. This activity is common among developers, but little insight is available on its practical use, advantages and possible issues. This paper aims to empirically analyse this technique in a realistic scenario, in which it is used to extend the requirements of a product that were initially captured by means of more traditional requirements elicitation interviews. Considering this scenario, we conduct an experimental simulation with 58 analysts and collect qualitative data. We perform thematic analysis of the data to identify strategies, benefits, and challenges of app store-inspired elicitation, as well as differences with respect to interviews in the considered elicitation setting. Our results show that: (1) specific guidelines and procedures are required to better conduct app store-inspired elicitation; (2) current search features made available by app stores are not suitable for this practice, and more tool support is required to help analysts in the retrieval and evaluation of competing products; (3) while interviews focus on the why dimension of requirements engineering (i.e., goals), app store-inspired elicitation focuses on how (i.e., solutions), offering indications for implementation and improved usability. Our study provides a framework for researchers to address existing challenges and suggests possible benefits to fostering app store-inspired elicitation among practitioners. © 2023 IEEE.</v>
      </c>
      <c r="H955" s="8" t="str">
        <f>IFERROR(__xludf.DUMMYFUNCTION("""COMPUTED_VALUE"""),"app store analysis; app store inspired elicitation; experimental simulation; interviews; qualitative study; requirements elicitation")</f>
        <v>app store analysis; app store inspired elicitation; experimental simulation; interviews; qualitative study; requirements elicitation</v>
      </c>
      <c r="I955" s="9" t="b">
        <v>1</v>
      </c>
      <c r="J955" s="9" t="b">
        <v>1</v>
      </c>
      <c r="K955" s="10" t="b">
        <v>0</v>
      </c>
      <c r="L955" s="10" t="b">
        <v>0</v>
      </c>
      <c r="M955" s="10" t="b">
        <v>0</v>
      </c>
      <c r="N955" s="10" t="b">
        <v>0</v>
      </c>
      <c r="O955" s="11" t="b">
        <f t="shared" si="1"/>
        <v>0</v>
      </c>
      <c r="P955" s="16" t="b">
        <v>0</v>
      </c>
      <c r="Q955" s="7"/>
    </row>
    <row r="956">
      <c r="A956" s="5" t="b">
        <v>1</v>
      </c>
      <c r="B956" s="5" t="s">
        <v>1002</v>
      </c>
      <c r="C956" s="6" t="str">
        <f>IFERROR(__xludf.DUMMYFUNCTION("""COMPUTED_VALUE"""),"10.1109/ICSE-Companion52605.2021.00073")</f>
        <v>10.1109/ICSE-Companion52605.2021.00073</v>
      </c>
      <c r="D956" s="7" t="str">
        <f>IFERROR(__xludf.DUMMYFUNCTION("""COMPUTED_VALUE"""),"Hwang S.; Lee S.; Kim J.; Ryu S.")</f>
        <v>Hwang S.; Lee S.; Kim J.; Ryu S.</v>
      </c>
      <c r="E956" s="7" t="str">
        <f>IFERROR(__xludf.DUMMYFUNCTION("""COMPUTED_VALUE"""),"JUSTGen: Effective Test Generation for Unspecified JNI Behaviors on JVMs")</f>
        <v>JUSTGen: Effective Test Generation for Unspecified JNI Behaviors on JVMs</v>
      </c>
      <c r="F956" s="7" t="str">
        <f>IFERROR(__xludf.DUMMYFUNCTION("""COMPUTED_VALUE"""),"ICSE")</f>
        <v>ICSE</v>
      </c>
      <c r="G956" s="7" t="str">
        <f>IFERROR(__xludf.DUMMYFUNCTION("""COMPUTED_VALUE"""),"Java Native Interface (JNI) provides a way for Java applications to access native libraries, but it is difficult to develop correct JNI programs. By leveraging native code, the JNI enables Java developers to implement efficient applications and to reuse c"&amp;"ode written in other programming languages such as C and C++. Besides, the core Java libraries already use the JNI to provide system features like a graphical user interface. As a result, many mainstream Java Virtual Machines (JVMs) support the JNI. Howev"&amp;"er, due to the complex interoperation semantics between different programming languages, implementing correct JNI programs is not trivial. Moreover, because of the performance overhead, JVMs do not validate erroneous JNI interoperations by default, but th"&amp;"ey validate them only when the debug feature, the -Xcheck:jni option, is enabled. Therefore, the correctness of JNI programs highly relies on the checks by the -Xcheck:jni option of JVMs. Questions remain, however, on the quality of the checks provided by"&amp;" the feature. Are there any properties that the -Xcheck:jni option fails to validate? If so, what potential issues can arise due to the lack of such validation? To the best of our knowledge, no research has explored these questions in-depth. In this paper"&amp;", we empirically study the validation quality and impacts of the -Xcheck:jni option on mainstream JVMs using unspecified corner cases in the JNI specification. Such unspecified cases may lead to unexpected run-time behaviors because their semantics is not"&amp;" defined in the specification. For a systematic study, we propose JUSTGEN, a semi-automated approach to identify unspecified cases from a specification and generate test programs. JUSTGEN receives the JNI specification written in our domain specific langu"&amp;"age (DSL), and automatically discovers unspecified cases using an SMT solver. It then generates test programs that trigger the behaviors of unspecified cases. Using the generated tests, we empirically study the validation ability of the -Xcheck:jni option"&amp;". Our experimental result shows that the JNI debug feature does not validate thousands of unspecified cases on JVMs, and they can cause critical run-time errors such as violation of the Java type system and memory corruption. We reported 792 unspecified c"&amp;"ases that are not validated by JVMs to their corresponding JVM vendors. Among them, 563 cases have been fixed and the remaining cases will be fixed in near future. Based on our empirical study, we believe that the JNI specification should specify the sema"&amp;"ntics of the missing cases clearly and the debug feature should be supported completely. © 2021 IEEE.")</f>
        <v>Java Native Interface (JNI) provides a way for Java applications to access native libraries, but it is difficult to develop correct JNI programs. By leveraging native code, the JNI enables Java developers to implement efficient applications and to reuse code written in other programming languages such as C and C++. Besides, the core Java libraries already use the JNI to provide system features like a graphical user interface. As a result, many mainstream Java Virtual Machines (JVMs) support the JNI. However, due to the complex interoperation semantics between different programming languages, implementing correct JNI programs is not trivial. Moreover, because of the performance overhead, JVMs do not validate erroneous JNI interoperations by default, but they validate them only when the debug feature, the -Xcheck:jni option, is enabled. Therefore, the correctness of JNI programs highly relies on the checks by the -Xcheck:jni option of JVMs. Questions remain, however, on the quality of the checks provided by the feature. Are there any properties that the -Xcheck:jni option fails to validate? If so, what potential issues can arise due to the lack of such validation? To the best of our knowledge, no research has explored these questions in-depth. In this paper, we empirically study the validation quality and impacts of the -Xcheck:jni option on mainstream JVMs using unspecified corner cases in the JNI specification. Such unspecified cases may lead to unexpected run-time behaviors because their semantics is not defined in the specification. For a systematic study, we propose JUSTGEN, a semi-automated approach to identify unspecified cases from a specification and generate test programs. JUSTGEN receives the JNI specification written in our domain specific language (DSL), and automatically discovers unspecified cases using an SMT solver. It then generates test programs that trigger the behaviors of unspecified cases. Using the generated tests, we empirically study the validation ability of the -Xcheck:jni option. Our experimental result shows that the JNI debug feature does not validate thousands of unspecified cases on JVMs, and they can cause critical run-time errors such as violation of the Java type system and memory corruption. We reported 792 unspecified cases that are not validated by JVMs to their corresponding JVM vendors. Among them, 563 cases have been fixed and the remaining cases will be fixed in near future. Based on our empirical study, we believe that the JNI specification should specify the semantics of the missing cases clearly and the debug feature should be supported completely. © 2021 IEEE.</v>
      </c>
      <c r="H956" s="8" t="str">
        <f>IFERROR(__xludf.DUMMYFUNCTION("""COMPUTED_VALUE"""),"Debugging; Empirical Study; Java Native Interface; Java Virtual Machine; Testing")</f>
        <v>Debugging; Empirical Study; Java Native Interface; Java Virtual Machine; Testing</v>
      </c>
      <c r="I956" s="10" t="b">
        <v>0</v>
      </c>
      <c r="J956" s="10" t="b">
        <v>0</v>
      </c>
      <c r="K956" s="10" t="b">
        <v>0</v>
      </c>
      <c r="L956" s="10" t="b">
        <v>0</v>
      </c>
      <c r="M956" s="10" t="b">
        <v>0</v>
      </c>
      <c r="N956" s="9" t="b">
        <v>1</v>
      </c>
      <c r="O956" s="11" t="b">
        <f t="shared" si="1"/>
        <v>0</v>
      </c>
      <c r="P956" s="16" t="b">
        <v>0</v>
      </c>
      <c r="Q956" s="7"/>
    </row>
    <row r="957">
      <c r="A957" s="5" t="b">
        <v>1</v>
      </c>
      <c r="B957" s="5" t="s">
        <v>1003</v>
      </c>
      <c r="C957" s="6" t="str">
        <f>IFERROR(__xludf.DUMMYFUNCTION("""COMPUTED_VALUE"""),"10.1145/2884781.2884805")</f>
        <v>10.1145/2884781.2884805</v>
      </c>
      <c r="D957" s="7" t="str">
        <f>IFERROR(__xludf.DUMMYFUNCTION("""COMPUTED_VALUE"""),"Busany N.; Maoz S.")</f>
        <v>Busany N.; Maoz S.</v>
      </c>
      <c r="E957" s="7" t="str">
        <f>IFERROR(__xludf.DUMMYFUNCTION("""COMPUTED_VALUE"""),"Behavioral log analysis with statistical guarantees")</f>
        <v>Behavioral log analysis with statistical guarantees</v>
      </c>
      <c r="F957" s="7" t="str">
        <f>IFERROR(__xludf.DUMMYFUNCTION("""COMPUTED_VALUE"""),"ICSE")</f>
        <v>ICSE</v>
      </c>
      <c r="G957" s="7" t="str">
        <f>IFERROR(__xludf.DUMMYFUNCTION("""COMPUTED_VALUE"""),"Scalability is a major challenge for existing behavioral log analysis algorithms, which extract finite-state automaton models or temporal properties from logs generated by run-ning systems. In this paper we present statistical log anal-ysis, which address"&amp;"es scalability using statistical tools. The key to our approach is to consider behavioral log analysis as a statistical experiment. Rather than analyzing the entire log, we suggest to analyze only a sample of traces from the log and, most importantly, pro"&amp;"vide means to compute sta-tistical guarantees for the correctness of the analysis result. We present the theoretical foundations of our approach and describe two example applications, to the classic k-Tails algorithm and to the recently presented BEAR alg"&amp;"orithm. Finally, based on experiments with logs generated from real-world models and with real-world logs provided to us by our industrial partners, we present extensive evidence for the need for scalable log analysis and for the effectiveness of statisti"&amp;"cal log analysis. © 2016 ACM.")</f>
        <v>Scalability is a major challenge for existing behavioral log analysis algorithms, which extract finite-state automaton models or temporal properties from logs generated by run-ning systems. In this paper we present statistical log anal-ysis, which addresses scalability using statistical tools. The key to our approach is to consider behavioral log analysis as a statistical experiment. Rather than analyzing the entire log, we suggest to analyze only a sample of traces from the log and, most importantly, provide means to compute sta-tistical guarantees for the correctness of the analysis result. We present the theoretical foundations of our approach and describe two example applications, to the classic k-Tails algorithm and to the recently presented BEAR algorithm. Finally, based on experiments with logs generated from real-world models and with real-world logs provided to us by our industrial partners, we present extensive evidence for the need for scalable log analysis and for the effectiveness of statistical log analysis. © 2016 ACM.</v>
      </c>
      <c r="H957" s="8" t="str">
        <f>IFERROR(__xludf.DUMMYFUNCTION("""COMPUTED_VALUE"""),"Log analysis; Specification mining")</f>
        <v>Log analysis; Specification mining</v>
      </c>
      <c r="I957" s="10" t="b">
        <v>0</v>
      </c>
      <c r="J957" s="10" t="b">
        <v>0</v>
      </c>
      <c r="K957" s="10" t="b">
        <v>0</v>
      </c>
      <c r="L957" s="10" t="b">
        <v>0</v>
      </c>
      <c r="M957" s="10" t="b">
        <v>0</v>
      </c>
      <c r="N957" s="10" t="b">
        <v>0</v>
      </c>
      <c r="O957" s="11" t="b">
        <f t="shared" si="1"/>
        <v>0</v>
      </c>
      <c r="P957" s="16" t="b">
        <v>0</v>
      </c>
      <c r="Q957" s="7"/>
    </row>
    <row r="958">
      <c r="A958" s="5" t="b">
        <v>1</v>
      </c>
      <c r="B958" s="5" t="s">
        <v>1004</v>
      </c>
      <c r="C958" s="6" t="str">
        <f>IFERROR(__xludf.DUMMYFUNCTION("""COMPUTED_VALUE"""),"10.1109/ICSE43902.2021.00017")</f>
        <v>10.1109/ICSE43902.2021.00017</v>
      </c>
      <c r="D958" s="7" t="str">
        <f>IFERROR(__xludf.DUMMYFUNCTION("""COMPUTED_VALUE"""),"Mudduluru R.; Waataja J.; Millstein S.; Ernst M.")</f>
        <v>Mudduluru R.; Waataja J.; Millstein S.; Ernst M.</v>
      </c>
      <c r="E958" s="7" t="str">
        <f>IFERROR(__xludf.DUMMYFUNCTION("""COMPUTED_VALUE"""),"Verifying determinism in sequential programs")</f>
        <v>Verifying determinism in sequential programs</v>
      </c>
      <c r="F958" s="7" t="str">
        <f>IFERROR(__xludf.DUMMYFUNCTION("""COMPUTED_VALUE"""),"ICSE")</f>
        <v>ICSE</v>
      </c>
      <c r="G958" s="7" t="str">
        <f>IFERROR(__xludf.DUMMYFUNCTION("""COMPUTED_VALUE"""),"When a program is nondeterministic, it is difficult to test and debug. Nondeterminism occurs even in sequential programs: e.g., by iterating over the elements of a hash table. We have created a type system that expresses determinism specifications in a pr"&amp;"ogram. The key ideas in the type system are type qualifiers for nondeterminism, order-nondeterminism, and determinism; type well-formedness rules to restrict collection types; and enhancements to polymorphism that improve precision when analyzing collecti"&amp;"on operations. While state of-the-art nondeterminism detection tools rely on observing output from specific runs, our approach soundly verifies determinism at compile time. We implemented our type system for Java. Our type checker, the Determinism Checker"&amp;", warns if a program is nondeterministic or verifies that the program is deterministic. In case studies of 90097 lines of code, the Determinism Checker found 87 previously-unknown nondeterminism errors, even in programs that had been heavily vetted by dev"&amp;"elopers who were greatly concerned about nondeterminism errors. In experiments, the Determinism Checker found all of the non-concurrency-related nondeterminism that was found by state-of-the-art dynamic approaches for detecting flaky tests.  © 2021 IEEE.")</f>
        <v>When a program is nondeterministic, it is difficult to test and debug. Nondeterminism occurs even in sequential programs: e.g., by iterating over the elements of a hash table. We have created a type system that expresses determinism specifications in a program. The key ideas in the type system are type qualifiers for nondeterminism, order-nondeterminism, and determinism; type well-formedness rules to restrict collection types; and enhancements to polymorphism that improve precision when analyzing collection operations. While state of-the-art nondeterminism detection tools rely on observing output from specific runs, our approach soundly verifies determinism at compile time. We implemented our type system for Java. Our type checker, the Determinism Checker, warns if a program is nondeterministic or verifies that the program is deterministic. In case studies of 90097 lines of code, the Determinism Checker found 87 previously-unknown nondeterminism errors, even in programs that had been heavily vetted by developers who were greatly concerned about nondeterminism errors. In experiments, the Determinism Checker found all of the non-concurrency-related nondeterminism that was found by state-of-the-art dynamic approaches for detecting flaky tests.  © 2021 IEEE.</v>
      </c>
      <c r="H958" s="8" t="str">
        <f>IFERROR(__xludf.DUMMYFUNCTION("""COMPUTED_VALUE"""),"Flaky tests; Hash table; Nondeterminism; Specification; Type system; Verification")</f>
        <v>Flaky tests; Hash table; Nondeterminism; Specification; Type system; Verification</v>
      </c>
      <c r="I958" s="10" t="b">
        <v>0</v>
      </c>
      <c r="J958" s="10" t="b">
        <v>0</v>
      </c>
      <c r="K958" s="10" t="b">
        <v>0</v>
      </c>
      <c r="L958" s="10" t="b">
        <v>0</v>
      </c>
      <c r="M958" s="10" t="b">
        <v>0</v>
      </c>
      <c r="N958" s="10" t="b">
        <v>0</v>
      </c>
      <c r="O958" s="11" t="b">
        <f t="shared" si="1"/>
        <v>0</v>
      </c>
      <c r="P958" s="16" t="b">
        <v>0</v>
      </c>
      <c r="Q958" s="7"/>
    </row>
    <row r="959">
      <c r="A959" s="5" t="b">
        <v>1</v>
      </c>
      <c r="B959" s="5" t="s">
        <v>1005</v>
      </c>
      <c r="C959" s="6" t="str">
        <f>IFERROR(__xludf.DUMMYFUNCTION("""COMPUTED_VALUE"""),"10.1145/3377811.3380337")</f>
        <v>10.1145/3377811.3380337</v>
      </c>
      <c r="D959" s="7" t="str">
        <f>IFERROR(__xludf.DUMMYFUNCTION("""COMPUTED_VALUE"""),"Paulsen B.; Wang J.; Wang C.")</f>
        <v>Paulsen B.; Wang J.; Wang C.</v>
      </c>
      <c r="E959" s="7" t="str">
        <f>IFERROR(__xludf.DUMMYFUNCTION("""COMPUTED_VALUE"""),"Reludiff: Differential verification of deep neural networks")</f>
        <v>Reludiff: Differential verification of deep neural networks</v>
      </c>
      <c r="F959" s="7" t="str">
        <f>IFERROR(__xludf.DUMMYFUNCTION("""COMPUTED_VALUE"""),"ICSE")</f>
        <v>ICSE</v>
      </c>
      <c r="G959" s="7" t="str">
        <f>IFERROR(__xludf.DUMMYFUNCTION("""COMPUTED_VALUE"""),"As deep neural networks are increasingly being deployed in practice, their efficiency has become an important issue. While there are compression techniques for reducing the network's size, energy consumption and computational requirement, they only demons"&amp;"trate empirically that there is no loss of accuracy, but lack formal guarantees of the compressed network, e.g., in the presence of adversarial examples. Existing verification techniques such as Reluplex, ReluVal, and DeepPoly provide formal guarantees, b"&amp;"ut they are designed for analyzing a single network instead of the relationship between two networks. To fill the gap, we develop a new method for differential verification of two closely related networks. Our method consists of a fast but approximate for"&amp;"ward interval analysis pass followed by a backward pass that iteratively refines the approximation until the desired property is verified. We have two main innovations. During the forward pass, we exploit structural and behavioral similarities of the two "&amp;"networks to more accurately bound the difference between the output neurons of the two networks. Then in the backward pass, we leverage the gradient differences to more accurately compute the most beneficial refinement. Our experiments show that, compared"&amp;" to state-of-theart verification tools, our method can achieve orders-of-magnitude speedup and prove many more properties than existing tools.  © 2020 Association for Computing Machinery.")</f>
        <v>As deep neural networks are increasingly being deployed in practice, their efficiency has become an important issue. While there are compression techniques for reducing the network's size, energy consumption and computational requirement, they only demonstrate empirically that there is no loss of accuracy, but lack formal guarantees of the compressed network, e.g., in the presence of adversarial examples. Existing verification techniques such as Reluplex, ReluVal, and DeepPoly provide formal guarantees, but they are designed for analyzing a single network instead of the relationship between two networks. To fill the gap, we develop a new method for differential verification of two closely related networks. Our method consists of a fast but approximate forward interval analysis pass followed by a backward pass that iteratively refines the approximation until the desired property is verified. We have two main innovations. During the forward pass, we exploit structural and behavioral similarities of the two networks to more accurately bound the difference between the output neurons of the two networks. Then in the backward pass, we leverage the gradient differences to more accurately compute the most beneficial refinement. Our experiments show that, compared to state-of-theart verification tools, our method can achieve orders-of-magnitude speedup and prove many more properties than existing tools.  © 2020 Association for Computing Machinery.</v>
      </c>
      <c r="H959" s="8"/>
      <c r="I959" s="10" t="b">
        <v>0</v>
      </c>
      <c r="J959" s="10" t="b">
        <v>0</v>
      </c>
      <c r="K959" s="10" t="b">
        <v>0</v>
      </c>
      <c r="L959" s="10" t="b">
        <v>0</v>
      </c>
      <c r="M959" s="10" t="b">
        <v>0</v>
      </c>
      <c r="N959" s="10" t="b">
        <v>0</v>
      </c>
      <c r="O959" s="11" t="b">
        <f t="shared" si="1"/>
        <v>0</v>
      </c>
      <c r="P959" s="16" t="b">
        <v>0</v>
      </c>
      <c r="Q959" s="7"/>
    </row>
    <row r="960">
      <c r="A960" s="5" t="b">
        <v>1</v>
      </c>
      <c r="B960" s="5" t="s">
        <v>1006</v>
      </c>
      <c r="C960" s="6" t="str">
        <f>IFERROR(__xludf.DUMMYFUNCTION("""COMPUTED_VALUE"""),"10.1145/3196321.3196328")</f>
        <v>10.1145/3196321.3196328</v>
      </c>
      <c r="D960" s="7" t="str">
        <f>IFERROR(__xludf.DUMMYFUNCTION("""COMPUTED_VALUE"""),"Li S.; Niu X.; Jia Z.; Wang J.; He H.; Wang T.")</f>
        <v>Li S.; Niu X.; Jia Z.; Wang J.; He H.; Wang T.</v>
      </c>
      <c r="E960" s="7" t="str">
        <f>IFERROR(__xludf.DUMMYFUNCTION("""COMPUTED_VALUE"""),"Logtracker: Learning log revision behaviors proactively from software evolution history")</f>
        <v>Logtracker: Learning log revision behaviors proactively from software evolution history</v>
      </c>
      <c r="F960" s="7" t="str">
        <f>IFERROR(__xludf.DUMMYFUNCTION("""COMPUTED_VALUE"""),"ICSE")</f>
        <v>ICSE</v>
      </c>
      <c r="G960" s="7" t="str">
        <f>IFERROR(__xludf.DUMMYFUNCTION("""COMPUTED_VALUE"""),"Log statements are widely used for postmortem debugging. Despite the importance of log messages, it is difficult for developers to establish good logging practices. There are two main reasons for this. First, there are no rigorous specifications or system"&amp;"atic processes to guide the practices of software logging. Second, logging code co-evolves with bug fixes or feature updates. While previous works on log enhancement have successfully focused on the first problem, they are hard to solve the latter. For ta"&amp;"king the first step towards solving the second problem, this paper is inspired by code clones and assumes that logging code with similar context is pervasive in software and deserves similar modifications. To verify our assumptions, we conduct an empirica"&amp;"l study on eight open-source projects. Based on the observation, we design and implement LogTracker, an automatic tool that can predict log revisions by mining the correlation between logging context and modifications. With an enhanced modeling of logging"&amp;" context, LogTracker is able to guide more intricate log revisions that cannot be covered by existing tools. We evaluate the effectiveness of LogTracker by applying it to the latest version of subject projects. The results of our experiments show that Log"&amp;"Tracker can detect 199 instances of log revisions. So far, we have reported 25 of them, and 6 have been accepted. © 2018 ACM.")</f>
        <v>Log statements are widely used for postmortem debugging. Despite the importance of log messages, it is difficult for developers to establish good logging practices. There are two main reasons for this. First, there are no rigorous specifications or systematic processes to guide the practices of software logging. Second, logging code co-evolves with bug fixes or feature updates. While previous works on log enhancement have successfully focused on the first problem, they are hard to solve the latter. For taking the first step towards solving the second problem, this paper is inspired by code clones and assumes that logging code with similar context is pervasive in software and deserves similar modifications. To verify our assumptions, we conduct an empirical study on eight open-source projects. Based on the observation, we design and implement LogTracker, an automatic tool that can predict log revisions by mining the correlation between logging context and modifications. With an enhanced modeling of logging context, LogTracker is able to guide more intricate log revisions that cannot be covered by existing tools. We evaluate the effectiveness of LogTracker by applying it to the latest version of subject projects. The results of our experiments show that LogTracker can detect 199 instances of log revisions. So far, we have reported 25 of them, and 6 have been accepted. © 2018 ACM.</v>
      </c>
      <c r="H960" s="8" t="str">
        <f>IFERROR(__xludf.DUMMYFUNCTION("""COMPUTED_VALUE"""),"failure diagnose; log revision; software evolution")</f>
        <v>failure diagnose; log revision; software evolution</v>
      </c>
      <c r="I960" s="10" t="b">
        <v>0</v>
      </c>
      <c r="J960" s="10" t="b">
        <v>0</v>
      </c>
      <c r="K960" s="10" t="b">
        <v>0</v>
      </c>
      <c r="L960" s="10" t="b">
        <v>0</v>
      </c>
      <c r="M960" s="10" t="b">
        <v>0</v>
      </c>
      <c r="N960" s="10" t="b">
        <v>0</v>
      </c>
      <c r="O960" s="11" t="b">
        <f t="shared" si="1"/>
        <v>0</v>
      </c>
      <c r="P960" s="16" t="b">
        <v>0</v>
      </c>
      <c r="Q960" s="7"/>
    </row>
    <row r="961">
      <c r="A961" s="5" t="b">
        <v>1</v>
      </c>
      <c r="B961" s="5" t="s">
        <v>1007</v>
      </c>
      <c r="C961" s="6" t="str">
        <f>IFERROR(__xludf.DUMMYFUNCTION("""COMPUTED_VALUE"""),"10.1109/ICSE.2009.5070534")</f>
        <v>10.1109/ICSE.2009.5070534</v>
      </c>
      <c r="D961" s="7" t="str">
        <f>IFERROR(__xludf.DUMMYFUNCTION("""COMPUTED_VALUE"""),"Rayside D.; Benjamin Z.; Singh R.; Near J.P.; Milicevic A.; Jackson D.")</f>
        <v>Rayside D.; Benjamin Z.; Singh R.; Near J.P.; Milicevic A.; Jackson D.</v>
      </c>
      <c r="E961" s="7" t="str">
        <f>IFERROR(__xludf.DUMMYFUNCTION("""COMPUTED_VALUE"""),"Equality and hashing for (almost) free: Generating implementations from abstraction functions")</f>
        <v>Equality and hashing for (almost) free: Generating implementations from abstraction functions</v>
      </c>
      <c r="F961" s="7" t="str">
        <f>IFERROR(__xludf.DUMMYFUNCTION("""COMPUTED_VALUE"""),"ICSE")</f>
        <v>ICSE</v>
      </c>
      <c r="G961" s="7" t="str">
        <f>IFERROR(__xludf.DUMMYFUNCTION("""COMPUTED_VALUE"""),"In an object-oriented language such as Java, every class requires implementations of two special methods, one for determining equality and one for computing hash codes. Although the specification of these methods is usually straightforward, they can be ha"&amp;"rd to code (due to subclassing, delegation, cyclic references, and other factors) and often harbor subtle faults. A technique is presented that simplifies this task. Instead of writing code for the methods, the programmer gives, as a brief annotation, an "&amp;"abstraction function that defines an abstract view of an object's representation, and sometimes an additional observer in the form of an iterator method. Equality and hash codes are then computed in library code that uses reflection to read the annotation"&amp;"s. Experiments on a variety of programs suggest that, in comparison to writing the methods by hand, our technique requires less text from the programmer and results in methods that are more often correct. © 2009 IEEE.")</f>
        <v>In an object-oriented language such as Java, every class requires implementations of two special methods, one for determining equality and one for computing hash codes. Although the specification of these methods is usually straightforward, they can be hard to code (due to subclassing, delegation, cyclic references, and other factors) and often harbor subtle faults. A technique is presented that simplifies this task. Instead of writing code for the methods, the programmer gives, as a brief annotation, an abstraction function that defines an abstract view of an object's representation, and sometimes an additional observer in the form of an iterator method. Equality and hash codes are then computed in library code that uses reflection to read the annotations. Experiments on a variety of programs suggest that, in comparison to writing the methods by hand, our technique requires less text from the programmer and results in methods that are more often correct. © 2009 IEEE.</v>
      </c>
      <c r="H961" s="8"/>
      <c r="I961" s="10" t="b">
        <v>0</v>
      </c>
      <c r="J961" s="10" t="b">
        <v>0</v>
      </c>
      <c r="K961" s="10" t="b">
        <v>0</v>
      </c>
      <c r="L961" s="10" t="b">
        <v>0</v>
      </c>
      <c r="M961" s="10" t="b">
        <v>0</v>
      </c>
      <c r="N961" s="10" t="b">
        <v>0</v>
      </c>
      <c r="O961" s="11" t="b">
        <f t="shared" si="1"/>
        <v>0</v>
      </c>
      <c r="P961" s="16" t="b">
        <v>0</v>
      </c>
      <c r="Q961" s="7"/>
    </row>
    <row r="962">
      <c r="A962" s="5" t="b">
        <v>1</v>
      </c>
      <c r="B962" s="5" t="s">
        <v>1008</v>
      </c>
      <c r="C962" s="6" t="str">
        <f>IFERROR(__xludf.DUMMYFUNCTION("""COMPUTED_VALUE"""),"10.1145/1138670.1138677")</f>
        <v>10.1145/1138670.1138677</v>
      </c>
      <c r="D962" s="7" t="str">
        <f>IFERROR(__xludf.DUMMYFUNCTION("""COMPUTED_VALUE"""),"Jha A.")</f>
        <v>Jha A.</v>
      </c>
      <c r="E962" s="7" t="str">
        <f>IFERROR(__xludf.DUMMYFUNCTION("""COMPUTED_VALUE"""),"Problem frames approach to web services requirements")</f>
        <v>Problem frames approach to web services requirements</v>
      </c>
      <c r="F962" s="7" t="str">
        <f>IFERROR(__xludf.DUMMYFUNCTION("""COMPUTED_VALUE"""),"ICSE")</f>
        <v>ICSE</v>
      </c>
      <c r="G962" s="7" t="str">
        <f>IFERROR(__xludf.DUMMYFUNCTION("""COMPUTED_VALUE"""),"The aim of our research is to capture and describe business to IT problems in the context of business requirements for Web services. As a means to align Web services initiative with the business strategy, we propose a research methodology to capture the b"&amp;"usiness objectives of an organisation from strategy to implementation. We use Progression of Problems to understand the strategic objectives, business needs and the business context. We have experimented our methodology on Amazon Web service. We found it "&amp;"easy to understand the business strategy and the business needs of Amazon.com using our methodology.")</f>
        <v>The aim of our research is to capture and describe business to IT problems in the context of business requirements for Web services. As a means to align Web services initiative with the business strategy, we propose a research methodology to capture the business objectives of an organisation from strategy to implementation. We use Progression of Problems to understand the strategic objectives, business needs and the business context. We have experimented our methodology on Amazon Web service. We found it easy to understand the business strategy and the business needs of Amazon.com using our methodology.</v>
      </c>
      <c r="H962" s="8" t="str">
        <f>IFERROR(__xludf.DUMMYFUNCTION("""COMPUTED_VALUE"""),"Alignment; Capabilities; Problem Frames; Progression of Problems; Requirements; Web services")</f>
        <v>Alignment; Capabilities; Problem Frames; Progression of Problems; Requirements; Web services</v>
      </c>
      <c r="I962" s="10" t="b">
        <v>0</v>
      </c>
      <c r="J962" s="10" t="b">
        <v>0</v>
      </c>
      <c r="K962" s="10" t="b">
        <v>0</v>
      </c>
      <c r="L962" s="10" t="b">
        <v>0</v>
      </c>
      <c r="M962" s="10" t="b">
        <v>0</v>
      </c>
      <c r="N962" s="10" t="b">
        <v>0</v>
      </c>
      <c r="O962" s="11" t="b">
        <f t="shared" si="1"/>
        <v>0</v>
      </c>
      <c r="P962" s="16" t="b">
        <v>0</v>
      </c>
      <c r="Q962" s="7"/>
    </row>
    <row r="963">
      <c r="A963" s="5" t="b">
        <v>1</v>
      </c>
      <c r="B963" s="5" t="s">
        <v>1009</v>
      </c>
      <c r="C963" s="6"/>
      <c r="D963" s="7" t="str">
        <f>IFERROR(__xludf.DUMMYFUNCTION("""COMPUTED_VALUE"""),"Kieburtz Richard B.; Bell Jeffrey M.; Hook James; Oliva Dino P.; Sheard Tim; McKinney Laura; Kotov Alex; Lewis Jeffrey; Smith Ira; Walton Lisa")</f>
        <v>Kieburtz Richard B.; Bell Jeffrey M.; Hook James; Oliva Dino P.; Sheard Tim; McKinney Laura; Kotov Alex; Lewis Jeffrey; Smith Ira; Walton Lisa</v>
      </c>
      <c r="E963" s="7" t="str">
        <f>IFERROR(__xludf.DUMMYFUNCTION("""COMPUTED_VALUE"""),"Software engineering experiment in software component generation")</f>
        <v>Software engineering experiment in software component generation</v>
      </c>
      <c r="F963" s="7" t="str">
        <f>IFERROR(__xludf.DUMMYFUNCTION("""COMPUTED_VALUE"""),"ICSE")</f>
        <v>ICSE</v>
      </c>
      <c r="G963" s="7" t="str">
        <f>IFERROR(__xludf.DUMMYFUNCTION("""COMPUTED_VALUE"""),"This paper presents results of a software engineering experiment in which a new technology for constructing program generators from domain-specific specification languages has been compared with a reuse technology that employs sets of reusable Ada program"&amp;" templates. Both technologies were applied to a common problem domain, constructing message translation and validation modules for military command, control, communications and information systems (C3I). The experiment employed four subjects to conduct tr"&amp;"ials of use of the two technologies on a common set of test examples. The experiment was conducted with personnel supplied and supervised by an independent contractor. Test cases consisted of message specifications taken from Air Force C3I systems. The ma"&amp;"in results are that greater productivity was achieved and fewer error were introduced when subjects used the program generator than when they used Ada templates to implement software modules from sets of specifications. The differences in the average perf"&amp;"ormance of the subjects are statistically significant at confidence levels exceeding 99 percent.")</f>
        <v>This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v>
      </c>
      <c r="H963" s="8"/>
      <c r="I963" s="9" t="b">
        <v>1</v>
      </c>
      <c r="J963" s="10" t="b">
        <v>0</v>
      </c>
      <c r="K963" s="9" t="b">
        <v>1</v>
      </c>
      <c r="L963" s="10" t="b">
        <v>0</v>
      </c>
      <c r="M963" s="10" t="b">
        <v>0</v>
      </c>
      <c r="N963" s="10" t="b">
        <v>0</v>
      </c>
      <c r="O963" s="11" t="b">
        <f t="shared" si="1"/>
        <v>0</v>
      </c>
      <c r="P963" s="16" t="b">
        <v>0</v>
      </c>
      <c r="Q963" s="7"/>
    </row>
    <row r="964">
      <c r="A964" s="5" t="b">
        <v>1</v>
      </c>
      <c r="B964" s="5" t="s">
        <v>1010</v>
      </c>
      <c r="C964" s="6"/>
      <c r="D964" s="7" t="str">
        <f>IFERROR(__xludf.DUMMYFUNCTION("""COMPUTED_VALUE"""),"Basili V.; Elbaum S.")</f>
        <v>Basili V.; Elbaum S.</v>
      </c>
      <c r="E964" s="7" t="str">
        <f>IFERROR(__xludf.DUMMYFUNCTION("""COMPUTED_VALUE"""),"Empirically driven SE research: State of the art and required maturity")</f>
        <v>Empirically driven SE research: State of the art and required maturity</v>
      </c>
      <c r="F964" s="7" t="str">
        <f>IFERROR(__xludf.DUMMYFUNCTION("""COMPUTED_VALUE"""),"ICSE")</f>
        <v>ICSE</v>
      </c>
      <c r="G964" s="7" t="str">
        <f>IFERROR(__xludf.DUMMYFUNCTION("""COMPUTED_VALUE"""),"Software engineering researchers are increasingly relying on the empirical approach to advance the state of the art. The level of empirical rigor and evidence required to guide software engineering research, however, can vary drastically depending on many"&amp;" factors. In this session we identify some of these factors through a discussion of the state of the art in performing empirical studies in software engineering, and we show how we can utilize the notion of empirical maturity to set and adjust the empiric"&amp;"al expectations for software engineering research efforts. Regarding the state of the art in performing empirical studies, we will offer perspectives on two classes of study: those concerned with humans utilizing a technology, e.g., a person applying a me"&amp;"thodology, a technique, or a tool, where human skills and the ability to interact with the technology are some of the primes issues, and those concerned with the application of the technology to an artifact, e.g., a technique or tool applied to a design o"&amp;"r a program. In the first case, the emphasis is typically on issues like feasibility, usefulness, and then on effectiveness. The technology tends to be less well specified and based more on the experience and skills of the technology applier. In the secon"&amp;"d case, the emphasis is typically on the efficiency and effectiveness of the technology. The technology tends to be well defined and the assumption is that the individual skill and experience plays a less important role. We will discuss the set of factors"&amp;" that influence the design, implementation, and validity of these studies. Regarding empirical maturity and its implications on the SE community's expectations, we will provide examples of the large spectrum of studies with different maturity levels that "&amp;"can be performed to successfully support software engineering research. We will then identify and analyze the following aspects that are likely to impact a study's maturity level: technology (well-specified vs. under development), goals of the study (effe"&amp;"ctiveness vs. feasibility), type of design and analysis (controlled experiment vs. case study, quantitative vs. qualitative), control and specification of threats to validity (internal vs. external threats), dependence on context (in vivo vs. in vitro), r"&amp;"elationship to previous empirical work (replicated onsite, replicated off-site, non-replicated, non-replicable), and purposes of the study (exploratory vs. confirmatory). We will lead a discussion on these key aspects that must be considered to assess the"&amp;" empirical maturity of a piece of work in the context of its research area and the empirical maturity of that area.")</f>
        <v>Software engineering researchers are increasingly relying on the empirical approach to advance the state of the art. The level of empirical rigor and evidence required to guide software engineering research, however, can vary drastically depending on many factors. In this session we identify some of these factors through a discussion of the state of the art in performing empirical studies in software engineering, and we show how we can utilize the notion of empirical maturity to set and adjust the empirical expectations for software engineering research efforts. Regarding the state of the art in performing empirical studies, we will offer perspectives on two classes of study: those concerned with humans utilizing a technology, e.g., a person applying a methodology, a technique, or a tool, where human skills and the ability to interact with the technology are some of the primes issues, and those concerned with the application of the technology to an artifact, e.g., a technique or tool applied to a design or a program. In the first case, the emphasis is typically on issues like feasibility, usefulness, and then on effectiveness. The technology tends to be less well specified and based more on the experience and skills of the technology applier. In the second case, the emphasis is typically on the efficiency and effectiveness of the technology. The technology tends to be well defined and the assumption is that the individual skill and experience plays a less important role. We will discuss the set of factors that influence the design, implementation, and validity of these studies. Regarding empirical maturity and its implications on the SE community's expectations, we will provide examples of the large spectrum of studies with different maturity levels that can be performed to successfully support software engineering research. We will then identify and analyze the following aspects that are likely to impact a study's maturity level: technology (well-specified vs. under development), goals of the study (effectiveness vs. feasibility), type of design and analysis (controlled experiment vs. case study, quantitative vs. qualitative), control and specification of threats to validity (internal vs. external threats), dependence on context (in vivo vs. in vitro), relationship to previous empirical work (replicated onsite, replicated off-site, non-replicated, non-replicable), and purposes of the study (exploratory vs. confirmatory). We will lead a discussion on these key aspects that must be considered to assess the empirical maturity of a piece of work in the context of its research area and the empirical maturity of that area.</v>
      </c>
      <c r="H964" s="8"/>
      <c r="I964" s="10" t="b">
        <v>0</v>
      </c>
      <c r="J964" s="10" t="b">
        <v>0</v>
      </c>
      <c r="K964" s="10" t="b">
        <v>0</v>
      </c>
      <c r="L964" s="10" t="b">
        <v>0</v>
      </c>
      <c r="M964" s="10" t="b">
        <v>0</v>
      </c>
      <c r="N964" s="10" t="b">
        <v>0</v>
      </c>
      <c r="O964" s="11" t="b">
        <f t="shared" si="1"/>
        <v>0</v>
      </c>
      <c r="P964" s="16" t="b">
        <v>0</v>
      </c>
      <c r="Q964" s="7"/>
    </row>
    <row r="965">
      <c r="A965" s="5" t="b">
        <v>1</v>
      </c>
      <c r="B965" s="5" t="s">
        <v>1011</v>
      </c>
      <c r="C965" s="6" t="str">
        <f>IFERROR(__xludf.DUMMYFUNCTION("""COMPUTED_VALUE"""),"10.1109/ICSE.1997.610373")</f>
        <v>10.1109/ICSE.1997.610373</v>
      </c>
      <c r="D965" s="7" t="str">
        <f>IFERROR(__xludf.DUMMYFUNCTION("""COMPUTED_VALUE"""),"Jagadeesan Lalita Jategaonkar; Porter Adam; Puchol Carlos; Ramming J.Christopher; Votta Lawrence G.")</f>
        <v>Jagadeesan Lalita Jategaonkar; Porter Adam; Puchol Carlos; Ramming J.Christopher; Votta Lawrence G.</v>
      </c>
      <c r="E965" s="7" t="str">
        <f>IFERROR(__xludf.DUMMYFUNCTION("""COMPUTED_VALUE"""),"Specification-based testing of reactive software: Tools and experiments")</f>
        <v>Specification-based testing of reactive software: Tools and experiments</v>
      </c>
      <c r="F965" s="7" t="str">
        <f>IFERROR(__xludf.DUMMYFUNCTION("""COMPUTED_VALUE"""),"ICSE")</f>
        <v>ICSE</v>
      </c>
      <c r="G965" s="7" t="str">
        <f>IFERROR(__xludf.DUMMYFUNCTION("""COMPUTED_VALUE"""),"Testing commercial software is expensive and time consuming. Automated testing methods promise to save a great deal of time and money throughout the software industry. One approach that is well-suited for the reactive systems found in telephone switching "&amp;"systems is specification-based testing. We have built a set of tools to automatically test software applications for violations of safety properties expressed in temporal logic. Our testing system automatically constructs finite state machine oracles corr"&amp;"esponding to safety properties, builds test harnesses, and integrates them with the application. The test harness then generates inputs automatically to test the application. We describe a study examining the feasibility of this approach for testing indus"&amp;"trial applications. To conduct this study we formally modeled an Automatic Protection Switching system (APS), which is an application common to many telephony systems. We then asked a number of computer science graduate students to develop several version"&amp;"s of the APS and use our tools to test them. We found that the tools are very effective, save significant amounts of human effort (at the expense of machine resources), and are easy to use. We also discuss improvements that are needed before we can use th"&amp;"e tools with professional developers building commercial products.")</f>
        <v>Testing commercial software is expensive and time consuming. Automated testing methods promise to save a great deal of time and money throughout the software industry. One approach that is well-suited for the reactive systems found in telephone switching systems is specification-based testing. We have built a set of tools to automatically test software applications for violations of safety properties expressed in temporal logic. Our testing system automatically constructs finite state machine oracles corresponding to safety properties, builds test harnesses, and integrates them with the application. The test harness then generates inputs automatically to test the application. We describe a study examining the feasibility of this approach for testing industrial applications. To conduct this study we formally modeled an Automatic Protection Switching system (APS), which is an application common to many telephony systems. We then asked a number of computer science graduate students to develop several versions of the APS and use our tools to test them. We found that the tools are very effective, save significant amounts of human effort (at the expense of machine resources), and are easy to use. We also discuss improvements that are needed before we can use the tools with professional developers building commercial products.</v>
      </c>
      <c r="H965" s="8"/>
      <c r="I965" s="10" t="b">
        <v>0</v>
      </c>
      <c r="J965" s="10" t="b">
        <v>0</v>
      </c>
      <c r="K965" s="10" t="b">
        <v>0</v>
      </c>
      <c r="L965" s="10" t="b">
        <v>0</v>
      </c>
      <c r="M965" s="10" t="b">
        <v>0</v>
      </c>
      <c r="N965" s="10" t="b">
        <v>0</v>
      </c>
      <c r="O965" s="11" t="b">
        <f t="shared" si="1"/>
        <v>0</v>
      </c>
      <c r="P965" s="16" t="b">
        <v>0</v>
      </c>
      <c r="Q965" s="7"/>
    </row>
    <row r="966">
      <c r="A966" s="5" t="b">
        <v>1</v>
      </c>
      <c r="B966" s="5" t="s">
        <v>1012</v>
      </c>
      <c r="C966" s="6"/>
      <c r="D966" s="7" t="str">
        <f>IFERROR(__xludf.DUMMYFUNCTION("""COMPUTED_VALUE"""),"Berliner Edward F.; Zave Pamela")</f>
        <v>Berliner Edward F.; Zave Pamela</v>
      </c>
      <c r="E966" s="7" t="str">
        <f>IFERROR(__xludf.DUMMYFUNCTION("""COMPUTED_VALUE"""),"EXPERIMENT IN TECHNOLOGY TRANSFER: PAISLEY SPECIFICATION OF REQUIREMENTS FOR AN UNDERSEA LIGHTWAVE CABLE SYSTEM.")</f>
        <v>EXPERIMENT IN TECHNOLOGY TRANSFER: PAISLEY SPECIFICATION OF REQUIREMENTS FOR AN UNDERSEA LIGHTWAVE CABLE SYSTEM.</v>
      </c>
      <c r="F966" s="7" t="str">
        <f>IFERROR(__xludf.DUMMYFUNCTION("""COMPUTED_VALUE"""),"ICSE")</f>
        <v>ICSE</v>
      </c>
      <c r="G966" s="7" t="str">
        <f>IFERROR(__xludf.DUMMYFUNCTION("""COMPUTED_VALUE"""),"From May to October of 1985, members of the Undersea Systems Laboratory and the Computer Technology Research Laboratory of AT&amp;T Bell Laboratories worked together to apply the executable specification language PAISLey to requirements for the SL communicati"&amp;"ons system. The authors describe their experiences and answer three questions based on the results of the experiment: (1) can SL requirements be specified formally in PAISLey? ; (2) can members of the SL project learn to read and write specifications in P"&amp;"AISLey? ; and (3) how would the use of PAISLey affect the productivity of the software-development team and the quality of the resulting software?")</f>
        <v>From May to October of 1985, members of the Undersea Systems Laboratory and the Computer Technology Research Laboratory of AT&amp;T Bell Laboratories worked together to apply the executable specification language PAISLey to requirements for the SL communications system. The authors describe their experiences and answer three questions based on the results of the experiment: (1) can SL requirements be specified formally in PAISLey? ; (2) can members of the SL project learn to read and write specifications in PAISLey? ; and (3) how would the use of PAISLey affect the productivity of the software-development team and the quality of the resulting software?</v>
      </c>
      <c r="H966" s="8"/>
      <c r="I966" s="10" t="b">
        <v>0</v>
      </c>
      <c r="J966" s="10" t="b">
        <v>0</v>
      </c>
      <c r="K966" s="10" t="b">
        <v>0</v>
      </c>
      <c r="L966" s="10" t="b">
        <v>0</v>
      </c>
      <c r="M966" s="10" t="b">
        <v>0</v>
      </c>
      <c r="N966" s="10" t="b">
        <v>0</v>
      </c>
      <c r="O966" s="11" t="b">
        <f t="shared" si="1"/>
        <v>0</v>
      </c>
      <c r="P966" s="16" t="b">
        <v>0</v>
      </c>
      <c r="Q966" s="7"/>
    </row>
    <row r="967">
      <c r="A967" s="5" t="b">
        <v>1</v>
      </c>
      <c r="B967" s="5" t="s">
        <v>1013</v>
      </c>
      <c r="C967" s="6" t="str">
        <f>IFERROR(__xludf.DUMMYFUNCTION("""COMPUTED_VALUE"""),"10.1145/1138474.1138484")</f>
        <v>10.1145/1138474.1138484</v>
      </c>
      <c r="D967" s="7" t="str">
        <f>IFERROR(__xludf.DUMMYFUNCTION("""COMPUTED_VALUE"""),"Wang S.; Birla S.K.; Neema S.")</f>
        <v>Wang S.; Birla S.K.; Neema S.</v>
      </c>
      <c r="E967" s="7" t="str">
        <f>IFERROR(__xludf.DUMMYFUNCTION("""COMPUTED_VALUE"""),"A modeling language for vehicle motion control behavioral specification")</f>
        <v>A modeling language for vehicle motion control behavioral specification</v>
      </c>
      <c r="F967" s="7" t="str">
        <f>IFERROR(__xludf.DUMMYFUNCTION("""COMPUTED_VALUE"""),"ICSE")</f>
        <v>ICSE</v>
      </c>
      <c r="G967" s="7" t="str">
        <f>IFERROR(__xludf.DUMMYFUNCTION("""COMPUTED_VALUE"""),"Error-free engineering of high integrity applications such as vehicle motion control (VMC) requires unambiguous behavioral specification. As system engineering progresses from requirements modeling to functional design, to system implementation on a distr"&amp;"ibuted platform, the specifications of the system artifacts and work products must be transferred across different engineering environments and stages in models without loss of semantics. Modeling environments currently available for industrial use, with "&amp;"their native modeling languages, do not provide the capability of unambiguous behavior modeling across tools and engineering stages. In this paper, we identify certain fundamental requirements for high integrity systems and show that these requirements ar"&amp;"e not satisfied in current and proposed international standards, and two commercial modeling tools. A modeling language for VMC behavioral specification, eFSM, is proposed as a candidate for standardization and for adoption by the community in this domain"&amp;". The language is based on a general mathematical modeling framework and an extended finite state machine paradigm. It adds unambiguous semantics essential to the VMC behavioral specification. An experimental prototype of the eFSM has been developed and e"&amp;"valuated relative to the requirements for modeling high integrity systems. Copyright 2006 ACM.")</f>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v>
      </c>
      <c r="H967" s="8" t="str">
        <f>IFERROR(__xludf.DUMMYFUNCTION("""COMPUTED_VALUE"""),"behavior modeling; domain-specific modeling language; high integrity systems; requirements specification")</f>
        <v>behavior modeling; domain-specific modeling language; high integrity systems; requirements specification</v>
      </c>
      <c r="I967" s="10" t="b">
        <v>0</v>
      </c>
      <c r="J967" s="10" t="b">
        <v>0</v>
      </c>
      <c r="K967" s="10" t="b">
        <v>0</v>
      </c>
      <c r="L967" s="10" t="b">
        <v>0</v>
      </c>
      <c r="M967" s="10" t="b">
        <v>0</v>
      </c>
      <c r="N967" s="10" t="b">
        <v>0</v>
      </c>
      <c r="O967" s="11" t="b">
        <f t="shared" si="1"/>
        <v>0</v>
      </c>
      <c r="P967" s="16" t="b">
        <v>0</v>
      </c>
      <c r="Q967" s="7"/>
    </row>
    <row r="968">
      <c r="A968" s="5" t="b">
        <v>1</v>
      </c>
      <c r="B968" s="5" t="s">
        <v>1014</v>
      </c>
      <c r="C968" s="6" t="str">
        <f>IFERROR(__xludf.DUMMYFUNCTION("""COMPUTED_VALUE"""),"10.1109/ICSE.2001.919090")</f>
        <v>10.1109/ICSE.2001.919090</v>
      </c>
      <c r="D968" s="7" t="str">
        <f>IFERROR(__xludf.DUMMYFUNCTION("""COMPUTED_VALUE"""),"Biffl S.; Freimut B.; Laitenberger O.")</f>
        <v>Biffl S.; Freimut B.; Laitenberger O.</v>
      </c>
      <c r="E968" s="7" t="str">
        <f>IFERROR(__xludf.DUMMYFUNCTION("""COMPUTED_VALUE"""),"Investigating the cost-effectiveness of reinspections in software development")</f>
        <v>Investigating the cost-effectiveness of reinspections in software development</v>
      </c>
      <c r="F968" s="7" t="str">
        <f>IFERROR(__xludf.DUMMYFUNCTION("""COMPUTED_VALUE"""),"ICSE")</f>
        <v>ICSE</v>
      </c>
      <c r="G968" s="7" t="str">
        <f>IFERROR(__xludf.DUMMYFUNCTION("""COMPUTED_VALUE"""),"Software inspection is one of the most effectivemethods to detect defects. Reinspection repeats the inspection process for software products that are suspected to contain a significant number of undetected defects afer an initial inspection.As a reinspect"&amp;"ionis often believed to be less efficient than an inspection an important question is whether a reinspectionjustifies its cost. In this paper we propose a cost-benefit model for inspection and reinspection. We discuss the impact of cost and benefit parame"&amp;"ters on the net gain of a reinspection with empirical data from an experiment in which 31 student teams inspected and reinspected a requirements document. Mainfindings of the experiment are: a) For reinspection benefits and net gain were significantly low"&amp;"er than for the initial inspection. Yet, the reinspection yielded a positive net gain for most teams with conservative cost-benefit assumptions. b) Both the estimated benefits and number of major defects are key factors for reinspection net gain, which em"&amp;"phasizes the need for appropriate estimationtechniques. © 2001 IEEE.")</f>
        <v>Software inspection is one of the most effectivemethods to detect defects. Reinspection repeats the inspection process for software products that are suspected to contain a significant number of undetected defects afer an initial inspection.As a reinspectionis often believed to be less efficient than an inspection an important question is whether a reinspectionjustifies its cost. In this paper we propose a cost-benefit model for inspection and reinspection. We discuss the impact of cost and benefit parameters on the net gain of a reinspection with empirical data from an experiment in which 31 student teams inspected and reinspected a requirements document. Mainfindings of the experiment are: a) For reinspection benefits and net gain were significantly lower than for the initial inspection. Yet, the reinspection yielded a positive net gain for most teams with conservative cost-benefit assumptions. b) Both the estimated benefits and number of major defects are key factors for reinspection net gain, which emphasizes the need for appropriate estimationtechniques. © 2001 IEEE.</v>
      </c>
      <c r="H968" s="8"/>
      <c r="I968" s="9" t="b">
        <v>1</v>
      </c>
      <c r="J968" s="9" t="b">
        <v>1</v>
      </c>
      <c r="K968" s="10" t="b">
        <v>0</v>
      </c>
      <c r="L968" s="10" t="b">
        <v>0</v>
      </c>
      <c r="M968" s="10" t="b">
        <v>0</v>
      </c>
      <c r="N968" s="10" t="b">
        <v>0</v>
      </c>
      <c r="O968" s="11" t="b">
        <f t="shared" si="1"/>
        <v>0</v>
      </c>
      <c r="P968" s="16" t="b">
        <v>0</v>
      </c>
      <c r="Q968" s="7"/>
    </row>
    <row r="969">
      <c r="A969" s="5" t="b">
        <v>1</v>
      </c>
      <c r="B969" s="5" t="s">
        <v>1015</v>
      </c>
      <c r="C969" s="6" t="str">
        <f>IFERROR(__xludf.DUMMYFUNCTION("""COMPUTED_VALUE"""),"10.1145/1134285.1134372")</f>
        <v>10.1145/1134285.1134372</v>
      </c>
      <c r="D969" s="7" t="str">
        <f>IFERROR(__xludf.DUMMYFUNCTION("""COMPUTED_VALUE"""),"Furusawa H.; Choi E.-H.; Watanabe H.")</f>
        <v>Furusawa H.; Choi E.-H.; Watanabe H.</v>
      </c>
      <c r="E969" s="7" t="str">
        <f>IFERROR(__xludf.DUMMYFUNCTION("""COMPUTED_VALUE"""),"Efficiency analysis of model-based review in actual software design")</f>
        <v>Efficiency analysis of model-based review in actual software design</v>
      </c>
      <c r="F969" s="7" t="str">
        <f>IFERROR(__xludf.DUMMYFUNCTION("""COMPUTED_VALUE"""),"ICSE")</f>
        <v>ICSE</v>
      </c>
      <c r="G969" s="7" t="str">
        <f>IFERROR(__xludf.DUMMYFUNCTION("""COMPUTED_VALUE"""),"In this paper, we quantitatively analyze the efficiency of the Model-Based Review (MBR) method in an actual software design from the two points of view; cost and reviewability. The MBR method is a modeling procedure for the purpose of reviewing preliminar"&amp;"y design specifications of web-based applications. We have collected process data in applying both of the MBR, method and an ordinary review to a preliminary design of a developing web-based library system. Analyzing the collected process data, we quantit"&amp;"atively compare the efficiency of the MBR method and that of the ordinary review. As a, result of this comparative analysis, we show that the MBR, method is superior to the ordinary review in terms of not only reviewability but also cost through the exper"&amp;"imental design process.")</f>
        <v>In this paper, we quantitatively analyze the efficiency of the Model-Based Review (MBR) method in an actual software design from the two points of view; cost and reviewability. The MBR method is a modeling procedure for the purpose of reviewing preliminary design specifications of web-based applications. We have collected process data in applying both of the MBR, method and an ordinary review to a preliminary design of a developing web-based library system. Analyzing the collected process data, we quantitatively compare the efficiency of the MBR method and that of the ordinary review. As a, result of this comparative analysis, we show that the MBR, method is superior to the ordinary review in terms of not only reviewability but also cost through the experimental design process.</v>
      </c>
      <c r="H969" s="8" t="str">
        <f>IFERROR(__xludf.DUMMYFUNCTION("""COMPUTED_VALUE"""),"Cost estimation; Design specification; Model based review; Reviewability; Web-based application")</f>
        <v>Cost estimation; Design specification; Model based review; Reviewability; Web-based application</v>
      </c>
      <c r="I969" s="10" t="b">
        <v>0</v>
      </c>
      <c r="J969" s="10" t="b">
        <v>0</v>
      </c>
      <c r="K969" s="10" t="b">
        <v>0</v>
      </c>
      <c r="L969" s="10" t="b">
        <v>0</v>
      </c>
      <c r="M969" s="10" t="b">
        <v>0</v>
      </c>
      <c r="N969" s="10" t="b">
        <v>0</v>
      </c>
      <c r="O969" s="11" t="b">
        <f t="shared" si="1"/>
        <v>0</v>
      </c>
      <c r="P969" s="16" t="b">
        <v>0</v>
      </c>
      <c r="Q969" s="7"/>
    </row>
    <row r="970">
      <c r="A970" s="5" t="b">
        <v>1</v>
      </c>
      <c r="B970" s="5" t="s">
        <v>1016</v>
      </c>
      <c r="C970" s="6"/>
      <c r="D970" s="7" t="str">
        <f>IFERROR(__xludf.DUMMYFUNCTION("""COMPUTED_VALUE"""),"Dowson Mark")</f>
        <v>Dowson Mark</v>
      </c>
      <c r="E970" s="7" t="str">
        <f>IFERROR(__xludf.DUMMYFUNCTION("""COMPUTED_VALUE"""),"Experience using the Graphite meta-tool")</f>
        <v>Experience using the Graphite meta-tool</v>
      </c>
      <c r="F970" s="7" t="str">
        <f>IFERROR(__xludf.DUMMYFUNCTION("""COMPUTED_VALUE"""),"ICSE")</f>
        <v>ICSE</v>
      </c>
      <c r="G970" s="7" t="str">
        <f>IFERROR(__xludf.DUMMYFUNCTION("""COMPUTED_VALUE"""),"Graphite is a metatool for generating Ada source code for graph structure manipulation from a concise specification of a graph structure. The author reports an experiment in which Graphite was used to generate part of the code for a simple hierarchical da"&amp;"ta management tool. The experiment showed that the use of Graphite improved productivity, code quality, and flexibility and allowed a number of important concerns to be separated. The results prompt speculations about generalizing metatools into metaparts"&amp;" that can be used in a wide spectrum of applications, and about ways to improve the utility and applicability of such metaparts.")</f>
        <v>Graphite is a metatool for generating Ada source code for graph structure manipulation from a concise specification of a graph structure. The author reports an experiment in which Graphite was used to generate part of the code for a simple hierarchical data management tool. The experiment showed that the use of Graphite improved productivity, code quality, and flexibility and allowed a number of important concerns to be separated. The results prompt speculations about generalizing metatools into metaparts that can be used in a wide spectrum of applications, and about ways to improve the utility and applicability of such metaparts.</v>
      </c>
      <c r="H970" s="8"/>
      <c r="I970" s="10" t="b">
        <v>0</v>
      </c>
      <c r="J970" s="10" t="b">
        <v>0</v>
      </c>
      <c r="K970" s="10" t="b">
        <v>0</v>
      </c>
      <c r="L970" s="10" t="b">
        <v>0</v>
      </c>
      <c r="M970" s="10" t="b">
        <v>0</v>
      </c>
      <c r="N970" s="10" t="b">
        <v>0</v>
      </c>
      <c r="O970" s="11" t="b">
        <f t="shared" si="1"/>
        <v>0</v>
      </c>
      <c r="P970" s="16" t="b">
        <v>0</v>
      </c>
      <c r="Q970" s="7"/>
    </row>
    <row r="971">
      <c r="A971" s="5" t="b">
        <v>1</v>
      </c>
      <c r="B971" s="5" t="s">
        <v>1017</v>
      </c>
      <c r="C971" s="6" t="str">
        <f>IFERROR(__xludf.DUMMYFUNCTION("""COMPUTED_VALUE"""),"10.1109/AST.2007.8")</f>
        <v>10.1109/AST.2007.8</v>
      </c>
      <c r="D971" s="7" t="str">
        <f>IFERROR(__xludf.DUMMYFUNCTION("""COMPUTED_VALUE"""),"Wu X.; Li J.J.; Weiss D.; Lee Y.")</f>
        <v>Wu X.; Li J.J.; Weiss D.; Lee Y.</v>
      </c>
      <c r="E971" s="7" t="str">
        <f>IFERROR(__xludf.DUMMYFUNCTION("""COMPUTED_VALUE"""),"Coverage-based testing on embedded systems")</f>
        <v>Coverage-based testing on embedded systems</v>
      </c>
      <c r="F971" s="7" t="str">
        <f>IFERROR(__xludf.DUMMYFUNCTION("""COMPUTED_VALUE"""),"ICSE")</f>
        <v>ICSE</v>
      </c>
      <c r="G971" s="7" t="str">
        <f>IFERROR(__xludf.DUMMYFUNCTION("""COMPUTED_VALUE"""),"One major issue of code coverage testing is the overhead imposed by program instrumentation, which inserts probes into the program to monitor its execution. In real-time systems, the overhead may alter the program execution behavior or impact its performa"&amp;"nce due to its strict requirement on timing. Coverage testing is even harder on embedded systems because of their critical and limited memory and CPU resources. This paper describes a case study of a coverage-based testing method for embedded system softw"&amp;"are focusing on minimizing instrumentation overhead. We ported a code coverage-based test tool to an in-house embedded system, IP phone. In our initial experiments, we found that this tool didn't affect the behavior of the program under test. © 2007 IEEE.")</f>
        <v>One major issue of code coverage testing is the overhead imposed by program instrumentation, which inserts probes into the program to monitor its execution. In real-time systems, the overhead may alter the program execution behavior or impact its performance due to its strict requirement on timing. Coverage testing is even harder on embedded systems because of their critical and limited memory and CPU resources. This paper describes a case study of a coverage-based testing method for embedded system software focusing on minimizing instrumentation overhead. We ported a code coverage-based test tool to an in-house embedded system, IP phone. In our initial experiments, we found that this tool didn't affect the behavior of the program under test. © 2007 IEEE.</v>
      </c>
      <c r="H971" s="8"/>
      <c r="I971" s="10" t="b">
        <v>0</v>
      </c>
      <c r="J971" s="10" t="b">
        <v>0</v>
      </c>
      <c r="K971" s="10" t="b">
        <v>0</v>
      </c>
      <c r="L971" s="10" t="b">
        <v>0</v>
      </c>
      <c r="M971" s="10" t="b">
        <v>0</v>
      </c>
      <c r="N971" s="10" t="b">
        <v>0</v>
      </c>
      <c r="O971" s="11" t="b">
        <f t="shared" si="1"/>
        <v>0</v>
      </c>
      <c r="P971" s="16" t="b">
        <v>0</v>
      </c>
      <c r="Q971" s="7"/>
    </row>
    <row r="972">
      <c r="A972" s="5" t="b">
        <v>1</v>
      </c>
      <c r="B972" s="5" t="s">
        <v>1018</v>
      </c>
      <c r="C972" s="6" t="str">
        <f>IFERROR(__xludf.DUMMYFUNCTION("""COMPUTED_VALUE"""),"10.1109/ICSE.2000.870394")</f>
        <v>10.1109/ICSE.2000.870394</v>
      </c>
      <c r="D972" s="7" t="str">
        <f>IFERROR(__xludf.DUMMYFUNCTION("""COMPUTED_VALUE"""),"Morisio M.; Seaman C.B.; Parra A.T.; Basili V.R.; Kraft S.E.; Condon S.E.")</f>
        <v>Morisio M.; Seaman C.B.; Parra A.T.; Basili V.R.; Kraft S.E.; Condon S.E.</v>
      </c>
      <c r="E972" s="7" t="str">
        <f>IFERROR(__xludf.DUMMYFUNCTION("""COMPUTED_VALUE"""),"Investigating and improving a COTS-based software development process")</f>
        <v>Investigating and improving a COTS-based software development process</v>
      </c>
      <c r="F972" s="7" t="str">
        <f>IFERROR(__xludf.DUMMYFUNCTION("""COMPUTED_VALUE"""),"ICSE")</f>
        <v>ICSE</v>
      </c>
      <c r="G972" s="7" t="str">
        <f>IFERROR(__xludf.DUMMYFUNCTION("""COMPUTED_VALUE"""),"The work described in this paper is an investigation of COTS-based software development within a particular NASA environment, with an emphasis on the processes used. Fifteen projects using a COTS-based approach were studied and their actual process was do"&amp;"cumented. This process is evaluated to identify essential differences in comparison to traditional software development. The main differences, and the activities for which projects require more guidance, are requirements definition and COTS selection, hig"&amp;"h level design, integration and testing. Starting from these empirical observations, a new process and guidelines for COTS-based development are developed and briefly presented. The new process is currently under experimentation.")</f>
        <v>The work described in this paper is an investigation of COTS-based software development within a particular NASA environment, with an emphasis on the processes used. Fifteen projects using a COTS-based approach were studied and their actual process was documented. This process is evaluated to identify essential differences in comparison to traditional software development. The main differences, and the activities for which projects require more guidance, are requirements definition and COTS selection, high level design, integration and testing. Starting from these empirical observations, a new process and guidelines for COTS-based development are developed and briefly presented. The new process is currently under experimentation.</v>
      </c>
      <c r="H972" s="8"/>
      <c r="I972" s="10" t="b">
        <v>0</v>
      </c>
      <c r="J972" s="10" t="b">
        <v>0</v>
      </c>
      <c r="K972" s="10" t="b">
        <v>0</v>
      </c>
      <c r="L972" s="10" t="b">
        <v>0</v>
      </c>
      <c r="M972" s="10" t="b">
        <v>0</v>
      </c>
      <c r="N972" s="10" t="b">
        <v>0</v>
      </c>
      <c r="O972" s="11" t="b">
        <f t="shared" si="1"/>
        <v>0</v>
      </c>
      <c r="P972" s="16" t="b">
        <v>0</v>
      </c>
      <c r="Q972" s="7"/>
    </row>
    <row r="973">
      <c r="A973" s="5" t="b">
        <v>1</v>
      </c>
      <c r="B973" s="5" t="s">
        <v>1019</v>
      </c>
      <c r="C973" s="6"/>
      <c r="D973" s="7" t="str">
        <f>IFERROR(__xludf.DUMMYFUNCTION("""COMPUTED_VALUE"""),"Sussman Gerald Jay")</f>
        <v>Sussman Gerald Jay</v>
      </c>
      <c r="E973" s="7" t="str">
        <f>IFERROR(__xludf.DUMMYFUNCTION("""COMPUTED_VALUE"""),"INTELLIGENT SUPPORT FOR THE ENGINEERING OF SOFTWARE.")</f>
        <v>INTELLIGENT SUPPORT FOR THE ENGINEERING OF SOFTWARE.</v>
      </c>
      <c r="F973" s="7" t="str">
        <f>IFERROR(__xludf.DUMMYFUNCTION("""COMPUTED_VALUE"""),"ICSE")</f>
        <v>ICSE</v>
      </c>
      <c r="G973" s="7" t="str">
        <f>IFERROR(__xludf.DUMMYFUNCTION("""COMPUTED_VALUE"""),"Software engineering needs appropriate tools to support each of the phases of the engineering process. There must be tools to aid with specification and modelling, with synthesis and analysis, with rapid-prototyping and debugging, with documentation, veri"&amp;"fication, and testing, and with maintenance of finished products. In addition there must be environmental tools to support the engineering process in the large. Artificial intelligence research often uses programs as theoretical constructs, akin to equati"&amp;"ons and schematic diagrams, but with the added feature that programs that embody parts of a theory of the design of programs can be used as tools in the process of theory construction (or software development). Most AI experiments are formulated in Lisp. "&amp;"Lisp has developed into a uniquely powerful and flexible family of software development tools, providing wrap-around support for the rapid-prototyping of software systems.")</f>
        <v>Software engineering needs appropriate tools to support each of the phases of the engineering process. There must be tools to aid with specification and modelling, with synthesis and analysis, with rapid-prototyping and debugging, with documentation, verification, and testing, and with maintenance of finished products. In addition there must be environmental tools to support the engineering process in the large. Artificial intelligence research often uses programs as theoretical constructs, akin to equations and schematic diagrams, but with the added feature that programs that embody parts of a theory of the design of programs can be used as tools in the process of theory construction (or software development). Most AI experiments are formulated in Lisp. Lisp has developed into a uniquely powerful and flexible family of software development tools, providing wrap-around support for the rapid-prototyping of software systems.</v>
      </c>
      <c r="H973" s="8"/>
      <c r="I973" s="10" t="b">
        <v>0</v>
      </c>
      <c r="J973" s="10" t="b">
        <v>0</v>
      </c>
      <c r="K973" s="10" t="b">
        <v>0</v>
      </c>
      <c r="L973" s="10" t="b">
        <v>0</v>
      </c>
      <c r="M973" s="10" t="b">
        <v>0</v>
      </c>
      <c r="N973" s="10" t="b">
        <v>0</v>
      </c>
      <c r="O973" s="11" t="b">
        <f t="shared" si="1"/>
        <v>0</v>
      </c>
      <c r="P973" s="16" t="b">
        <v>0</v>
      </c>
      <c r="Q973" s="7"/>
    </row>
    <row r="974">
      <c r="A974" s="5" t="b">
        <v>1</v>
      </c>
      <c r="B974" s="5" t="s">
        <v>1020</v>
      </c>
      <c r="C974" s="6"/>
      <c r="D974" s="7"/>
      <c r="E974" s="7" t="str">
        <f>IFERROR(__xludf.DUMMYFUNCTION("""COMPUTED_VALUE"""),"Proceedings - International Conference on Software Engineering")</f>
        <v>Proceedings - International Conference on Software Engineering</v>
      </c>
      <c r="F974" s="7" t="str">
        <f>IFERROR(__xludf.DUMMYFUNCTION("""COMPUTED_VALUE"""),"ICSE")</f>
        <v>ICSE</v>
      </c>
      <c r="G974" s="7" t="str">
        <f>IFERROR(__xludf.DUMMYFUNCTION("""COMPUTED_VALUE"""),"The proceedings contain 47 papers. The topics discussed include: a closer look at iteration: the self stabilizing capability of loops; design, implementation, and evaluation of a revision control system; configuration control for evolutional software prod"&amp;"ucts; from specifications to machine code: program construction through formal reasoning; experiments with computer software complexity and reliability; a model for estimating program size and its evaluation; experimental results on the paging behavior of"&amp;" numerical programs; verification system for formal requirements description; static and dynamic data modeling for information system design; an insider's survey on software development; and functional specification of synchronized processes based on moda"&amp;"l logic.")</f>
        <v>The proceedings contain 47 papers. The topics discussed include: a closer look at iteration: the self stabilizing capability of loops; design, implementation, and evaluation of a revision control system; configuration control for evolutional software products; from specifications to machine code: program construction through formal reasoning; experiments with computer software complexity and reliability; a model for estimating program size and its evaluation; experimental results on the paging behavior of numerical programs; verification system for formal requirements description; static and dynamic data modeling for information system design; an insider's survey on software development; and functional specification of synchronized processes based on modal logic.</v>
      </c>
      <c r="H974" s="8"/>
      <c r="I974" s="10" t="b">
        <v>0</v>
      </c>
      <c r="J974" s="10" t="b">
        <v>0</v>
      </c>
      <c r="K974" s="10" t="b">
        <v>0</v>
      </c>
      <c r="L974" s="10" t="b">
        <v>0</v>
      </c>
      <c r="M974" s="10" t="b">
        <v>0</v>
      </c>
      <c r="N974" s="10" t="b">
        <v>0</v>
      </c>
      <c r="O974" s="11" t="b">
        <f t="shared" si="1"/>
        <v>0</v>
      </c>
      <c r="P974" s="16" t="b">
        <v>0</v>
      </c>
      <c r="Q974" s="7"/>
    </row>
    <row r="975">
      <c r="A975" s="5" t="b">
        <v>1</v>
      </c>
      <c r="B975" s="5" t="s">
        <v>1021</v>
      </c>
      <c r="C975" s="6"/>
      <c r="D975" s="7" t="str">
        <f>IFERROR(__xludf.DUMMYFUNCTION("""COMPUTED_VALUE"""),"Yang J.; Evans D.; Bhardwaj D.; Bhat T.; Das M.")</f>
        <v>Yang J.; Evans D.; Bhardwaj D.; Bhat T.; Das M.</v>
      </c>
      <c r="E975" s="7" t="str">
        <f>IFERROR(__xludf.DUMMYFUNCTION("""COMPUTED_VALUE"""),"Perracotta: Mining temporal API rules from imperfect traces")</f>
        <v>Perracotta: Mining temporal API rules from imperfect traces</v>
      </c>
      <c r="F975" s="7" t="str">
        <f>IFERROR(__xludf.DUMMYFUNCTION("""COMPUTED_VALUE"""),"ICSE")</f>
        <v>ICSE</v>
      </c>
      <c r="G975" s="7" t="str">
        <f>IFERROR(__xludf.DUMMYFUNCTION("""COMPUTED_VALUE"""),"Dynamic inference techniques have been demonstrated to provide useful support for various software engineering tasks including bug finding, test suite evaluation and improvement, and specification generation. To date, however, dynamic inference has only b"&amp;"een used effectively on small programs under controlled conditions. In this paper, we identify reasons why scaling dynamic inference techniques has proven difficult, and introduce solutions that enable a dynamic inference technique to scale to large progr"&amp;"ams and work effectively with the imperfect traces typically available in industrial scenarios. We describe our approximate inference algorithm, present and evaluate heuristics for winnowing the large number of inferred properties to a manageable set of i"&amp;"nteresting properties, and report on experiments using inferred properties. We evaluate our techniques on JBoss and the Windows kernel. Our tool is able to infer many of the properties checked by the Static Driver Verifier and leads us to discover a previ"&amp;"ously unknown bug in Windows. Copyright 2006 ACM.")</f>
        <v>Dynamic inference techniques have been demonstrated to provide useful support for various software engineering tasks including bug finding, test suite evaluation and improvement, and specification generation. To date, however, dynamic inference has only been used effectively on small programs under controlled conditions. In this paper, we identify reasons why scaling dynamic inference techniques has proven difficult, and introduce solutions that enable a dynamic inference technique to scale to large programs and work effectively with the imperfect traces typically available in industrial scenarios. We describe our approximate inference algorithm, present and evaluate heuristics for winnowing the large number of inferred properties to a manageable set of interesting properties, and report on experiments using inferred properties. We evaluate our techniques on JBoss and the Windows kernel. Our tool is able to infer many of the properties checked by the Static Driver Verifier and leads us to discover a previously unknown bug in Windows. Copyright 2006 ACM.</v>
      </c>
      <c r="H975" s="8" t="str">
        <f>IFERROR(__xludf.DUMMYFUNCTION("""COMPUTED_VALUE"""),"Dynamic analysis; Specification inference; Temporal properties")</f>
        <v>Dynamic analysis; Specification inference; Temporal properties</v>
      </c>
      <c r="I975" s="10" t="b">
        <v>0</v>
      </c>
      <c r="J975" s="10" t="b">
        <v>0</v>
      </c>
      <c r="K975" s="10" t="b">
        <v>0</v>
      </c>
      <c r="L975" s="10" t="b">
        <v>0</v>
      </c>
      <c r="M975" s="10" t="b">
        <v>0</v>
      </c>
      <c r="N975" s="10" t="b">
        <v>0</v>
      </c>
      <c r="O975" s="11" t="b">
        <f t="shared" si="1"/>
        <v>0</v>
      </c>
      <c r="P975" s="16" t="b">
        <v>0</v>
      </c>
      <c r="Q975" s="7"/>
    </row>
    <row r="976">
      <c r="A976" s="5" t="b">
        <v>1</v>
      </c>
      <c r="B976" s="5" t="s">
        <v>1022</v>
      </c>
      <c r="C976" s="6" t="str">
        <f>IFERROR(__xludf.DUMMYFUNCTION("""COMPUTED_VALUE"""),"10.1145/1138063.1138075")</f>
        <v>10.1145/1138063.1138075</v>
      </c>
      <c r="D976" s="7" t="str">
        <f>IFERROR(__xludf.DUMMYFUNCTION("""COMPUTED_VALUE"""),"Seiter L.M.; Palmer D.W.; Kirschenbaum M.")</f>
        <v>Seiter L.M.; Palmer D.W.; Kirschenbaum M.</v>
      </c>
      <c r="E976" s="7" t="str">
        <f>IFERROR(__xludf.DUMMYFUNCTION("""COMPUTED_VALUE"""),"An aspect-oriented approach for modeling self-organizing emergent structures")</f>
        <v>An aspect-oriented approach for modeling self-organizing emergent structures</v>
      </c>
      <c r="F976" s="7" t="str">
        <f>IFERROR(__xludf.DUMMYFUNCTION("""COMPUTED_VALUE"""),"ICSE")</f>
        <v>ICSE</v>
      </c>
      <c r="G976" s="7" t="str">
        <f>IFERROR(__xludf.DUMMYFUNCTION("""COMPUTED_VALUE"""),"Multi-agent systems must be engineered to ensure that desirable system-level properties will consistently emerge from the complex interactions of the underlying agents, while also guaranteeing that undesirable behavior will be suppressed. We present an As"&amp;"pect-Oriented Programming (AOP) framework for modeling, visualizing and manipulating emergent structure in multi-agent systems. By encapsulating the macroscopic structure, we can identify undesirable patterns of behavior at a higher level of abstraction. "&amp;"The identification of such patterns allows us to implement a feedback loop to steer the behavior of the lower level agents towards actions favorable for the emergence of a reliable solution. AOP facilitates the modeling of the system-wide behavior, thus i"&amp;"t serves as a valuable tool for building confidence that a given multi-agent system will consistently meet its requirements. Copyright 2006 ACM.")</f>
        <v>Multi-agent systems must be engineered to ensure that desirable system-level properties will consistently emerge from the complex interactions of the underlying agents, while also guaranteeing that undesirable behavior will be suppressed. We present an Aspect-Oriented Programming (AOP) framework for modeling, visualizing and manipulating emergent structure in multi-agent systems. By encapsulating the macroscopic structure, we can identify undesirable patterns of behavior at a higher level of abstraction. The identification of such patterns allows us to implement a feedback loop to steer the behavior of the lower level agents towards actions favorable for the emergence of a reliable solution. AOP facilitates the modeling of the system-wide behavior, thus it serves as a valuable tool for building confidence that a given multi-agent system will consistently meet its requirements. Copyright 2006 ACM.</v>
      </c>
      <c r="H976" s="8" t="str">
        <f>IFERROR(__xludf.DUMMYFUNCTION("""COMPUTED_VALUE"""),"Algorithms; D.2.4 [Software Engineering]: Software/Program Verification - reliability, validation; D.3.3 [Programming Languages]: Language Contructs and Features - data types and structures, modules/packages; Design; Experimentation; I.2.11 [Artificial In"&amp;"telligence]: Distributed Artificial Intelligence - multi-agent systems, intelligent agents; Reliability")</f>
        <v>Algorithms; D.2.4 [Software Engineering]: Software/Program Verification - reliability, validation; D.3.3 [Programming Languages]: Language Contructs and Features - data types and structures, modules/packages; Design; Experimentation; I.2.11 [Artificial Intelligence]: Distributed Artificial Intelligence - multi-agent systems, intelligent agents; Reliability</v>
      </c>
      <c r="I976" s="10" t="b">
        <v>0</v>
      </c>
      <c r="J976" s="10" t="b">
        <v>0</v>
      </c>
      <c r="K976" s="10" t="b">
        <v>0</v>
      </c>
      <c r="L976" s="10" t="b">
        <v>0</v>
      </c>
      <c r="M976" s="10" t="b">
        <v>0</v>
      </c>
      <c r="N976" s="10" t="b">
        <v>0</v>
      </c>
      <c r="O976" s="11" t="b">
        <f t="shared" si="1"/>
        <v>0</v>
      </c>
      <c r="P976" s="16" t="b">
        <v>0</v>
      </c>
      <c r="Q976" s="7"/>
    </row>
    <row r="977">
      <c r="A977" s="5" t="b">
        <v>1</v>
      </c>
      <c r="B977" s="5" t="s">
        <v>1023</v>
      </c>
      <c r="C977" s="6" t="str">
        <f>IFERROR(__xludf.DUMMYFUNCTION("""COMPUTED_VALUE"""),"10.1109/icse.2003.1201217")</f>
        <v>10.1109/icse.2003.1201217</v>
      </c>
      <c r="D977" s="7" t="str">
        <f>IFERROR(__xludf.DUMMYFUNCTION("""COMPUTED_VALUE"""),"Chaki S.; Clarke E.; Groce A.; Jha S.; Veith H.")</f>
        <v>Chaki S.; Clarke E.; Groce A.; Jha S.; Veith H.</v>
      </c>
      <c r="E977" s="7" t="str">
        <f>IFERROR(__xludf.DUMMYFUNCTION("""COMPUTED_VALUE"""),"Modular verification of software components in C")</f>
        <v>Modular verification of software components in C</v>
      </c>
      <c r="F977" s="7" t="str">
        <f>IFERROR(__xludf.DUMMYFUNCTION("""COMPUTED_VALUE"""),"ICSE")</f>
        <v>ICSE</v>
      </c>
      <c r="G977" s="7" t="str">
        <f>IFERROR(__xludf.DUMMYFUNCTION("""COMPUTED_VALUE"""),"We present a new methodology for automatic verification of C programs against finite state machine specifications. Our approach is compositional, naturally enabling us to decompose the verification of large software systems into subproblems of manageable "&amp;"complexity. The decomposition reflects the modularity in the software design. We use weak simulation as the notion of conformance between the program and its specification. Following the abstract-verify-refine paradigm, our tool MAGIC first extracts a fin"&amp;"ite model from C source code using predicate abstraction and theorem proving. Subsequently, simulation is checked via a reduction to Boolean satisfiability. MAGIC is able to interface with several publicly available theorem provers and SAT solvers. We rep"&amp;"ort experimental results with procedures from the Linux kernel and the OpenSSL toolkit.")</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abstract-verify-refine paradigm, our tool MAGIC first extracts a finite model from C source code using predicate abstraction and theorem proving. Subsequently, simulation is checked via a reduction to Boolean satisfiability. MAGIC is able to interface with several publicly available theorem provers and SAT solvers. We report experimental results with procedures from the Linux kernel and the OpenSSL toolkit.</v>
      </c>
      <c r="H977" s="8"/>
      <c r="I977" s="10" t="b">
        <v>0</v>
      </c>
      <c r="J977" s="10" t="b">
        <v>0</v>
      </c>
      <c r="K977" s="10" t="b">
        <v>0</v>
      </c>
      <c r="L977" s="10" t="b">
        <v>0</v>
      </c>
      <c r="M977" s="10" t="b">
        <v>0</v>
      </c>
      <c r="N977" s="10" t="b">
        <v>0</v>
      </c>
      <c r="O977" s="11" t="b">
        <f t="shared" si="1"/>
        <v>0</v>
      </c>
      <c r="P977" s="16" t="b">
        <v>0</v>
      </c>
      <c r="Q977" s="7"/>
    </row>
    <row r="978">
      <c r="A978" s="5" t="b">
        <v>1</v>
      </c>
      <c r="B978" s="5" t="s">
        <v>1024</v>
      </c>
      <c r="C978" s="6" t="str">
        <f>IFERROR(__xludf.DUMMYFUNCTION("""COMPUTED_VALUE"""),"10.1145/581348.581349")</f>
        <v>10.1145/581348.581349</v>
      </c>
      <c r="D978" s="7" t="str">
        <f>IFERROR(__xludf.DUMMYFUNCTION("""COMPUTED_VALUE"""),"Dunsmore A.; Roper M.; Wood M.")</f>
        <v>Dunsmore A.; Roper M.; Wood M.</v>
      </c>
      <c r="E978" s="7" t="str">
        <f>IFERROR(__xludf.DUMMYFUNCTION("""COMPUTED_VALUE"""),"Further investigations into the development and evaluation of reading techniques for object-oriented code inspection")</f>
        <v>Further investigations into the development and evaluation of reading techniques for object-oriented code inspection</v>
      </c>
      <c r="F978" s="7" t="str">
        <f>IFERROR(__xludf.DUMMYFUNCTION("""COMPUTED_VALUE"""),"ICSE")</f>
        <v>ICSE</v>
      </c>
      <c r="G978" s="7" t="str">
        <f>IFERROR(__xludf.DUMMYFUNCTION("""COMPUTED_VALUE"""),"This paper describes the development and experimental evaluation of a rigorous approach for effective object-oriented (OO) code inspection. Since their development, inspections have been shown to be powerful defect detection strategies but little research"&amp;" has been done to investigate their application to OO systems, which have very different structural and execution models compared to procedural systems. Previous investigations have demonstrated that the delocalised nature of OO software - the resolution "&amp;"of frequent non-local references, and the incongruous relationship between its static and dynamic representations, are primary inhibitors to its effective inspection. The experiment investigates a set of three complementary code reading techniques devised"&amp;" specifically to address these problems: one based on a checklist adapted to address the identified problems of OO inspections, one focused on the systematic construction of abstract specifications, and the last centered on the dynamic slice that a use-ca"&amp;"se takes through a system. The analysis shows that there is a significant difference in the number of defects found between the three reading techniques. The checklist-based technique emerges as the most effective approach but the other techniques also ha"&amp;"ve noticeable strengths and so for the best results in a practical situation a combination of techniques is recommended.")</f>
        <v>This paper describes the development and experimental evaluation of a rigorous approach for effective object-oriented (OO) code inspection. Since their development, inspections have been shown to be powerful defect detection strategies but little research has been done to investigate their application to OO systems, which have very different structural and execution models compared to procedural systems. Previous investigations have demonstrated that the delocalised nature of OO software - the resolution of frequent non-local references, and the incongruous relationship between its static and dynamic representations, are primary inhibitors to its effective inspection. The experiment investigates a set of three complementary code reading techniques devised specifically to address these problems: one based on a checklist adapted to address the identified problems of OO inspections, one focused on the systematic construction of abstract specifications, and the last centered on the dynamic slice that a use-case takes through a system. The analysis shows that there is a significant difference in the number of defects found between the three reading techniques. The checklist-based technique emerges as the most effective approach but the other techniques also have noticeable strengths and so for the best results in a practical situation a combination of techniques is recommended.</v>
      </c>
      <c r="H978" s="8"/>
      <c r="I978" s="9" t="b">
        <v>1</v>
      </c>
      <c r="J978" s="10" t="b">
        <v>0</v>
      </c>
      <c r="K978" s="9" t="b">
        <v>1</v>
      </c>
      <c r="L978" s="10" t="b">
        <v>0</v>
      </c>
      <c r="M978" s="10" t="b">
        <v>0</v>
      </c>
      <c r="N978" s="10" t="b">
        <v>0</v>
      </c>
      <c r="O978" s="11" t="b">
        <f t="shared" si="1"/>
        <v>0</v>
      </c>
      <c r="P978" s="16" t="b">
        <v>0</v>
      </c>
      <c r="Q978" s="7"/>
    </row>
    <row r="979">
      <c r="A979" s="5" t="b">
        <v>1</v>
      </c>
      <c r="B979" s="5" t="s">
        <v>1025</v>
      </c>
      <c r="C979" s="6" t="str">
        <f>IFERROR(__xludf.DUMMYFUNCTION("""COMPUTED_VALUE"""),"10.1109/ICSE.1997.610206")</f>
        <v>10.1109/ICSE.1997.610206</v>
      </c>
      <c r="D979" s="7" t="str">
        <f>IFERROR(__xludf.DUMMYFUNCTION("""COMPUTED_VALUE"""),"Baresi Luciano; Orso Alessandro; Pezze Mauro")</f>
        <v>Baresi Luciano; Orso Alessandro; Pezze Mauro</v>
      </c>
      <c r="E979" s="7" t="str">
        <f>IFERROR(__xludf.DUMMYFUNCTION("""COMPUTED_VALUE"""),"Introducing formal specification methods in industrial practice")</f>
        <v>Introducing formal specification methods in industrial practice</v>
      </c>
      <c r="F979" s="7" t="str">
        <f>IFERROR(__xludf.DUMMYFUNCTION("""COMPUTED_VALUE"""),"ICSE")</f>
        <v>ICSE</v>
      </c>
      <c r="G979" s="7" t="str">
        <f>IFERROR(__xludf.DUMMYFUNCTION("""COMPUTED_VALUE"""),"Formal specification methods are not often applied in industrial projects, despite their advantages and the maturity of theories and tools. The scarce familiarity of practitioners with formal notations and the difficulties of their use are main causes of "&amp;"the limited success of formal specification methods. Approaches based on the use of popular front-end notations formally defined with mappings on formal models can solve practical problems. However the absence of flexibility of the mappings proposed so fa"&amp;"r limits the applicability of such approaches to the few environments that match exactly these solutions. This paper presents an original solution based on formalisms to define mappings from front-end notations to formal models. The proposed framework wor"&amp;"ks with different front-end notations and formal models and supports mappings of analysis results obtained on the formal model to the front-end notation chosen by the practitioners. The approach described in this paper has been validated in industrial env"&amp;"ironments using pilot applications. The paper presents some of the industrial results obtained so far and ongoing experimentations.")</f>
        <v>Formal specification methods are not often applied in industrial projects, despite their advantages and the maturity of theories and tools. The scarce familiarity of practitioners with formal notations and the difficulties of their use are main causes of the limited success of formal specification methods. Approaches based on the use of popular front-end notations formally defined with mappings on formal models can solve practical problems. However the absence of flexibility of the mappings proposed so far limits the applicability of such approaches to the few environments that match exactly these solutions. This paper presents an original solution based on formalisms to define mappings from front-end notations to formal models. The proposed framework works with different front-end notations and formal models and supports mappings of analysis results obtained on the formal model to the front-end notation chosen by the practitioners. The approach described in this paper has been validated in industrial environments using pilot applications. The paper presents some of the industrial results obtained so far and ongoing experimentations.</v>
      </c>
      <c r="H979" s="8"/>
      <c r="I979" s="10" t="b">
        <v>0</v>
      </c>
      <c r="J979" s="10" t="b">
        <v>0</v>
      </c>
      <c r="K979" s="10" t="b">
        <v>0</v>
      </c>
      <c r="L979" s="10" t="b">
        <v>0</v>
      </c>
      <c r="M979" s="10" t="b">
        <v>0</v>
      </c>
      <c r="N979" s="10" t="b">
        <v>0</v>
      </c>
      <c r="O979" s="11" t="b">
        <f t="shared" si="1"/>
        <v>0</v>
      </c>
      <c r="P979" s="16" t="b">
        <v>0</v>
      </c>
      <c r="Q979" s="7"/>
    </row>
    <row r="980">
      <c r="A980" s="5" t="b">
        <v>1</v>
      </c>
      <c r="B980" s="5" t="s">
        <v>1026</v>
      </c>
      <c r="C980" s="6"/>
      <c r="D980" s="7" t="str">
        <f>IFERROR(__xludf.DUMMYFUNCTION("""COMPUTED_VALUE"""),"Campos I.M.; Estrin G.")</f>
        <v>Campos I.M.; Estrin G.</v>
      </c>
      <c r="E980" s="7" t="str">
        <f>IFERROR(__xludf.DUMMYFUNCTION("""COMPUTED_VALUE"""),"Concurrent software system design supported by SARA at the age of one")</f>
        <v>Concurrent software system design supported by SARA at the age of one</v>
      </c>
      <c r="F980" s="7" t="str">
        <f>IFERROR(__xludf.DUMMYFUNCTION("""COMPUTED_VALUE"""),"ICSE")</f>
        <v>ICSE</v>
      </c>
      <c r="G980" s="7" t="str">
        <f>IFERROR(__xludf.DUMMYFUNCTION("""COMPUTED_VALUE"""),"This paper presents a multilevel modeling method suitable for the design of concurrent hardware or software systems. The methodology is requirement driven and uses tools incorporated in a programming system called SARA (Systems ARchitect's Apprentice). Bo"&amp;"th top down refinement and bottom up abstraction are supported. The design of an asynchronous sender receiver illustrates the key steps in going smoothly from programming in the large to programming in the small or actual code. The same methodology can be"&amp;" used to design hardware systems by applying different pragmatics than those proposed for software systems. SARA consists of a set of interactive tools implemented both at UCLA and also on the MIT-Multics system. Although SARA continues in long-term devel"&amp;"opment, completed design tools are accessible for experimentation by authorized users at either location via the ARPANET. © 1978 IEEE Computer Society. All rights reserved.")</f>
        <v>This paper presents a multilevel modeling method suitable for the design of concurrent hardware or software systems. The methodology is requirement driven and uses tools incorporated in a programming system called SARA (Systems ARchitect's Apprentice). Both top down refinement and bottom up abstraction are supported. The design of an asynchronous sender receiver illustrates the key steps in going smoothly from programming in the large to programming in the small or actual code. The same methodology can be used to design hardware systems by applying different pragmatics than those proposed for software systems. SARA consists of a set of interactive tools implemented both at UCLA and also on the MIT-Multics system. Although SARA continues in long-term development, completed design tools are accessible for experimentation by authorized users at either location via the ARPANET. © 1978 IEEE Computer Society. All rights reserved.</v>
      </c>
      <c r="H980" s="8" t="str">
        <f>IFERROR(__xludf.DUMMYFUNCTION("""COMPUTED_VALUE"""),"BOTTOM-UP; Concurrent; Software design; TOP-Down")</f>
        <v>BOTTOM-UP; Concurrent; Software design; TOP-Down</v>
      </c>
      <c r="I980" s="10" t="b">
        <v>0</v>
      </c>
      <c r="J980" s="10" t="b">
        <v>0</v>
      </c>
      <c r="K980" s="10" t="b">
        <v>0</v>
      </c>
      <c r="L980" s="10" t="b">
        <v>0</v>
      </c>
      <c r="M980" s="10" t="b">
        <v>0</v>
      </c>
      <c r="N980" s="10" t="b">
        <v>0</v>
      </c>
      <c r="O980" s="11" t="b">
        <f t="shared" si="1"/>
        <v>0</v>
      </c>
      <c r="P980" s="16" t="b">
        <v>0</v>
      </c>
      <c r="Q980" s="7"/>
    </row>
    <row r="981">
      <c r="A981" s="5" t="b">
        <v>1</v>
      </c>
      <c r="B981" s="5" t="s">
        <v>1027</v>
      </c>
      <c r="C981" s="6" t="str">
        <f>IFERROR(__xludf.DUMMYFUNCTION("""COMPUTED_VALUE"""),"10.1109/ICSE.2007.47")</f>
        <v>10.1109/ICSE.2007.47</v>
      </c>
      <c r="D981" s="7" t="str">
        <f>IFERROR(__xludf.DUMMYFUNCTION("""COMPUTED_VALUE"""),"Uzuncaova E.; Khurshid S.")</f>
        <v>Uzuncaova E.; Khurshid S.</v>
      </c>
      <c r="E981" s="7" t="str">
        <f>IFERROR(__xludf.DUMMYFUNCTION("""COMPUTED_VALUE"""),"Kato: A program slicing tool for declarative specifications")</f>
        <v>Kato: A program slicing tool for declarative specifications</v>
      </c>
      <c r="F981" s="7" t="str">
        <f>IFERROR(__xludf.DUMMYFUNCTION("""COMPUTED_VALUE"""),"ICSE")</f>
        <v>ICSE</v>
      </c>
      <c r="G981" s="7" t="str">
        <f>IFERROR(__xludf.DUMMYFUNCTION("""COMPUTED_VALUE"""),"This paper presents Kato, a tool that implements a novel class of optimizations that are inspired by program slicing for imperative languages but are applicable to analyzable declarative languages, such as Alloy. Kato implements a novel algorithm for slic"&amp;"ing declarative models written in Alloy and leverages its relational engine KodKod for analysis. Given an Alloy model, Kato identifies a slice representing the model's core: a satisfying instance for the core can systematically be extended into a satisfyi"&amp;"ng instance for the entire model, while unsatisfiability of the core implies unsatisfiability of the entire model. The experimental results show that for a variety of subject models Kato's slicing algorithm enables an order of magnitude speed-up over Allo"&amp;"y's default translation to SAT. © 2007 IEEE.")</f>
        <v>This paper presents Kato, a tool that implements a novel class of optimizations that are inspired by program slicing for imperative languages but are applicable to analyzable declarative languages, such as Alloy. Kato implements a novel algorithm for slicing declarative models written in Alloy and leverages its relational engine KodKod for analysis. Given an Alloy model, Kato identifies a slice representing the model's core: a satisfying instance for the core can systematically be extended into a satisfying instance for the entire model, while unsatisfiability of the core implies unsatisfiability of the entire model. The experimental results show that for a variety of subject models Kato's slicing algorithm enables an order of magnitude speed-up over Alloy's default translation to SAT. © 2007 IEEE.</v>
      </c>
      <c r="H981" s="8"/>
      <c r="I981" s="10" t="b">
        <v>0</v>
      </c>
      <c r="J981" s="10" t="b">
        <v>0</v>
      </c>
      <c r="K981" s="10" t="b">
        <v>0</v>
      </c>
      <c r="L981" s="10" t="b">
        <v>0</v>
      </c>
      <c r="M981" s="10" t="b">
        <v>0</v>
      </c>
      <c r="N981" s="10" t="b">
        <v>0</v>
      </c>
      <c r="O981" s="11" t="b">
        <f t="shared" si="1"/>
        <v>0</v>
      </c>
      <c r="P981" s="16" t="b">
        <v>0</v>
      </c>
      <c r="Q981" s="7"/>
    </row>
    <row r="982">
      <c r="A982" s="5" t="b">
        <v>1</v>
      </c>
      <c r="B982" s="5" t="s">
        <v>1028</v>
      </c>
      <c r="C982" s="6"/>
      <c r="D982" s="7" t="str">
        <f>IFERROR(__xludf.DUMMYFUNCTION("""COMPUTED_VALUE"""),"Porter A.A.; Votta L.G.")</f>
        <v>Porter A.A.; Votta L.G.</v>
      </c>
      <c r="E982" s="7" t="str">
        <f>IFERROR(__xludf.DUMMYFUNCTION("""COMPUTED_VALUE"""),"Experiment to assess different defect detection methods for software requirements inspections")</f>
        <v>Experiment to assess different defect detection methods for software requirements inspections</v>
      </c>
      <c r="F982" s="7" t="str">
        <f>IFERROR(__xludf.DUMMYFUNCTION("""COMPUTED_VALUE"""),"ICSE")</f>
        <v>ICSE</v>
      </c>
      <c r="G982" s="7" t="str">
        <f>IFERROR(__xludf.DUMMYFUNCTION("""COMPUTED_VALUE"""),"Software requirements specifications (SRS) are usually validated by inspections, in which several reviewers read all or part of the specification and search for defects. we hypothesize that different methods for conducting these searches may have signific"&amp;"antly different rates of success. Using a controlled experiment, we show that a Scenario-based detection method, in which each reviewer executes a specific procedure to discover a particular class of defects has a higher defect detection rate than either "&amp;"Ad Hoc or Checklist methods. We describe the design, execution, and analysis of the experiment so others may reproduce it and test our results for different kinds of software developments and different populations of software engineers.")</f>
        <v>Software requirements specifications (SRS) are usually validated by inspections, in which several reviewers read all or part of the specification and search for defects. we hypothesize that different methods for conducting these searches may have significantly different rates of success. Using a controlled experiment, we show that a Scenario-based detection method, in which each reviewer executes a specific procedure to discover a particular class of defects has a higher defect detection rate than either Ad Hoc or Checklist methods. We describe the design, execution, and analysis of the experiment so others may reproduce it and test our results for different kinds of software developments and different populations of software engineers.</v>
      </c>
      <c r="H982" s="8"/>
      <c r="I982" s="9" t="b">
        <v>1</v>
      </c>
      <c r="J982" s="9" t="b">
        <v>1</v>
      </c>
      <c r="K982" s="10" t="b">
        <v>0</v>
      </c>
      <c r="L982" s="10" t="b">
        <v>0</v>
      </c>
      <c r="M982" s="10" t="b">
        <v>0</v>
      </c>
      <c r="N982" s="9" t="b">
        <v>1</v>
      </c>
      <c r="O982" s="11" t="b">
        <f t="shared" si="1"/>
        <v>0</v>
      </c>
      <c r="P982" s="16" t="b">
        <v>0</v>
      </c>
      <c r="Q982" s="13" t="s">
        <v>200</v>
      </c>
    </row>
    <row r="983">
      <c r="A983" s="5" t="b">
        <v>1</v>
      </c>
      <c r="B983" s="5" t="s">
        <v>1029</v>
      </c>
      <c r="C983" s="6"/>
      <c r="D983" s="7"/>
      <c r="E983" s="7" t="str">
        <f>IFERROR(__xludf.DUMMYFUNCTION("""COMPUTED_VALUE"""),"ICSE 2005 - Proceedings of the 3rd Workshop on Software Quality, 3-WoSQ 2005")</f>
        <v>ICSE 2005 - Proceedings of the 3rd Workshop on Software Quality, 3-WoSQ 2005</v>
      </c>
      <c r="F983" s="7" t="str">
        <f>IFERROR(__xludf.DUMMYFUNCTION("""COMPUTED_VALUE"""),"ICSE")</f>
        <v>ICSE</v>
      </c>
      <c r="G983" s="7" t="str">
        <f>IFERROR(__xludf.DUMMYFUNCTION("""COMPUTED_VALUE"""),"The proceedings contain 13 papers. The topics discussed include: value-based quality processes and results; using iDAVE to determine availability requirements; software quality economics for defect-detection techniques using failure prediction; QFD applic"&amp;"ation in software process management and improvement based on CMM; improving quality through software process improvement in Thailand: initial analysis; software quality development and assurance in RUP, MSF and XP - a comparative study; quality, cleanroo"&amp;"m and formal methods; dealing with imprecise quality factors in software design; early estimation of software quality using in-process testing metrics: a controlled case study; aries: refactoring support tool for code clone; a real time measure of softwar"&amp;"e system families; an empirical assessment of using stereotypes to improve reading techniques in software inspections; and trade-off analysis in web development - an experiment on the use of QFD.")</f>
        <v>The proceedings contain 13 papers. The topics discussed include: value-based quality processes and results; using iDAVE to determine availability requirements; software quality economics for defect-detection techniques using failure prediction; QFD application in software process management and improvement based on CMM; improving quality through software process improvement in Thailand: initial analysis; software quality development and assurance in RUP, MSF and XP - a comparative study; quality, cleanroom and formal methods; dealing with imprecise quality factors in software design; early estimation of software quality using in-process testing metrics: a controlled case study; aries: refactoring support tool for code clone; a real time measure of software system families; an empirical assessment of using stereotypes to improve reading techniques in software inspections; and trade-off analysis in web development - an experiment on the use of QFD.</v>
      </c>
      <c r="H983" s="8"/>
      <c r="I983" s="10" t="b">
        <v>0</v>
      </c>
      <c r="J983" s="10" t="b">
        <v>0</v>
      </c>
      <c r="K983" s="10" t="b">
        <v>0</v>
      </c>
      <c r="L983" s="10" t="b">
        <v>0</v>
      </c>
      <c r="M983" s="10" t="b">
        <v>0</v>
      </c>
      <c r="N983" s="10" t="b">
        <v>0</v>
      </c>
      <c r="O983" s="11" t="b">
        <f t="shared" si="1"/>
        <v>0</v>
      </c>
      <c r="P983" s="16" t="b">
        <v>0</v>
      </c>
      <c r="Q983" s="7"/>
    </row>
    <row r="984">
      <c r="A984" s="5" t="b">
        <v>1</v>
      </c>
      <c r="B984" s="5" t="s">
        <v>1030</v>
      </c>
      <c r="C984" s="6" t="str">
        <f>IFERROR(__xludf.DUMMYFUNCTION("""COMPUTED_VALUE"""),"10.1145/1138929.1138938")</f>
        <v>10.1145/1138929.1138938</v>
      </c>
      <c r="D984" s="7" t="str">
        <f>IFERROR(__xludf.DUMMYFUNCTION("""COMPUTED_VALUE"""),"Shan L.; Zhu H.")</f>
        <v>Shan L.; Zhu H.</v>
      </c>
      <c r="E984" s="7" t="str">
        <f>IFERROR(__xludf.DUMMYFUNCTION("""COMPUTED_VALUE"""),"Testing software modelling tools using data mutation")</f>
        <v>Testing software modelling tools using data mutation</v>
      </c>
      <c r="F984" s="7" t="str">
        <f>IFERROR(__xludf.DUMMYFUNCTION("""COMPUTED_VALUE"""),"ICSE")</f>
        <v>ICSE</v>
      </c>
      <c r="G984" s="7" t="str">
        <f>IFERROR(__xludf.DUMMYFUNCTION("""COMPUTED_VALUE"""),"Modelling tools play a crucial role in model-driven software development methods. A particular difficulty in testing such software systems is the generation of adequate test cases because the test data are structurally complicated. This paper proposes an "&amp;"approach called data mutation to generating a large number of test data from a few seed test cases. It is inspired in mutation testing methods, but differs from them in the way that mutation operators are defined and used. In our approach, mutation operat"&amp;"ors transform the input data rather than the program under test or the specification of the software. It is not a test adequacy measurement. Instead, it generates test cases. The paper also reports a case study with the method on testing a modelling tool "&amp;"and illustrates the applicability of the proposed method. Experiment data clearly demonstrated that the method can achieve a high test adequacy. It has a high fault detecting ability and good cost effectiveness. Copyright 2006 ACM.")</f>
        <v>Modelling tools play a crucial role in model-driven software development methods. A particular difficulty in testing such software systems is the generation of adequate test cases because the test data are structurally complicated. This paper proposes an approach called data mutation to generating a large number of test data from a few seed test cases. It is inspired in mutation testing methods, but differs from them in the way that mutation operators are defined and used. In our approach, mutation operators transform the input data rather than the program under test or the specification of the software. It is not a test adequacy measurement. Instead, it generates test cases. The paper also reports a case study with the method on testing a modelling tool and illustrates the applicability of the proposed method. Experiment data clearly demonstrated that the method can achieve a high test adequacy. It has a high fault detecting ability and good cost effectiveness. Copyright 2006 ACM.</v>
      </c>
      <c r="H984" s="8"/>
      <c r="I984" s="10" t="b">
        <v>0</v>
      </c>
      <c r="J984" s="10" t="b">
        <v>0</v>
      </c>
      <c r="K984" s="10" t="b">
        <v>0</v>
      </c>
      <c r="L984" s="10" t="b">
        <v>0</v>
      </c>
      <c r="M984" s="10" t="b">
        <v>0</v>
      </c>
      <c r="N984" s="10" t="b">
        <v>0</v>
      </c>
      <c r="O984" s="11" t="b">
        <f t="shared" si="1"/>
        <v>0</v>
      </c>
      <c r="P984" s="16" t="b">
        <v>0</v>
      </c>
      <c r="Q984" s="7"/>
    </row>
    <row r="985">
      <c r="A985" s="5" t="b">
        <v>1</v>
      </c>
      <c r="B985" s="5" t="s">
        <v>1031</v>
      </c>
      <c r="C985" s="6" t="str">
        <f>IFERROR(__xludf.DUMMYFUNCTION("""COMPUTED_VALUE"""),"10.1145/581344.581347")</f>
        <v>10.1145/581344.581347</v>
      </c>
      <c r="D985" s="7" t="str">
        <f>IFERROR(__xludf.DUMMYFUNCTION("""COMPUTED_VALUE"""),"Zimmerman M.K.; Lundqvist K.; Leveson N.")</f>
        <v>Zimmerman M.K.; Lundqvist K.; Leveson N.</v>
      </c>
      <c r="E985" s="7" t="str">
        <f>IFERROR(__xludf.DUMMYFUNCTION("""COMPUTED_VALUE"""),"Investigating the readability of state-based formal requirements specification languages")</f>
        <v>Investigating the readability of state-based formal requirements specification languages</v>
      </c>
      <c r="F985" s="7" t="str">
        <f>IFERROR(__xludf.DUMMYFUNCTION("""COMPUTED_VALUE"""),"ICSE")</f>
        <v>ICSE</v>
      </c>
      <c r="G985" s="7" t="str">
        <f>IFERROR(__xludf.DUMMYFUNCTION("""COMPUTED_VALUE"""),"The readability of formal requirements specification languages is hypothesized as a limiting factor in the acceptance of formal methods by the industrial community. An empirical study was conducted to determine how various factors of state-based requireme"&amp;"nts specification language design affect readability using aerospace applications. Six factors were tested in all, including the representation of the overall state machine structure, the expression of triggering conditions, the use of macros, the use of "&amp;"internal broadcast events, the use of hierarchies, and transition perspective (going-to or coming-from). Subjects included computer scientists as well as aerospace engineers in an effort to determine whether background affects notational preferences. Beca"&amp;"use so little previous experimentation on this topic exists on which to build hypotheses, the study was designed as a preliminary exploration of what factors are most important with respect to readability. It can serve as a starting point for more thoroug"&amp;"h and carefully controlled experimentation in specification language readability.")</f>
        <v>The readability of formal requirements specification languages is hypothesized as a limiting factor in the acceptance of formal methods by the industrial community. An empirical study was conducted to determine how various factors of state-based requirements specification language design affect readability using aerospace applications. Six factors were tested in all, including the representation of the overall state machine structure, the expression of triggering conditions, the use of macros, the use of internal broadcast events, the use of hierarchies, and transition perspective (going-to or coming-from). Subjects included computer scientists as well as aerospace engineers in an effort to determine whether background affects notational preferences. Because so little previous experimentation on this topic exists on which to build hypotheses, the study was designed as a preliminary exploration of what factors are most important with respect to readability. It can serve as a starting point for more thorough and carefully controlled experimentation in specification language readability.</v>
      </c>
      <c r="H985" s="8"/>
      <c r="I985" s="9" t="b">
        <v>1</v>
      </c>
      <c r="J985" s="9" t="b">
        <v>1</v>
      </c>
      <c r="K985" s="9" t="b">
        <v>1</v>
      </c>
      <c r="L985" s="10" t="b">
        <v>0</v>
      </c>
      <c r="M985" s="10" t="b">
        <v>0</v>
      </c>
      <c r="N985" s="10" t="b">
        <v>0</v>
      </c>
      <c r="O985" s="11" t="b">
        <f t="shared" si="1"/>
        <v>1</v>
      </c>
      <c r="P985" s="16" t="b">
        <v>0</v>
      </c>
      <c r="Q985" s="7"/>
    </row>
    <row r="986">
      <c r="A986" s="5" t="b">
        <v>1</v>
      </c>
      <c r="B986" s="5" t="s">
        <v>1032</v>
      </c>
      <c r="C986" s="6" t="str">
        <f>IFERROR(__xludf.DUMMYFUNCTION("""COMPUTED_VALUE"""),"10.1145/581339.581414")</f>
        <v>10.1145/581339.581414</v>
      </c>
      <c r="D986" s="7" t="str">
        <f>IFERROR(__xludf.DUMMYFUNCTION("""COMPUTED_VALUE"""),"Maccari A.")</f>
        <v>Maccari A.</v>
      </c>
      <c r="E986" s="7" t="str">
        <f>IFERROR(__xludf.DUMMYFUNCTION("""COMPUTED_VALUE"""),"Experiences in assessing product family software architecture for evolution")</f>
        <v>Experiences in assessing product family software architecture for evolution</v>
      </c>
      <c r="F986" s="7" t="str">
        <f>IFERROR(__xludf.DUMMYFUNCTION("""COMPUTED_VALUE"""),"ICSE")</f>
        <v>ICSE</v>
      </c>
      <c r="G986" s="7" t="str">
        <f>IFERROR(__xludf.DUMMYFUNCTION("""COMPUTED_VALUE"""),"Software architecture assessments are a means to detect architectural problems before the bulk of development work is done. They facilitate planning of improvement activities early in the lifecycle and allow limiting the changes on any existing software. "&amp;"This is particularly beneficial when the architecture has been planned to (or already does) support a whole product family, or a set of products that share common requirements, architecture, components or code. As the family requirements evolve and new pr"&amp;"oducts are added, the need to assess the evolvability of the existing architecture is vital. I illustrate two assessment case studies I have recently worked on in the mobile telephone software domain: the Symbian operating system platform and the network "&amp;"resource access control software system. The former assessment has been carried out as a task within the European project ESAPS, while the latter has been performed solely by Nokia. By means of simple experimental data, I show evidence of the usefulness o"&amp;"f architectural assessment as rated by the participating stakeholders. Both assessments have led to the identification of previously unknown architecture defects, and to the consequent planning of improvement initiatives. In both cases, stakeholders noted"&amp;" that a number of side benefits, including improvement of communication and architectural documentation, were also of considerable importance. I illustrate the lessons we have learned, and outline suggestions for future research and experimentation.")</f>
        <v>Software architecture assessments are a means to detect architectural problems before the bulk of development work is done. They facilitate planning of improvement activities early in the lifecycle and allow limiting the changes on any existing software. This is particularly beneficial when the architecture has been planned to (or already does) support a whole product family, or a set of products that share common requirements, architecture, components or code. As the family requirements evolve and new products are added, the need to assess the evolvability of the existing architecture is vital. I illustrate two assessment case studies I have recently worked on in the mobile telephone software domain: the Symbian operating system platform and the network resource access control software system. The former assessment has been carried out as a task within the European project ESAPS, while the latter has been performed solely by Nokia. By means of simple experimental data, I show evidence of the usefulness of architectural assessment as rated by the participating stakeholders. Both assessments have led to the identification of previously unknown architecture defects, and to the consequent planning of improvement initiatives. In both cases, stakeholders noted that a number of side benefits, including improvement of communication and architectural documentation, were also of considerable importance. I illustrate the lessons we have learned, and outline suggestions for future research and experimentation.</v>
      </c>
      <c r="H986" s="8"/>
      <c r="I986" s="10" t="b">
        <v>0</v>
      </c>
      <c r="J986" s="10" t="b">
        <v>0</v>
      </c>
      <c r="K986" s="10" t="b">
        <v>0</v>
      </c>
      <c r="L986" s="10" t="b">
        <v>0</v>
      </c>
      <c r="M986" s="10" t="b">
        <v>0</v>
      </c>
      <c r="N986" s="10" t="b">
        <v>0</v>
      </c>
      <c r="O986" s="11" t="b">
        <f t="shared" si="1"/>
        <v>0</v>
      </c>
      <c r="P986" s="16" t="b">
        <v>0</v>
      </c>
      <c r="Q986" s="7"/>
    </row>
    <row r="987">
      <c r="A987" s="5" t="b">
        <v>1</v>
      </c>
      <c r="B987" s="5" t="s">
        <v>1033</v>
      </c>
      <c r="C987" s="6" t="str">
        <f>IFERROR(__xludf.DUMMYFUNCTION("""COMPUTED_VALUE"""),"10.1145/302405.302680")</f>
        <v>10.1145/302405.302680</v>
      </c>
      <c r="D987" s="7" t="str">
        <f>IFERROR(__xludf.DUMMYFUNCTION("""COMPUTED_VALUE"""),"Laitenberger Oliver; Atkinson Colin")</f>
        <v>Laitenberger Oliver; Atkinson Colin</v>
      </c>
      <c r="E987" s="7" t="str">
        <f>IFERROR(__xludf.DUMMYFUNCTION("""COMPUTED_VALUE"""),"Generalizing perspective-based inspection to handle object-oriented development artifacts")</f>
        <v>Generalizing perspective-based inspection to handle object-oriented development artifacts</v>
      </c>
      <c r="F987" s="7" t="str">
        <f>IFERROR(__xludf.DUMMYFUNCTION("""COMPUTED_VALUE"""),"ICSE")</f>
        <v>ICSE</v>
      </c>
      <c r="G987" s="7" t="str">
        <f>IFERROR(__xludf.DUMMYFUNCTION("""COMPUTED_VALUE"""),"The value of software inspection for uncovering defects early in the development lifecycle has been well documented. Of the various types of inspection methods published to date, experiments have shown perspective-based inspection to be one of the most ef"&amp;"fective, because of its enhanced coverage of the defect space. However, inspections in general, and perspective-based inspections in particular, have so far been applied predominantly in the context of conventional structured development methods, and then"&amp;" almost always to textual artifacts, such as requirements documents or code modules. Object oriented-models, particularly of the graphical form, have so far not been adequately addressed by inspection methods. This paper tackles this problem by first disc"&amp;"ussing the difficulties involved in tailoring the perspective-based inspection approach to object-oriented development methods and, second, by presenting a generalization of the approach which overcomes these limitations. The new version of the approach i"&amp;"s illustrated in the context of UML-based object-oriented development.")</f>
        <v>The value of software inspection for uncovering defects early in the development lifecycle has been well documented. Of the various types of inspection methods published to date, experiments have shown perspective-based inspection to be one of the most effective, because of its enhanced coverage of the defect space. However, inspections in general, and perspective-based inspections in particular, have so far been applied predominantly in the context of conventional structured development methods, and then almost always to textual artifacts, such as requirements documents or code modules. Object oriented-models, particularly of the graphical form, have so far not been adequately addressed by inspection methods. This paper tackles this problem by first discussing the difficulties involved in tailoring the perspective-based inspection approach to object-oriented development methods and, second, by presenting a generalization of the approach which overcomes these limitations. The new version of the approach is illustrated in the context of UML-based object-oriented development.</v>
      </c>
      <c r="H987" s="8"/>
      <c r="I987" s="10" t="b">
        <v>0</v>
      </c>
      <c r="J987" s="10" t="b">
        <v>0</v>
      </c>
      <c r="K987" s="10" t="b">
        <v>0</v>
      </c>
      <c r="L987" s="10" t="b">
        <v>0</v>
      </c>
      <c r="M987" s="10" t="b">
        <v>0</v>
      </c>
      <c r="N987" s="10" t="b">
        <v>0</v>
      </c>
      <c r="O987" s="11" t="b">
        <f t="shared" si="1"/>
        <v>0</v>
      </c>
      <c r="P987" s="16" t="b">
        <v>0</v>
      </c>
      <c r="Q987" s="7"/>
    </row>
    <row r="988">
      <c r="A988" s="5" t="b">
        <v>1</v>
      </c>
      <c r="B988" s="5" t="s">
        <v>1034</v>
      </c>
      <c r="C988" s="6" t="str">
        <f>IFERROR(__xludf.DUMMYFUNCTION("""COMPUTED_VALUE"""),"10.1145/1134285.1134468")</f>
        <v>10.1145/1134285.1134468</v>
      </c>
      <c r="D988" s="7" t="str">
        <f>IFERROR(__xludf.DUMMYFUNCTION("""COMPUTED_VALUE"""),"Yin X.")</f>
        <v>Yin X.</v>
      </c>
      <c r="E988" s="7" t="str">
        <f>IFERROR(__xludf.DUMMYFUNCTION("""COMPUTED_VALUE"""),"The echo approach to formal verification")</f>
        <v>The echo approach to formal verification</v>
      </c>
      <c r="F988" s="7" t="str">
        <f>IFERROR(__xludf.DUMMYFUNCTION("""COMPUTED_VALUE"""),"ICSE")</f>
        <v>ICSE</v>
      </c>
      <c r="G988" s="7" t="str">
        <f>IFERROR(__xludf.DUMMYFUNCTION("""COMPUTED_VALUE"""),"In this research abstract, we propose Echo: a general formal verification approach that combines theorem proving, model checking, and code-level tools to show an implementation's compliance with its formal specification. We believe that this approach is n"&amp;"ovel since the major proof step is carried out between two abstract specification models, thus avoiding or mitigating the difficulty of the direct compliance proof of a concrete implementation against an abstract formal specification in traditional Floyd-"&amp;"Hoare verification. We present our prototype design and implementation of the major components of the approach and we instantiate the approach to verify SPARK Ada implementations against PVS specifications. We conducted an initial experiment to determine "&amp;"the feasibility of the approach using a hypothetical avionics system.")</f>
        <v>In this research abstract, we propose Echo: a general formal verification approach that combines theorem proving, model checking, and code-level tools to show an implementation's compliance with its formal specification. We believe that this approach is novel since the major proof step is carried out between two abstract specification models, thus avoiding or mitigating the difficulty of the direct compliance proof of a concrete implementation against an abstract formal specification in traditional Floyd-Hoare verification. We present our prototype design and implementation of the major components of the approach and we instantiate the approach to verify SPARK Ada implementations against PVS specifications. We conducted an initial experiment to determine the feasibility of the approach using a hypothetical avionics system.</v>
      </c>
      <c r="H988" s="8" t="str">
        <f>IFERROR(__xludf.DUMMYFUNCTION("""COMPUTED_VALUE"""),"Formal specification; Formal verification")</f>
        <v>Formal specification; Formal verification</v>
      </c>
      <c r="I988" s="10" t="b">
        <v>0</v>
      </c>
      <c r="J988" s="10" t="b">
        <v>0</v>
      </c>
      <c r="K988" s="10" t="b">
        <v>0</v>
      </c>
      <c r="L988" s="10" t="b">
        <v>0</v>
      </c>
      <c r="M988" s="10" t="b">
        <v>0</v>
      </c>
      <c r="N988" s="10" t="b">
        <v>0</v>
      </c>
      <c r="O988" s="11" t="b">
        <f t="shared" si="1"/>
        <v>0</v>
      </c>
      <c r="P988" s="16" t="b">
        <v>0</v>
      </c>
      <c r="Q988" s="7"/>
    </row>
    <row r="989">
      <c r="A989" s="5" t="b">
        <v>1</v>
      </c>
      <c r="B989" s="5" t="s">
        <v>1035</v>
      </c>
      <c r="C989" s="6" t="str">
        <f>IFERROR(__xludf.DUMMYFUNCTION("""COMPUTED_VALUE"""),"10.1109/ICSE.2000.870439")</f>
        <v>10.1109/ICSE.2000.870439</v>
      </c>
      <c r="D989" s="7" t="str">
        <f>IFERROR(__xludf.DUMMYFUNCTION("""COMPUTED_VALUE"""),"Penix J.; Visser W.; Engstrom E.; Larson A.; Weininger N.")</f>
        <v>Penix J.; Visser W.; Engstrom E.; Larson A.; Weininger N.</v>
      </c>
      <c r="E989" s="7" t="str">
        <f>IFERROR(__xludf.DUMMYFUNCTION("""COMPUTED_VALUE"""),"Verification of time partitioning in the DEOS scheduler kernel")</f>
        <v>Verification of time partitioning in the DEOS scheduler kernel</v>
      </c>
      <c r="F989" s="7" t="str">
        <f>IFERROR(__xludf.DUMMYFUNCTION("""COMPUTED_VALUE"""),"ICSE")</f>
        <v>ICSE</v>
      </c>
      <c r="G989" s="7" t="str">
        <f>IFERROR(__xludf.DUMMYFUNCTION("""COMPUTED_VALUE"""),"This paper describes an experiment to use the Spin model checking system to support automated verification of time partitioning in the Honeywell DEOS real-time scheduling kernel. The goal of the experiment was to investigate whether model checking could b"&amp;"e used to find a subtle implementation error that was originally discovered and fixed during the standard formal review process. To conduct the experiment, a core slice of the DEOS scheduling kernel was first translated without abstraction from C++ into P"&amp;"romela (the input language for Spin). We constructed an abstract 'test-driver' environment and carefully introduced several abstractions into the system to support verification. Several experiments were run to attempt to verify that the system implementat"&amp;"ion adhered to the critical time partitioning requirements. During these experiments, the known error was rediscovered in the time partitioning implementation. We believe this case study provides several insights into how to develop cost-effective methods"&amp;" and tools to support the software design and implementation review process.")</f>
        <v>This paper describes an experiment to use the Spin model checking system to support automated verification of time partitioning in the Honeywell DEOS real-time scheduling kernel. The goal of the experiment was to investigate whether model checking could be used to find a subtle implementation error that was originally discovered and fixed during the standard formal review process. To conduct the experiment, a core slice of the DEOS scheduling kernel was first translated without abstraction from C++ into Promela (the input language for Spin). We constructed an abstract 'test-driver' environment and carefully introduced several abstractions into the system to support verification. Several experiments were run to attempt to verify that the system implementation adhered to the critical time partitioning requirements. During these experiments, the known error was rediscovered in the time partitioning implementation. We believe this case study provides several insights into how to develop cost-effective methods and tools to support the software design and implementation review process.</v>
      </c>
      <c r="H989" s="8"/>
      <c r="I989" s="10" t="b">
        <v>0</v>
      </c>
      <c r="J989" s="10" t="b">
        <v>0</v>
      </c>
      <c r="K989" s="10" t="b">
        <v>0</v>
      </c>
      <c r="L989" s="10" t="b">
        <v>0</v>
      </c>
      <c r="M989" s="10" t="b">
        <v>0</v>
      </c>
      <c r="N989" s="10" t="b">
        <v>0</v>
      </c>
      <c r="O989" s="11" t="b">
        <f t="shared" si="1"/>
        <v>0</v>
      </c>
      <c r="P989" s="16" t="b">
        <v>0</v>
      </c>
      <c r="Q989" s="7"/>
    </row>
    <row r="990">
      <c r="A990" s="5" t="b">
        <v>1</v>
      </c>
      <c r="B990" s="5" t="s">
        <v>1036</v>
      </c>
      <c r="C990" s="6"/>
      <c r="D990" s="7" t="str">
        <f>IFERROR(__xludf.DUMMYFUNCTION("""COMPUTED_VALUE"""),"Nakagawa A.T.; Futatsugi K.; Tomura S.; Shimizu T.")</f>
        <v>Nakagawa A.T.; Futatsugi K.; Tomura S.; Shimizu T.</v>
      </c>
      <c r="E990" s="7" t="str">
        <f>IFERROR(__xludf.DUMMYFUNCTION("""COMPUTED_VALUE"""),"ALGEBRAIC SPECIFICATION OF MACINTOSH'S QUICKDRAW USING OBJ2.")</f>
        <v>ALGEBRAIC SPECIFICATION OF MACINTOSH'S QUICKDRAW USING OBJ2.</v>
      </c>
      <c r="F990" s="7" t="str">
        <f>IFERROR(__xludf.DUMMYFUNCTION("""COMPUTED_VALUE"""),"ICSE")</f>
        <v>ICSE</v>
      </c>
      <c r="G990" s="7" t="str">
        <f>IFERROR(__xludf.DUMMYFUNCTION("""COMPUTED_VALUE"""),"The authors describe QuickDraw, a typical graphics package, using OBJ2, a powerful algebraic language now in the phase of experimental use as a specification language. The results show the applicability of OBJ2 to practical problem domains and the advanta"&amp;"ges of the use of formal specification techniques brings. The authors take a critical look at the design of QuickDraw; they detect incomplete procedure definitions and find imprecise the classification of procedures.")</f>
        <v>The authors describe QuickDraw, a typical graphics package, using OBJ2, a powerful algebraic language now in the phase of experimental use as a specification language. The results show the applicability of OBJ2 to practical problem domains and the advantages of the use of formal specification techniques brings. The authors take a critical look at the design of QuickDraw; they detect incomplete procedure definitions and find imprecise the classification of procedures.</v>
      </c>
      <c r="H990" s="8"/>
      <c r="I990" s="10" t="b">
        <v>0</v>
      </c>
      <c r="J990" s="10" t="b">
        <v>0</v>
      </c>
      <c r="K990" s="10" t="b">
        <v>0</v>
      </c>
      <c r="L990" s="10" t="b">
        <v>0</v>
      </c>
      <c r="M990" s="10" t="b">
        <v>0</v>
      </c>
      <c r="N990" s="10" t="b">
        <v>0</v>
      </c>
      <c r="O990" s="11" t="b">
        <f t="shared" si="1"/>
        <v>0</v>
      </c>
      <c r="P990" s="16" t="b">
        <v>0</v>
      </c>
      <c r="Q990" s="7"/>
    </row>
    <row r="991">
      <c r="A991" s="5" t="b">
        <v>1</v>
      </c>
      <c r="B991" s="5" t="s">
        <v>1037</v>
      </c>
      <c r="C991" s="6" t="str">
        <f>IFERROR(__xludf.DUMMYFUNCTION("""COMPUTED_VALUE"""),"10.1145/143062.143111")</f>
        <v>10.1145/143062.143111</v>
      </c>
      <c r="D991" s="7" t="str">
        <f>IFERROR(__xludf.DUMMYFUNCTION("""COMPUTED_VALUE"""),"Lubars Mitchell; Meredith Greg; Potts Colin; Richter Charles")</f>
        <v>Lubars Mitchell; Meredith Greg; Potts Colin; Richter Charles</v>
      </c>
      <c r="E991" s="7" t="str">
        <f>IFERROR(__xludf.DUMMYFUNCTION("""COMPUTED_VALUE"""),"Object-oriented analysis for evolving systems")</f>
        <v>Object-oriented analysis for evolving systems</v>
      </c>
      <c r="F991" s="7" t="str">
        <f>IFERROR(__xludf.DUMMYFUNCTION("""COMPUTED_VALUE"""),"ICSE")</f>
        <v>ICSE</v>
      </c>
      <c r="G991" s="7" t="str">
        <f>IFERROR(__xludf.DUMMYFUNCTION("""COMPUTED_VALUE"""),"We are investigating the claim that object-oriented analysis (OOA) requirements models can be changed, reused, and integrated more easily than other kinds of requirements models. In this paper, we describe one part of that investigation: an experiment inv"&amp;"olving an OOA method in which the requirements for an automated teller machine (ATM) system are changed and the effects on the model are assessed.")</f>
        <v>We are investigating the claim that object-oriented analysis (OOA) requirements models can be changed, reused, and integrated more easily than other kinds of requirements models. In this paper, we describe one part of that investigation: an experiment involving an OOA method in which the requirements for an automated teller machine (ATM) system are changed and the effects on the model are assessed.</v>
      </c>
      <c r="H991" s="8"/>
      <c r="I991" s="10" t="b">
        <v>0</v>
      </c>
      <c r="J991" s="9" t="b">
        <v>1</v>
      </c>
      <c r="K991" s="9" t="b">
        <v>1</v>
      </c>
      <c r="L991" s="10" t="b">
        <v>0</v>
      </c>
      <c r="M991" s="10" t="b">
        <v>0</v>
      </c>
      <c r="N991" s="10" t="b">
        <v>0</v>
      </c>
      <c r="O991" s="11" t="b">
        <f t="shared" si="1"/>
        <v>0</v>
      </c>
      <c r="P991" s="12" t="b">
        <v>0</v>
      </c>
      <c r="Q991" s="13"/>
    </row>
    <row r="992">
      <c r="A992" s="5" t="b">
        <v>1</v>
      </c>
      <c r="B992" s="5" t="s">
        <v>1038</v>
      </c>
      <c r="C992" s="6"/>
      <c r="D992" s="7" t="str">
        <f>IFERROR(__xludf.DUMMYFUNCTION("""COMPUTED_VALUE"""),"Chung Lawrence; Nixon Brian A.")</f>
        <v>Chung Lawrence; Nixon Brian A.</v>
      </c>
      <c r="E992" s="7" t="str">
        <f>IFERROR(__xludf.DUMMYFUNCTION("""COMPUTED_VALUE"""),"Dealing with non-functional requirements: three experimental studies of a process-oriented approach")</f>
        <v>Dealing with non-functional requirements: three experimental studies of a process-oriented approach</v>
      </c>
      <c r="F992" s="7" t="str">
        <f>IFERROR(__xludf.DUMMYFUNCTION("""COMPUTED_VALUE"""),"ICSE")</f>
        <v>ICSE</v>
      </c>
      <c r="G992" s="7" t="str">
        <f>IFERROR(__xludf.DUMMYFUNCTION("""COMPUTED_VALUE"""),"Quality characteristics are vital for the success of software systems. To remedy the problems inherent in ad hoc development, a framework has been developed to deal with non-functional requirements (quality requirements or NFRs). Taking the premise that t"&amp;"he quality of a product depends on the quality of the process that leads from high-level NFRs to the product, the framework's objectives are to represent NFR-specific requirements, consider design tradeoffs, relate design decisions to NFRs, justify the de"&amp;"cisions, and assist defect detection. The purpose of this paper is to give an initial evaluation of the extent to which the framework's objectives are met. Three small portions of information systems were studied by the authors using the framework. The fr"&amp;"amework and empirical studies are evaluated herein, both from the viewpoint of domain experts who have reviewed the framework and studies, and ourselves as framework developers and users. The systems studied have a variety of characteristics, reflecting a"&amp;" variety of real application domains, and the studies deal with three important classes of NFRs for systems, namely, accuracy, security, and performance. The studies provide preliminary support for the usefulness of certain aspects of the framework, while"&amp;" raising some open issues.")</f>
        <v>Quality characteristics are vital for the success of software systems. To remedy the problems inherent in ad hoc development, a framework has been developed to deal with non-functional requirements (quality requirements or NFRs). Taking the premise that the quality of a product depends on the quality of the process that leads from high-level NFRs to the product, the framework's objectives are to represent NFR-specific requirements, consider design tradeoffs, relate design decisions to NFRs, justify the decisions, and assist defect detection. The purpose of this paper is to give an initial evaluation of the extent to which the framework's objectives are met. Three small portions of information systems were studied by the authors using the framework. The framework and empirical studies are evaluated herein, both from the viewpoint of domain experts who have reviewed the framework and studies, and ourselves as framework developers and users. The systems studied have a variety of characteristics, reflecting a variety of real application domains, and the studies deal with three important classes of NFRs for systems, namely, accuracy, security, and performance. The studies provide preliminary support for the usefulness of certain aspects of the framework, while raising some open issues.</v>
      </c>
      <c r="H992" s="8"/>
      <c r="I992" s="10" t="b">
        <v>0</v>
      </c>
      <c r="J992" s="10" t="b">
        <v>0</v>
      </c>
      <c r="K992" s="10" t="b">
        <v>0</v>
      </c>
      <c r="L992" s="10" t="b">
        <v>0</v>
      </c>
      <c r="M992" s="10" t="b">
        <v>0</v>
      </c>
      <c r="N992" s="10" t="b">
        <v>0</v>
      </c>
      <c r="O992" s="11" t="b">
        <f t="shared" si="1"/>
        <v>0</v>
      </c>
      <c r="P992" s="16" t="b">
        <v>0</v>
      </c>
      <c r="Q992" s="7"/>
    </row>
    <row r="993">
      <c r="A993" s="5" t="b">
        <v>1</v>
      </c>
      <c r="B993" s="5" t="s">
        <v>1039</v>
      </c>
      <c r="C993" s="6"/>
      <c r="D993" s="7" t="str">
        <f>IFERROR(__xludf.DUMMYFUNCTION("""COMPUTED_VALUE"""),"Dershowitz N.; Manna Z.")</f>
        <v>Dershowitz N.; Manna Z.</v>
      </c>
      <c r="E993" s="7" t="str">
        <f>IFERROR(__xludf.DUMMYFUNCTION("""COMPUTED_VALUE"""),"Inference rules for program annotation")</f>
        <v>Inference rules for program annotation</v>
      </c>
      <c r="F993" s="7" t="str">
        <f>IFERROR(__xludf.DUMMYFUNCTION("""COMPUTED_VALUE"""),"ICSE")</f>
        <v>ICSE</v>
      </c>
      <c r="G993" s="7" t="str">
        <f>IFERROR(__xludf.DUMMYFUNCTION("""COMPUTED_VALUE"""),"Methods are presented whereby an Algol-like program, given together with its specifications, can be documented automatically. The program Is incrementally annotated with invariant relationships that hold between program variables at intermediate points In"&amp;" the program and explain the actual workings of the program regardless of whether the program Is correct. Thus this documentation can be used for proving the correctness of the program or may serve as an aid In the debugging of an Incorrect program. The a"&amp;"nnotation techniques are formulated as Hoare-like inference rules which derive invariants from the assignment statements, from the control structure of the program, or, heuristically, from suggested Invariants. The application of these rules Is demonstrat"&amp;"ed by an example, one of a number that have run on an experimental Implementation. © 1978 IEEE Computer Society. All rights reserved.")</f>
        <v>Methods are presented whereby an Algol-like program, given together with its specifications, can be documented automatically. The program Is incrementally annotated with invariant relationships that hold between program variables at intermediate points In the program and explain the actual workings of the program regardless of whether the program Is correct. Thus this documentation can be used for proving the correctness of the program or may serve as an aid In the debugging of an Incorrect program. The annotation techniques are formulated as Hoare-like inference rules which derive invariants from the assignment statements, from the control structure of the program, or, heuristically, from suggested Invariants. The application of these rules Is demonstrated by an example, one of a number that have run on an experimental Implementation. © 1978 IEEE Computer Society. All rights reserved.</v>
      </c>
      <c r="H993" s="8" t="str">
        <f>IFERROR(__xludf.DUMMYFUNCTION("""COMPUTED_VALUE"""),"Inference rules; Invariant assertions; Program annotation; Program correctness; Verification")</f>
        <v>Inference rules; Invariant assertions; Program annotation; Program correctness; Verification</v>
      </c>
      <c r="I993" s="10" t="b">
        <v>0</v>
      </c>
      <c r="J993" s="10" t="b">
        <v>0</v>
      </c>
      <c r="K993" s="10" t="b">
        <v>0</v>
      </c>
      <c r="L993" s="10" t="b">
        <v>0</v>
      </c>
      <c r="M993" s="10" t="b">
        <v>0</v>
      </c>
      <c r="N993" s="10" t="b">
        <v>0</v>
      </c>
      <c r="O993" s="11" t="b">
        <f t="shared" si="1"/>
        <v>0</v>
      </c>
      <c r="P993" s="16" t="b">
        <v>0</v>
      </c>
      <c r="Q993" s="7"/>
    </row>
    <row r="994">
      <c r="A994" s="5" t="b">
        <v>1</v>
      </c>
      <c r="B994" s="5" t="s">
        <v>1040</v>
      </c>
      <c r="C994" s="6" t="str">
        <f>IFERROR(__xludf.DUMMYFUNCTION("""COMPUTED_VALUE"""),"10.1145/1083292.1103038")</f>
        <v>10.1145/1083292.1103038</v>
      </c>
      <c r="D994" s="7" t="str">
        <f>IFERROR(__xludf.DUMMYFUNCTION("""COMPUTED_VALUE"""),"Ziemer S.; Stalhane T.; Sveen M.")</f>
        <v>Ziemer S.; Stalhane T.; Sveen M.</v>
      </c>
      <c r="E994" s="7" t="str">
        <f>IFERROR(__xludf.DUMMYFUNCTION("""COMPUTED_VALUE"""),"Trade-off analysis in web development an experiment on the use of QFD")</f>
        <v>Trade-off analysis in web development an experiment on the use of QFD</v>
      </c>
      <c r="F994" s="7" t="str">
        <f>IFERROR(__xludf.DUMMYFUNCTION("""COMPUTED_VALUE"""),"ICSE")</f>
        <v>ICSE</v>
      </c>
      <c r="G994" s="7" t="str">
        <f>IFERROR(__xludf.DUMMYFUNCTION("""COMPUTED_VALUE"""),"Many Web Applications are depending on keeping a loyal user group. This is partly archived by frequent updates, including new content, new presentation and new functionality. Time-to-market (TTM) is an important requirement for these updates. This pose a "&amp;"challenge for the quality of Web Applications, which have to be balanced properly. When prioritising new requirements, the benefits and the consequences have to be assessed and conflicts between requirements have to be resolved. This can be done by using "&amp;"trade-off analysis. A tool that can be used to facilitate a trade-off analysis is the Quality Function Deployment (QFD) method. This paper reports on an experiment that we have conducted to observe how QFD contributes to resolve conflicts between requirem"&amp;"ents, to make a prioritisation and to enhance the communication in a development team. © 2005 ACM.")</f>
        <v>Many Web Applications are depending on keeping a loyal user group. This is partly archived by frequent updates, including new content, new presentation and new functionality. Time-to-market (TTM) is an important requirement for these updates. This pose a challenge for the quality of Web Applications, which have to be balanced properly. When prioritising new requirements, the benefits and the consequences have to be assessed and conflicts between requirements have to be resolved. This can be done by using trade-off analysis. A tool that can be used to facilitate a trade-off analysis is the Quality Function Deployment (QFD) method. This paper reports on an experiment that we have conducted to observe how QFD contributes to resolve conflicts between requirements, to make a prioritisation and to enhance the communication in a development team. © 2005 ACM.</v>
      </c>
      <c r="H994" s="8"/>
      <c r="I994" s="10" t="b">
        <v>0</v>
      </c>
      <c r="J994" s="10" t="b">
        <v>0</v>
      </c>
      <c r="K994" s="10" t="b">
        <v>0</v>
      </c>
      <c r="L994" s="10" t="b">
        <v>0</v>
      </c>
      <c r="M994" s="10" t="b">
        <v>0</v>
      </c>
      <c r="N994" s="10" t="b">
        <v>0</v>
      </c>
      <c r="O994" s="11" t="b">
        <f t="shared" si="1"/>
        <v>0</v>
      </c>
      <c r="P994" s="16" t="b">
        <v>0</v>
      </c>
      <c r="Q994" s="7"/>
    </row>
    <row r="995">
      <c r="A995" s="5" t="b">
        <v>1</v>
      </c>
      <c r="B995" s="5" t="s">
        <v>1041</v>
      </c>
      <c r="C995" s="6" t="str">
        <f>IFERROR(__xludf.DUMMYFUNCTION("""COMPUTED_VALUE"""),"10.1109/ICSE.2007.13")</f>
        <v>10.1109/ICSE.2007.13</v>
      </c>
      <c r="D995" s="7" t="str">
        <f>IFERROR(__xludf.DUMMYFUNCTION("""COMPUTED_VALUE"""),"Nicholas Graham T.C.; Kazman R.; Walmsley C.")</f>
        <v>Nicholas Graham T.C.; Kazman R.; Walmsley C.</v>
      </c>
      <c r="E995" s="7" t="str">
        <f>IFERROR(__xludf.DUMMYFUNCTION("""COMPUTED_VALUE"""),"Agility and experimentation: Practical techniques for resolving architectural tradeoffs")</f>
        <v>Agility and experimentation: Practical techniques for resolving architectural tradeoffs</v>
      </c>
      <c r="F995" s="7" t="str">
        <f>IFERROR(__xludf.DUMMYFUNCTION("""COMPUTED_VALUE"""),"ICSE")</f>
        <v>ICSE</v>
      </c>
      <c r="G995" s="7" t="str">
        <f>IFERROR(__xludf.DUMMYFUNCTION("""COMPUTED_VALUE"""),"This paper outlines our experiences with making architectural tradeoffs between performance, availability, security, and usability, in light of stringent cost and time-to-market constraints, in an industrial web-conferencing system. We highlight the diffi"&amp;"culties in anticipating future architectural requirements and tradeoffs and the value of using agility and experiments as a tool for mitigating architectural risks in situations when up front pen-and-paper analysis is simply impossible. © 2007 IEEE.")</f>
        <v>This paper outlines our experiences with making architectural tradeoffs between performance, availability, security, and usability, in light of stringent cost and time-to-market constraints, in an industrial web-conferencing system. We highlight the difficulties in anticipating future architectural requirements and tradeoffs and the value of using agility and experiments as a tool for mitigating architectural risks in situations when up front pen-and-paper analysis is simply impossible. © 2007 IEEE.</v>
      </c>
      <c r="H995" s="8"/>
      <c r="I995" s="10" t="b">
        <v>0</v>
      </c>
      <c r="J995" s="10" t="b">
        <v>0</v>
      </c>
      <c r="K995" s="10" t="b">
        <v>0</v>
      </c>
      <c r="L995" s="10" t="b">
        <v>0</v>
      </c>
      <c r="M995" s="10" t="b">
        <v>0</v>
      </c>
      <c r="N995" s="10" t="b">
        <v>0</v>
      </c>
      <c r="O995" s="11" t="b">
        <f t="shared" si="1"/>
        <v>0</v>
      </c>
      <c r="P995" s="16" t="b">
        <v>0</v>
      </c>
      <c r="Q995" s="7"/>
    </row>
    <row r="996">
      <c r="A996" s="5" t="b">
        <v>1</v>
      </c>
      <c r="B996" s="5" t="s">
        <v>1042</v>
      </c>
      <c r="C996" s="6" t="str">
        <f>IFERROR(__xludf.DUMMYFUNCTION("""COMPUTED_VALUE"""),"10.1109/ICSE.2005.1553579")</f>
        <v>10.1109/ICSE.2005.1553579</v>
      </c>
      <c r="D996" s="7" t="str">
        <f>IFERROR(__xludf.DUMMYFUNCTION("""COMPUTED_VALUE"""),"Cleland-Huang J.; Settimi R.; BenKhadra O.; Berezhanskaya E.; Christina S.")</f>
        <v>Cleland-Huang J.; Settimi R.; BenKhadra O.; Berezhanskaya E.; Christina S.</v>
      </c>
      <c r="E996" s="7" t="str">
        <f>IFERROR(__xludf.DUMMYFUNCTION("""COMPUTED_VALUE"""),"Goal-centric traceability for managing non-functional requirements")</f>
        <v>Goal-centric traceability for managing non-functional requirements</v>
      </c>
      <c r="F996" s="7" t="str">
        <f>IFERROR(__xludf.DUMMYFUNCTION("""COMPUTED_VALUE"""),"ICSE")</f>
        <v>ICSE</v>
      </c>
      <c r="G996" s="7" t="str">
        <f>IFERROR(__xludf.DUMMYFUNCTION("""COMPUTED_VALUE"""),"This paper describes a Goal Centric approach for effectively maintaining critical system qualities such as security, performance, and usability throughout the lifetime of a software system. In Goal Centric Traceability (GCT) non-functional requirements an"&amp;"d their interdependencies are modeled as softgoals in a Softgoal Interdependency Graph (SIG). A probabilistic network model is then used to dynamically retrieve links between classes affected by a functional change and elements within the SIG. These links"&amp;" enable developers to identify potentially impacted goals; to analyze the level of impact on those goals; to make informed decisions concerning the implementation of the proposed change; and finally to develop appropriate risk mitigating strategies. This "&amp;"paper also reports experimental results for the link retrieval and illustrates the GCT process through an example of a change applied to a road management system. Copyright 2004 ACM.")</f>
        <v>This paper describes a Goal Centric approach for effectively maintaining critical system qualities such as security, performance, and usability throughout the lifetime of a software system. In Goal Centric Traceability (GCT) non-functional requirements and their interdependencies are modeled as softgoals in a Softgoal Interdependency Graph (SIG). A probabilistic network model is then used to dynamically retrieve links between classes affected by a functional change and elements within the SIG. These links enable developers to identify potentially impacted goals; to analyze the level of impact on those goals; to make informed decisions concerning the implementation of the proposed change; and finally to develop appropriate risk mitigating strategies. This paper also reports experimental results for the link retrieval and illustrates the GCT process through an example of a change applied to a road management system. Copyright 2004 ACM.</v>
      </c>
      <c r="H996" s="8" t="str">
        <f>IFERROR(__xludf.DUMMYFUNCTION("""COMPUTED_VALUE"""),"Impact analysis; Link retrieval; Non-functional requirements; System quality; Traceability")</f>
        <v>Impact analysis; Link retrieval; Non-functional requirements; System quality; Traceability</v>
      </c>
      <c r="I996" s="10" t="b">
        <v>0</v>
      </c>
      <c r="J996" s="10" t="b">
        <v>0</v>
      </c>
      <c r="K996" s="10" t="b">
        <v>0</v>
      </c>
      <c r="L996" s="10" t="b">
        <v>0</v>
      </c>
      <c r="M996" s="10" t="b">
        <v>0</v>
      </c>
      <c r="N996" s="10" t="b">
        <v>0</v>
      </c>
      <c r="O996" s="11" t="b">
        <f t="shared" si="1"/>
        <v>0</v>
      </c>
      <c r="P996" s="16" t="b">
        <v>0</v>
      </c>
      <c r="Q996" s="7"/>
    </row>
    <row r="997">
      <c r="A997" s="5" t="b">
        <v>1</v>
      </c>
      <c r="B997" s="5" t="s">
        <v>1043</v>
      </c>
      <c r="C997" s="6"/>
      <c r="D997" s="7" t="str">
        <f>IFERROR(__xludf.DUMMYFUNCTION("""COMPUTED_VALUE"""),"Beretta G.; Burkhart H.; Fink P.; Nievergelt J.; Stelovsky J.; Sugaya H.; Ventura A.; Weydert J.")</f>
        <v>Beretta G.; Burkhart H.; Fink P.; Nievergelt J.; Stelovsky J.; Sugaya H.; Ventura A.; Weydert J.</v>
      </c>
      <c r="E997" s="7" t="str">
        <f>IFERROR(__xludf.DUMMYFUNCTION("""COMPUTED_VALUE"""),"XS-1: An integrated interactive system and its kernel")</f>
        <v>XS-1: An integrated interactive system and its kernel</v>
      </c>
      <c r="F997" s="7" t="str">
        <f>IFERROR(__xludf.DUMMYFUNCTION("""COMPUTED_VALUE"""),"ICSE")</f>
        <v>ICSE</v>
      </c>
      <c r="G997" s="7" t="str">
        <f>IFERROR(__xludf.DUMMYFUNCTION("""COMPUTED_VALUE"""),"We present a case study of an experimental integrated interactive System, XS-1, being implemented on small computers. The primary goal of this project is to provide experimental support for design principles that have emerged from a critique of the behavi"&amp;"or of today's interactive systems, and from our earlier implementations. These design principles apply at the user's level and at the system designer's level. The user must have a model of the system that allows him at all times to obtain information abou"&amp;"t his current data environment and his current command environment; he must be able to obtain such information by means of universal commands that are always active, regardless of the application program he is executing. These requirements at the user lev"&amp;"el have stringent implications at the system design level, such as: A common representation for data of all types, a file system that handles small and large sets of data in a uniform way, a front-end dialog processor shared by all application programs, a"&amp;"nd screen layout conventions. © 1982 IEEE.")</f>
        <v>We present a case study of an experimental integrated interactive System, XS-1, being implemented on small computers. The primary goal of this project is to provide experimental support for design principles that have emerged from a critique of the behavior of today's interactive systems, and from our earlier implementations. These design principles apply at the user's level and at the system designer's level. The user must have a model of the system that allows him at all times to obtain information about his current data environment and his current command environment; he must be able to obtain such information by means of universal commands that are always active, regardless of the application program he is executing. These requirements at the user level have stringent implications at the system design level, such as: A common representation for data of all types, a file system that handles small and large sets of data in a uniform way, a front-end dialog processor shared by all application programs, and screen layout conventions. © 1982 IEEE.</v>
      </c>
      <c r="H997" s="8"/>
      <c r="I997" s="10" t="b">
        <v>0</v>
      </c>
      <c r="J997" s="10" t="b">
        <v>0</v>
      </c>
      <c r="K997" s="10" t="b">
        <v>0</v>
      </c>
      <c r="L997" s="10" t="b">
        <v>0</v>
      </c>
      <c r="M997" s="10" t="b">
        <v>0</v>
      </c>
      <c r="N997" s="10" t="b">
        <v>0</v>
      </c>
      <c r="O997" s="11" t="b">
        <f t="shared" si="1"/>
        <v>0</v>
      </c>
      <c r="P997" s="16" t="b">
        <v>0</v>
      </c>
      <c r="Q997" s="7"/>
    </row>
    <row r="998">
      <c r="A998" s="5" t="b">
        <v>1</v>
      </c>
      <c r="B998" s="5" t="s">
        <v>1044</v>
      </c>
      <c r="C998" s="6" t="str">
        <f>IFERROR(__xludf.DUMMYFUNCTION("""COMPUTED_VALUE"""),"10.1145/1370837.1370844")</f>
        <v>10.1145/1370837.1370844</v>
      </c>
      <c r="D998" s="7" t="str">
        <f>IFERROR(__xludf.DUMMYFUNCTION("""COMPUTED_VALUE"""),"Porta N.F.")</f>
        <v>Porta N.F.</v>
      </c>
      <c r="E998" s="7" t="str">
        <f>IFERROR(__xludf.DUMMYFUNCTION("""COMPUTED_VALUE"""),"Towards a model for cost-benefit-analysis of quality assurance in the automotive E/E development")</f>
        <v>Towards a model for cost-benefit-analysis of quality assurance in the automotive E/E development</v>
      </c>
      <c r="F998" s="7" t="str">
        <f>IFERROR(__xludf.DUMMYFUNCTION("""COMPUTED_VALUE"""),"ICSE")</f>
        <v>ICSE</v>
      </c>
      <c r="G998" s="7" t="str">
        <f>IFERROR(__xludf.DUMMYFUNCTION("""COMPUTED_VALUE"""),"This paper analyzes concepts to measure benefits of quality assurance measures applied in the electric / electronics (E/E) development in the automotive domain. Therefore selected models are examined and their suitability in the given context is evaluated"&amp;". Since typical models in literature do not fulfil the practical requirements, the goal is to develop an extensive cost-benefit model based on organization specific cause-andeffect chains embracing software but also hardware development aspects. In a firs"&amp;"t example, based on the experiences in a software engineering experiment with 20 students, the applicability of the defined cause-and-effect chains with their according metrics is shown. Further research aims on process simulation to ensure plausibility a"&amp;"nd case studies for the validation of the presented approach. Copyright 2008 ACM.")</f>
        <v>This paper analyzes concepts to measure benefits of quality assurance measures applied in the electric / electronics (E/E) development in the automotive domain. Therefore selected models are examined and their suitability in the given context is evaluated. Since typical models in literature do not fulfil the practical requirements, the goal is to develop an extensive cost-benefit model based on organization specific cause-andeffect chains embracing software but also hardware development aspects. In a first example, based on the experiences in a software engineering experiment with 20 students, the applicability of the defined cause-and-effect chains with their according metrics is shown. Further research aims on process simulation to ensure plausibility and case studies for the validation of the presented approach. Copyright 2008 ACM.</v>
      </c>
      <c r="H998" s="8" t="str">
        <f>IFERROR(__xludf.DUMMYFUNCTION("""COMPUTED_VALUE"""),"Automotive; Causal chains; Cost-benefit; Metrics; Quality assurance; Quantitative project management; Value based software engineering")</f>
        <v>Automotive; Causal chains; Cost-benefit; Metrics; Quality assurance; Quantitative project management; Value based software engineering</v>
      </c>
      <c r="I998" s="9" t="b">
        <v>1</v>
      </c>
      <c r="J998" s="10" t="b">
        <v>0</v>
      </c>
      <c r="K998" s="9" t="b">
        <v>1</v>
      </c>
      <c r="L998" s="10" t="b">
        <v>0</v>
      </c>
      <c r="M998" s="10" t="b">
        <v>0</v>
      </c>
      <c r="N998" s="10" t="b">
        <v>0</v>
      </c>
      <c r="O998" s="11" t="b">
        <f t="shared" si="1"/>
        <v>0</v>
      </c>
      <c r="P998" s="16" t="b">
        <v>0</v>
      </c>
      <c r="Q998" s="7"/>
    </row>
    <row r="999">
      <c r="A999" s="5" t="b">
        <v>1</v>
      </c>
      <c r="B999" s="5" t="s">
        <v>1045</v>
      </c>
      <c r="C999" s="6" t="str">
        <f>IFERROR(__xludf.DUMMYFUNCTION("""COMPUTED_VALUE"""),"10.1145/337180.337226")</f>
        <v>10.1145/337180.337226</v>
      </c>
      <c r="D999" s="7" t="str">
        <f>IFERROR(__xludf.DUMMYFUNCTION("""COMPUTED_VALUE"""),"Mizuno Osamu; Kikuno Tohru; Takagi Yasunari; Sakamoto Keishi")</f>
        <v>Mizuno Osamu; Kikuno Tohru; Takagi Yasunari; Sakamoto Keishi</v>
      </c>
      <c r="E999" s="7" t="str">
        <f>IFERROR(__xludf.DUMMYFUNCTION("""COMPUTED_VALUE"""),"Characterization of risky projects based on project managers' evaluation")</f>
        <v>Characterization of risky projects based on project managers' evaluation</v>
      </c>
      <c r="F999" s="7" t="str">
        <f>IFERROR(__xludf.DUMMYFUNCTION("""COMPUTED_VALUE"""),"ICSE")</f>
        <v>ICSE</v>
      </c>
      <c r="G999" s="7" t="str">
        <f>IFERROR(__xludf.DUMMYFUNCTION("""COMPUTED_VALUE"""),"During the process of software development, senior managers often find indications that projects are risky and take appropriate actions to recover them from this dangerous status. If senior managers fail to detect such risks, it is possible that such proj"&amp;"ects may collapse completely. In this paper, we propose a new scheme for the characterization of risky projects based on an evaluation by the project manager. In order to acquire the relevant data to make such an assessment, we first designed a questionna"&amp;"ire from five viewpoints within the projects: requirements, estimations, team organization, planning capability and project management activities. Each of these viewpoints consisted of a number of concrete questions. We then analyzed the responses to the "&amp;"questionnaires as provided by project managers by applying a logistic regression analysis. That is, we determined the coefficients of the logistic model from a set of the questionnaire responses. The experimental results using actual project data in Compa"&amp;"ny A showed that 27 projects out of 32 were predicted correctly. Thus we would expect that the proposed characterizing scheme is the first step toward predicting which projects are risky at an early phase of the development.")</f>
        <v>During the process of software development, senior managers often find indications that projects are risky and take appropriate actions to recover them from this dangerous status. If senior managers fail to detect such risks, it is possible that such projects may collapse completely. In this paper, we propose a new scheme for the characterization of risky projects based on an evaluation by the project manager. In order to acquire the relevant data to make such an assessment, we first designed a questionnaire from five viewpoints within the projects: requirements, estimations, team organization, planning capability and project management activities. Each of these viewpoints consisted of a number of concrete questions. We then analyzed the responses to the questionnaires as provided by project managers by applying a logistic regression analysis. That is, we determined the coefficients of the logistic model from a set of the questionnaire responses. The experimental results using actual project data in Company A showed that 27 projects out of 32 were predicted correctly. Thus we would expect that the proposed characterizing scheme is the first step toward predicting which projects are risky at an early phase of the development.</v>
      </c>
      <c r="H999" s="8"/>
      <c r="I999" s="10" t="b">
        <v>0</v>
      </c>
      <c r="J999" s="10" t="b">
        <v>0</v>
      </c>
      <c r="K999" s="10" t="b">
        <v>0</v>
      </c>
      <c r="L999" s="10" t="b">
        <v>0</v>
      </c>
      <c r="M999" s="10" t="b">
        <v>0</v>
      </c>
      <c r="N999" s="10" t="b">
        <v>0</v>
      </c>
      <c r="O999" s="11" t="b">
        <f t="shared" si="1"/>
        <v>0</v>
      </c>
      <c r="P999" s="16" t="b">
        <v>0</v>
      </c>
      <c r="Q999" s="7"/>
    </row>
    <row r="1000">
      <c r="A1000" s="5" t="b">
        <v>1</v>
      </c>
      <c r="B1000" s="5" t="s">
        <v>1046</v>
      </c>
      <c r="C1000" s="6"/>
      <c r="D1000" s="7" t="str">
        <f>IFERROR(__xludf.DUMMYFUNCTION("""COMPUTED_VALUE"""),"Watanabe Aki; Sakamura Ken")</f>
        <v>Watanabe Aki; Sakamura Ken</v>
      </c>
      <c r="E1000" s="7" t="str">
        <f>IFERROR(__xludf.DUMMYFUNCTION("""COMPUTED_VALUE"""),"Specification-based adaptive test case generation strategy for open operating system standards")</f>
        <v>Specification-based adaptive test case generation strategy for open operating system standards</v>
      </c>
      <c r="F1000" s="7" t="str">
        <f>IFERROR(__xludf.DUMMYFUNCTION("""COMPUTED_VALUE"""),"ICSE")</f>
        <v>ICSE</v>
      </c>
      <c r="G1000" s="7" t="str">
        <f>IFERROR(__xludf.DUMMYFUNCTION("""COMPUTED_VALUE"""),"This paper presents a specification-based adaptive test case generation (SBATCG) method for integration testing in an open operating system standards environment. In the SBATCG method, templates describing abstract state transitions are derived from a mod"&amp;"el-based specification, and the templates are refined to the internal structure of each implementation. In this paper, we adopt the Z notation, one of the most widely used formal specification languages. We conducted mutation analysis to study the fault-e"&amp;"xposure abilities of the SBATCG method and that of a strategy based only on a specification. In our experiment, we used a Z version of the ITRON2 real-time multi-task operating system specification and two commercially available ITRON2 implementations. Th"&amp;"e results of this experiment show that the SBATCG method can achieve a higher fault detecting ability than can the strategy using only a specification.")</f>
        <v>This paper presents a specification-based adaptive test case generation (SBATCG) method for integration testing in an open operating system standards environment. In the SBATCG method, templates describing abstract state transitions are derived from a model-based specification, and the templates are refined to the internal structure of each implementation. In this paper, we adopt the Z notation, one of the most widely used formal specification languages. We conducted mutation analysis to study the fault-exposure abilities of the SBATCG method and that of a strategy based only on a specification. In our experiment, we used a Z version of the ITRON2 real-time multi-task operating system specification and two commercially available ITRON2 implementations. The results of this experiment show that the SBATCG method can achieve a higher fault detecting ability than can the strategy using only a specification.</v>
      </c>
      <c r="H1000" s="8"/>
      <c r="I1000" s="10" t="b">
        <v>0</v>
      </c>
      <c r="J1000" s="10" t="b">
        <v>0</v>
      </c>
      <c r="K1000" s="10" t="b">
        <v>0</v>
      </c>
      <c r="L1000" s="10" t="b">
        <v>0</v>
      </c>
      <c r="M1000" s="10" t="b">
        <v>0</v>
      </c>
      <c r="N1000" s="10" t="b">
        <v>0</v>
      </c>
      <c r="O1000" s="11" t="b">
        <f t="shared" si="1"/>
        <v>0</v>
      </c>
      <c r="P1000" s="16" t="b">
        <v>0</v>
      </c>
      <c r="Q1000" s="7"/>
    </row>
    <row r="1001">
      <c r="A1001" s="5" t="b">
        <v>1</v>
      </c>
      <c r="B1001" s="5" t="s">
        <v>1047</v>
      </c>
      <c r="C1001" s="7"/>
      <c r="D1001" s="7" t="str">
        <f>IFERROR(__xludf.DUMMYFUNCTION("""COMPUTED_VALUE"""),"Walker Robert J.; Baniassad Elisa L.A.; Murphy Gail C.")</f>
        <v>Walker Robert J.; Baniassad Elisa L.A.; Murphy Gail C.</v>
      </c>
      <c r="E1001" s="7" t="str">
        <f>IFERROR(__xludf.DUMMYFUNCTION("""COMPUTED_VALUE"""),"Initial assessment of aspect-oriented programming")</f>
        <v>Initial assessment of aspect-oriented programming</v>
      </c>
      <c r="F1001" s="7" t="str">
        <f>IFERROR(__xludf.DUMMYFUNCTION("""COMPUTED_VALUE"""),"ICSE")</f>
        <v>ICSE</v>
      </c>
      <c r="G1001" s="7" t="str">
        <f>IFERROR(__xludf.DUMMYFUNCTION("""COMPUTED_VALUE"""),"The principle of separation of concerns has long been used by software engineers to manage the complexity of software system development. Programming languages help software engineers explicitly maintain the separation of some concerns in code. As another"&amp;" step towards increasing the scope of concerns that can be captured cleanly within the code, Kiczales and colleagues have introduced aspect-oriented programming. In aspect-oriented programming, explicit language support is provided to help modularize desi"&amp;"gn decisions that cross-cut a functionally-decomposed program. Aspect-oriented programming is intended to make it easier to reason about, develop, and maintain certain kinds of application code. To investigate these claims, we conducted two exploratory ex"&amp;"periments that considered the impact of aspect-oriented programming, as found in AspectJ version 0.1, on two common programming activities: debugging and change. Our experimental results provide insights into the usefulness and usability of aspect-oriente"&amp;"d programming. Our results also raise questions about the characteristics of the interface between aspects and functionally-decomposed core code that are necessary to accrue programming benefits. Most notably, the separation provided by aspect-oriented pr"&amp;"ogramming seems most helpful when the interface is narrow (i.e., the separation is more complete); partial separation does not necessarily provide partial benefit.")</f>
        <v>The principle of separation of concerns has long been used by software engineers to manage the complexity of software system development. Programming languages help software engineers explicitly maintain the separation of some concerns in code. As another step towards increasing the scope of concerns that can be captured cleanly within the code, Kiczales and colleagues have introduced aspect-oriented programming. In aspect-oriented programming, explicit language support is provided to help modularize design decisions that cross-cut a functionally-decomposed program. Aspect-oriented programming is intended to make it easier to reason about, develop, and maintain certain kinds of application code. To investigate these claims, we conducted two exploratory experiments that considered the impact of aspect-oriented programming, as found in AspectJ version 0.1, on two common programming activities: debugging and change. Our experimental results provide insights into the usefulness and usability of aspect-oriented programming. Our results also raise questions about the characteristics of the interface between aspects and functionally-decomposed core code that are necessary to accrue programming benefits. Most notably, the separation provided by aspect-oriented programming seems most helpful when the interface is narrow (i.e., the separation is more complete); partial separation does not necessarily provide partial benefit.</v>
      </c>
      <c r="H1001" s="7"/>
      <c r="I1001" s="10" t="b">
        <v>0</v>
      </c>
      <c r="J1001" s="10" t="b">
        <v>0</v>
      </c>
      <c r="K1001" s="10" t="b">
        <v>0</v>
      </c>
      <c r="L1001" s="10" t="b">
        <v>0</v>
      </c>
      <c r="M1001" s="10" t="b">
        <v>0</v>
      </c>
      <c r="N1001" s="10" t="b">
        <v>0</v>
      </c>
      <c r="O1001" s="11" t="b">
        <f t="shared" si="1"/>
        <v>0</v>
      </c>
      <c r="P1001" s="16" t="b">
        <v>0</v>
      </c>
      <c r="Q1001" s="7"/>
    </row>
    <row r="1002">
      <c r="A1002" s="5" t="b">
        <v>1</v>
      </c>
      <c r="B1002" s="5" t="s">
        <v>1048</v>
      </c>
      <c r="C1002" s="7"/>
      <c r="D1002" s="7" t="str">
        <f>IFERROR(__xludf.DUMMYFUNCTION("""COMPUTED_VALUE"""),"Acuña S.T.; Lasserre C.M.; Quincoces V.E.")</f>
        <v>Acuña S.T.; Lasserre C.M.; Quincoces V.E.</v>
      </c>
      <c r="E1002" s="7" t="str">
        <f>IFERROR(__xludf.DUMMYFUNCTION("""COMPUTED_VALUE"""),"Human capacities in the software process: Empiric validation")</f>
        <v>Human capacities in the software process: Empiric validation</v>
      </c>
      <c r="F1002" s="7" t="str">
        <f>IFERROR(__xludf.DUMMYFUNCTION("""COMPUTED_VALUE"""),"ICSE")</f>
        <v>ICSE</v>
      </c>
      <c r="G1002" s="7" t="str">
        <f>IFERROR(__xludf.DUMMYFUNCTION("""COMPUTED_VALUE"""),"In this paper an empiric validation of a Person to Role Allocation Process is presented. In this process the allocation of persons to fulfill roles is made according to the capacities that the persons possess and those required by the roles in the softwar"&amp;"e process. A set of experiments are carried out dealing with the development of the Initiation, Planning and Estimation Process, Domain Study Process, Requirements Analysis Process and Design Process of eight projects. It was proved that the estimated tim"&amp;"e deviation, as well as the errors found in the technical reviews of requirements specification, were less when the persons fulfilling the roles of planning engineer, domain analyst, requirements specificator and designer were allocated, according to the "&amp;"proposed process, considering the set of critical human capacities.")</f>
        <v>In this paper an empiric validation of a Person to Role Allocation Process is presented. In this process the allocation of persons to fulfill roles is made according to the capacities that the persons possess and those required by the roles in the software process. A set of experiments are carried out dealing with the development of the Initiation, Planning and Estimation Process, Domain Study Process, Requirements Analysis Process and Design Process of eight projects. It was proved that the estimated time deviation, as well as the errors found in the technical reviews of requirements specification, were less when the persons fulfilling the roles of planning engineer, domain analyst, requirements specificator and designer were allocated, according to the proposed process, considering the set of critical human capacities.</v>
      </c>
      <c r="H1002" s="7"/>
      <c r="I1002" s="9" t="b">
        <v>1</v>
      </c>
      <c r="J1002" s="9" t="b">
        <v>1</v>
      </c>
      <c r="K1002" s="10" t="b">
        <v>0</v>
      </c>
      <c r="L1002" s="10" t="b">
        <v>0</v>
      </c>
      <c r="M1002" s="10" t="b">
        <v>0</v>
      </c>
      <c r="N1002" s="10" t="b">
        <v>0</v>
      </c>
      <c r="O1002" s="11" t="b">
        <f t="shared" si="1"/>
        <v>0</v>
      </c>
      <c r="P1002" s="16" t="b">
        <v>0</v>
      </c>
      <c r="Q1002" s="7"/>
    </row>
    <row r="1003">
      <c r="A1003" s="5" t="b">
        <v>1</v>
      </c>
      <c r="B1003" s="5" t="s">
        <v>1049</v>
      </c>
      <c r="C1003" s="7"/>
      <c r="D1003" s="7" t="str">
        <f>IFERROR(__xludf.DUMMYFUNCTION("""COMPUTED_VALUE"""),"Hihn Jairus; Habib-agahi Hamid")</f>
        <v>Hihn Jairus; Habib-agahi Hamid</v>
      </c>
      <c r="E1003" s="7" t="str">
        <f>IFERROR(__xludf.DUMMYFUNCTION("""COMPUTED_VALUE"""),"Cost estimation of software intensive projects: A survey of current practices")</f>
        <v>Cost estimation of software intensive projects: A survey of current practices</v>
      </c>
      <c r="F1003" s="7" t="str">
        <f>IFERROR(__xludf.DUMMYFUNCTION("""COMPUTED_VALUE"""),"ICSE")</f>
        <v>ICSE</v>
      </c>
      <c r="G1003" s="7" t="str">
        <f>IFERROR(__xludf.DUMMYFUNCTION("""COMPUTED_VALUE"""),"The authors describe a survey conducted at the Jet Propulsion Laboratory (JPL) to estimate software costs for software intensive projects in JPL's technical divisions. Respondents to the survey described what techniques they use in estimating software cos"&amp;"ts and, in an experiment, each respondent estimated the size and cost of a specific piece of software described in a design document provided by the authors. It was found that the majority of the technical staff estimating software costs use informal anal"&amp;"ogy and high-level partitioning of requirements, and that no formal procedure exists for incorporating risk and uncertainty. The technical staff is significantly better at estimating effort than size. However, in both cases the variances are so large that"&amp;" there is a 30% probability that any one estimate can be more than 50% off.")</f>
        <v>The authors describe a survey conducted at the Jet Propulsion Laboratory (JPL) to estimate software costs for software intensive projects in JPL's technical divisions. Respondents to the survey described what techniques they use in estimating software costs and, in an experiment, each respondent estimated the size and cost of a specific piece of software described in a design document provided by the authors. It was found that the majority of the technical staff estimating software costs use informal analogy and high-level partitioning of requirements, and that no formal procedure exists for incorporating risk and uncertainty. The technical staff is significantly better at estimating effort than size. However, in both cases the variances are so large that there is a 30% probability that any one estimate can be more than 50% off.</v>
      </c>
      <c r="H1003" s="7"/>
      <c r="I1003" s="10" t="b">
        <v>0</v>
      </c>
      <c r="J1003" s="10" t="b">
        <v>0</v>
      </c>
      <c r="K1003" s="10" t="b">
        <v>0</v>
      </c>
      <c r="L1003" s="10" t="b">
        <v>0</v>
      </c>
      <c r="M1003" s="10" t="b">
        <v>0</v>
      </c>
      <c r="N1003" s="10" t="b">
        <v>0</v>
      </c>
      <c r="O1003" s="11" t="b">
        <f t="shared" si="1"/>
        <v>0</v>
      </c>
      <c r="P1003" s="16" t="b">
        <v>0</v>
      </c>
      <c r="Q1003" s="7"/>
    </row>
    <row r="1004">
      <c r="A1004" s="5" t="b">
        <v>1</v>
      </c>
      <c r="B1004" s="5" t="s">
        <v>1050</v>
      </c>
      <c r="C1004" s="7"/>
      <c r="D1004" s="7" t="str">
        <f>IFERROR(__xludf.DUMMYFUNCTION("""COMPUTED_VALUE"""),"Rombach Dieter")</f>
        <v>Rombach Dieter</v>
      </c>
      <c r="E1004" s="7" t="str">
        <f>IFERROR(__xludf.DUMMYFUNCTION("""COMPUTED_VALUE"""),"Fraunhofer: the German model for applied research and technology transfer")</f>
        <v>Fraunhofer: the German model for applied research and technology transfer</v>
      </c>
      <c r="F1004" s="7" t="str">
        <f>IFERROR(__xludf.DUMMYFUNCTION("""COMPUTED_VALUE"""),"ICSE")</f>
        <v>ICSE</v>
      </c>
      <c r="G1004" s="7" t="str">
        <f>IFERROR(__xludf.DUMMYFUNCTION("""COMPUTED_VALUE"""),"The Fraunhofer Gesellschaft e.V. in Germany is Europe's largest and most successful organization for applied research and technology transfer. Its 48 institutes cover all areas of technology and engineering ranging from materials and production technology"&amp;" to information &amp; communication technology and solar energy. The Fraunhofer Institute for Experimental Software Engineering (IESE) in Kaiserslautern, Germany, focuses on software engineering methods, software product and process management, and learning o"&amp;"rganization concepts for software. It applies an experiment- or feedback-based transfer model, which has led to many successful and sustained improvements in the industrial practice of software development. In this presentation, the underlying transfer mo"&amp;"del, key business areas and core competencies of Fraunhofer IESE as well as examples of industrial transfer projects will be illustrated. The presentation will conclude with arguments why this transfer approach is well suited for software development and "&amp;"why it is a prerequisite for the professionalization of software development.")</f>
        <v>The Fraunhofer Gesellschaft e.V. in Germany is Europe's largest and most successful organization for applied research and technology transfer. Its 48 institutes cover all areas of technology and engineering ranging from materials and production technology to information &amp; communication technology and solar energy. The Fraunhofer Institute for Experimental Software Engineering (IESE) in Kaiserslautern, Germany, focuses on software engineering methods, software product and process management, and learning organization concepts for software. It applies an experiment- or feedback-based transfer model, which has led to many successful and sustained improvements in the industrial practice of software development. In this presentation, the underlying transfer model, key business areas and core competencies of Fraunhofer IESE as well as examples of industrial transfer projects will be illustrated. The presentation will conclude with arguments why this transfer approach is well suited for software development and why it is a prerequisite for the professionalization of software development.</v>
      </c>
      <c r="H1004" s="7"/>
      <c r="I1004" s="10" t="b">
        <v>0</v>
      </c>
      <c r="J1004" s="10" t="b">
        <v>0</v>
      </c>
      <c r="K1004" s="10" t="b">
        <v>0</v>
      </c>
      <c r="L1004" s="10" t="b">
        <v>0</v>
      </c>
      <c r="M1004" s="10" t="b">
        <v>0</v>
      </c>
      <c r="N1004" s="10" t="b">
        <v>0</v>
      </c>
      <c r="O1004" s="11" t="b">
        <f t="shared" si="1"/>
        <v>0</v>
      </c>
      <c r="P1004" s="16" t="b">
        <v>0</v>
      </c>
      <c r="Q1004" s="7"/>
    </row>
    <row r="1005">
      <c r="A1005" s="5" t="b">
        <v>1</v>
      </c>
      <c r="B1005" s="5" t="s">
        <v>1051</v>
      </c>
      <c r="C1005" s="7"/>
      <c r="D1005" s="7" t="str">
        <f>IFERROR(__xludf.DUMMYFUNCTION("""COMPUTED_VALUE"""),"Zhang X.; Gupta R.; Zhang Y.")</f>
        <v>Zhang X.; Gupta R.; Zhang Y.</v>
      </c>
      <c r="E1005" s="7" t="str">
        <f>IFERROR(__xludf.DUMMYFUNCTION("""COMPUTED_VALUE"""),"Efficient forward computation of dynamic slices using reduced ordered binary decision diagrams")</f>
        <v>Efficient forward computation of dynamic slices using reduced ordered binary decision diagrams</v>
      </c>
      <c r="F1005" s="7" t="str">
        <f>IFERROR(__xludf.DUMMYFUNCTION("""COMPUTED_VALUE"""),"ICSE")</f>
        <v>ICSE</v>
      </c>
      <c r="G1005" s="7" t="str">
        <f>IFERROR(__xludf.DUMMYFUNCTION("""COMPUTED_VALUE"""),"Dynamic slicing algorithms can greatly reduce the debugging effort by focusing the attention of the user on a relevant subset of program statements. Recently algorithms for forward computation of dynamic slices have been proposed which maintain dynamic sl"&amp;"ices of all variables as the program executes. An advantage of this approach is that when a request for a slice is made, it is already available. The main disadvantage of using such an algorithm for slicing realistic programs is that the space and time re"&amp;"quired to maintain a large set of dynamic slices corresponding to all program variables can be very high. In this paper we analyze the characteristics of dynamic slices and identify properties that enable space efficient representation of a set of dynamic"&amp;" slices. We show that by using reduced ordered binary decision diagrams (roBDDs) to represent a set of dynamic slices, the space and time requirements of maintaining dynamic slices are greatly reduced. In fact not only can the latest dynamic slices of all"&amp;" variables be easily maintained, but rather all dynamic slices of all variables throughout a program's execution can be maintained. Our experiments show that our roBDD based algorithm for forward computation of dynamic slices can maintain 107-217 million "&amp;"dynamic slices arising during long program runs using only 28-392 megabytes of storage. In addition, the performance of the roBDD based forward computation method compares favorably with the performance of the LP backward computation algorithm.")</f>
        <v>Dynamic slicing algorithms can greatly reduce the debugging effort by focusing the attention of the user on a relevant subset of program statements. Recently algorithms for forward computation of dynamic slices have been proposed which maintain dynamic slices of all variables as the program executes. An advantage of this approach is that when a request for a slice is made, it is already available. The main disadvantage of using such an algorithm for slicing realistic programs is that the space and time required to maintain a large set of dynamic slices corresponding to all program variables can be very high. In this paper we analyze the characteristics of dynamic slices and identify properties that enable space efficient representation of a set of dynamic slices. We show that by using reduced ordered binary decision diagrams (roBDDs) to represent a set of dynamic slices, the space and time requirements of maintaining dynamic slices are greatly reduced. In fact not only can the latest dynamic slices of all variables be easily maintained, but rather all dynamic slices of all variables throughout a program's execution can be maintained. Our experiments show that our roBDD based algorithm for forward computation of dynamic slices can maintain 107-217 million dynamic slices arising during long program runs using only 28-392 megabytes of storage. In addition, the performance of the roBDD based forward computation method compares favorably with the performance of the LP backward computation algorithm.</v>
      </c>
      <c r="H1005" s="7"/>
      <c r="I1005" s="10" t="b">
        <v>0</v>
      </c>
      <c r="J1005" s="10" t="b">
        <v>0</v>
      </c>
      <c r="K1005" s="10" t="b">
        <v>0</v>
      </c>
      <c r="L1005" s="10" t="b">
        <v>0</v>
      </c>
      <c r="M1005" s="10" t="b">
        <v>0</v>
      </c>
      <c r="N1005" s="10" t="b">
        <v>0</v>
      </c>
      <c r="O1005" s="11" t="b">
        <f t="shared" si="1"/>
        <v>0</v>
      </c>
      <c r="P1005" s="16" t="b">
        <v>0</v>
      </c>
      <c r="Q1005" s="7"/>
    </row>
    <row r="1006">
      <c r="A1006" s="5" t="b">
        <v>1</v>
      </c>
      <c r="B1006" s="5" t="s">
        <v>1052</v>
      </c>
      <c r="C1006" s="7"/>
      <c r="D1006" s="7" t="str">
        <f>IFERROR(__xludf.DUMMYFUNCTION("""COMPUTED_VALUE"""),"Ledru Y.")</f>
        <v>Ledru Y.</v>
      </c>
      <c r="E1006" s="7" t="str">
        <f>IFERROR(__xludf.DUMMYFUNCTION("""COMPUTED_VALUE"""),"Using KIDS as a tool support for VDM")</f>
        <v>Using KIDS as a tool support for VDM</v>
      </c>
      <c r="F1006" s="7" t="str">
        <f>IFERROR(__xludf.DUMMYFUNCTION("""COMPUTED_VALUE"""),"ICSE")</f>
        <v>ICSE</v>
      </c>
      <c r="G1006" s="7" t="str">
        <f>IFERROR(__xludf.DUMMYFUNCTION("""COMPUTED_VALUE"""),"KIDS/VDM is an experimental environment that supports the synthesis of executable prototypes from VDM specifications. The development proceeds as a series of correctness preserving transformations under the strict control of the tool. A by-product of this"&amp;" development is the proof of consistency properties of the original specification. Experiments with the tool have shown its ability to handle independently written specifications. It also revealed useful to detect errors in specifications. The environment"&amp;" is based on technologies of the Kestrel Institute Development System, including the REFINE and REGROUP languages, the design and optimization tactics, and the theorem prover.")</f>
        <v>KIDS/VDM is an experimental environment that supports the synthesis of executable prototypes from VDM specifications. The development proceeds as a series of correctness preserving transformations under the strict control of the tool. A by-product of this development is the proof of consistency properties of the original specification. Experiments with the tool have shown its ability to handle independently written specifications. It also revealed useful to detect errors in specifications. The environment is based on technologies of the Kestrel Institute Development System, including the REFINE and REGROUP languages, the design and optimization tactics, and the theorem prover.</v>
      </c>
      <c r="H1006" s="7"/>
      <c r="I1006" s="10" t="b">
        <v>0</v>
      </c>
      <c r="J1006" s="10" t="b">
        <v>0</v>
      </c>
      <c r="K1006" s="10" t="b">
        <v>0</v>
      </c>
      <c r="L1006" s="10" t="b">
        <v>0</v>
      </c>
      <c r="M1006" s="10" t="b">
        <v>0</v>
      </c>
      <c r="N1006" s="10" t="b">
        <v>0</v>
      </c>
      <c r="O1006" s="11" t="b">
        <f t="shared" si="1"/>
        <v>0</v>
      </c>
      <c r="P1006" s="16" t="b">
        <v>0</v>
      </c>
      <c r="Q1006" s="7"/>
    </row>
    <row r="1007">
      <c r="A1007" s="5" t="b">
        <v>1</v>
      </c>
      <c r="B1007" s="5" t="s">
        <v>1053</v>
      </c>
      <c r="C1007" s="7"/>
      <c r="D1007" s="7" t="str">
        <f>IFERROR(__xludf.DUMMYFUNCTION("""COMPUTED_VALUE"""),"Washizaki H.; Kobayashi Y.; Watanabe H.")</f>
        <v>Washizaki H.; Kobayashi Y.; Watanabe H.</v>
      </c>
      <c r="E1007" s="7" t="str">
        <f>IFERROR(__xludf.DUMMYFUNCTION("""COMPUTED_VALUE"""),"Experiments on quality evaluation of embedded software in Japan robot software design contest")</f>
        <v>Experiments on quality evaluation of embedded software in Japan robot software design contest</v>
      </c>
      <c r="F1007" s="7" t="str">
        <f>IFERROR(__xludf.DUMMYFUNCTION("""COMPUTED_VALUE"""),"ICSE")</f>
        <v>ICSE</v>
      </c>
      <c r="G1007" s="7" t="str">
        <f>IFERROR(__xludf.DUMMYFUNCTION("""COMPUTED_VALUE"""),"As a practical opportunity for educating Japanese young developers in the field of embedded software development, a software design contest involving the design of software to automatically control a line-trace robot, and conduct running performance tests"&amp;" was held. In this paper, we give the results of the contest from the viewpoint of software quality evaluation. We create a framework for evaluating the software quality which integrated design model quality and the final system performance, and conduct a"&amp;"nalysis using the framework. As a result of analysis, it is found that the quantitative measurement of the structural complexity of the design models bears a strong relationship to qualitative evaluation of the design conducted by judges. It is also found"&amp;" that there is no strong correlation between design model quality evaluated by the judges and the final system performance. For embedded software development, it is particularly important to estimate and verify reliability and performance in the early sta"&amp;"ges, using the model. Based on the analysis result, we consider possible remedies with respect to the models submitted, the evaluation methods used and the contest specifications. In order to adequately measure several non-functional quality characteristi"&amp;"cs including performance on the model, it is necessary to improve the way of developing robot software (such as applying model driven development) and reexamine the evaluation methods. Copyright 2006 ACM.")</f>
        <v>As a practical opportunity for educating Japanese young developers in the field of embedded software development, a software design contest involving the design of software to automatically control a line-trace robot, and conduct running performance tests was held. In this paper, we give the results of the contest from the viewpoint of software quality evaluation. We create a framework for evaluating the software quality which integrated design model quality and the final system performance, and conduct analysis using the framework. As a result of analysis, it is found that the quantitative measurement of the structural complexity of the design models bears a strong relationship to qualitative evaluation of the design conducted by judges. It is also found that there is no strong correlation between design model quality evaluated by the judges and the final system performance. For embedded software development, it is particularly important to estimate and verify reliability and performance in the early stages, using the model. Based on the analysis result, we consider possible remedies with respect to the models submitted, the evaluation methods used and the contest specifications. In order to adequately measure several non-functional quality characteristics including performance on the model, it is necessary to improve the way of developing robot software (such as applying model driven development) and reexamine the evaluation methods. Copyright 2006 ACM.</v>
      </c>
      <c r="H1007" s="7" t="str">
        <f>IFERROR(__xludf.DUMMYFUNCTION("""COMPUTED_VALUE"""),"Embedded software development; Robot contest; Software design; Software model; Software quality")</f>
        <v>Embedded software development; Robot contest; Software design; Software model; Software quality</v>
      </c>
      <c r="I1007" s="10" t="b">
        <v>0</v>
      </c>
      <c r="J1007" s="10" t="b">
        <v>0</v>
      </c>
      <c r="K1007" s="10" t="b">
        <v>0</v>
      </c>
      <c r="L1007" s="10" t="b">
        <v>0</v>
      </c>
      <c r="M1007" s="10" t="b">
        <v>0</v>
      </c>
      <c r="N1007" s="10" t="b">
        <v>0</v>
      </c>
      <c r="O1007" s="11" t="b">
        <f t="shared" si="1"/>
        <v>0</v>
      </c>
      <c r="P1007" s="16" t="b">
        <v>0</v>
      </c>
      <c r="Q1007" s="7"/>
    </row>
    <row r="1008">
      <c r="A1008" s="5" t="b">
        <v>1</v>
      </c>
      <c r="B1008" s="5" t="s">
        <v>1054</v>
      </c>
      <c r="C1008" s="7" t="str">
        <f>IFERROR(__xludf.DUMMYFUNCTION("""COMPUTED_VALUE"""),"10.1145/1134285.1134388")</f>
        <v>10.1145/1134285.1134388</v>
      </c>
      <c r="D1008" s="7" t="str">
        <f>IFERROR(__xludf.DUMMYFUNCTION("""COMPUTED_VALUE"""),"Evans D.; Peck M.")</f>
        <v>Evans D.; Peck M.</v>
      </c>
      <c r="E1008" s="7" t="str">
        <f>IFERROR(__xludf.DUMMYFUNCTION("""COMPUTED_VALUE"""),"Inculcating invariants in introductory courses")</f>
        <v>Inculcating invariants in introductory courses</v>
      </c>
      <c r="F1008" s="7" t="str">
        <f>IFERROR(__xludf.DUMMYFUNCTION("""COMPUTED_VALUE"""),"ICSE")</f>
        <v>ICSE</v>
      </c>
      <c r="G1008" s="7" t="str">
        <f>IFERROR(__xludf.DUMMYFUNCTION("""COMPUTED_VALUE"""),"One goal of introductory software engineering courses is to motivate and instill good software engineering habits. Unfortunately, practical constraints on typical courses often lead to student experiences that are antithetical to that goal: instead of wor"&amp;"king in large teams and dealing with changing requirements and maintaining programs over many years, courses generally involve students working alone or in small teams with short projects that end the first time the program works correctly on some selecte"&amp;"d input. Small projects tend to reinforce poor software engineering practices. Since the programs are small enough to manage cognitively in ad hoc ways, effort spent more precisely documenting assumptions seems wasteful. It is infeasible to carry out full"&amp;" industrial software development within the context of a typical university course. However, it is possible to simulate some aspects of safety critical software engineering in an introductory software engineering course. This paper describes an approach t"&amp;"hat focuses on thinking about and precisely documenting invariants, and checking invariants using lightweight analysis tools. We describe how assignments were designed to emphasize the importance of invariants and to incorporate program analysis tools wit"&amp;"h typical software engineering material and report on results from an experiment measuring students understanding of program invariants. Copyright 2006 ACM.")</f>
        <v>One goal of introductory software engineering courses is to motivate and instill good software engineering habits. Unfortunately, practical constraints on typical courses often lead to student experiences that are antithetical to that goal: instead of working in large teams and dealing with changing requirements and maintaining programs over many years, courses generally involve students working alone or in small teams with short projects that end the first time the program works correctly on some selected input. Small projects tend to reinforce poor software engineering practices. Since the programs are small enough to manage cognitively in ad hoc ways, effort spent more precisely documenting assumptions seems wasteful. It is infeasible to carry out full industrial software development within the context of a typical university course. However, it is possible to simulate some aspects of safety critical software engineering in an introductory software engineering course. This paper describes an approach that focuses on thinking about and precisely documenting invariants, and checking invariants using lightweight analysis tools. We describe how assignments were designed to emphasize the importance of invariants and to incorporate program analysis tools with typical software engineering material and report on results from an experiment measuring students understanding of program invariants. Copyright 2006 ACM.</v>
      </c>
      <c r="H1008" s="7" t="str">
        <f>IFERROR(__xludf.DUMMYFUNCTION("""COMPUTED_VALUE"""),"Dependability; Dynamic inference; Introductory software engineering; Invariants; Security; Software engineering; Static analysis")</f>
        <v>Dependability; Dynamic inference; Introductory software engineering; Invariants; Security; Software engineering; Static analysis</v>
      </c>
      <c r="I1008" s="10" t="b">
        <v>0</v>
      </c>
      <c r="J1008" s="10" t="b">
        <v>0</v>
      </c>
      <c r="K1008" s="10" t="b">
        <v>0</v>
      </c>
      <c r="L1008" s="10" t="b">
        <v>0</v>
      </c>
      <c r="M1008" s="10" t="b">
        <v>0</v>
      </c>
      <c r="N1008" s="10" t="b">
        <v>0</v>
      </c>
      <c r="O1008" s="11" t="b">
        <f t="shared" si="1"/>
        <v>0</v>
      </c>
      <c r="P1008" s="16" t="b">
        <v>0</v>
      </c>
      <c r="Q1008" s="7"/>
    </row>
    <row r="1009">
      <c r="A1009" s="5" t="b">
        <v>1</v>
      </c>
      <c r="B1009" s="5" t="s">
        <v>1055</v>
      </c>
      <c r="C1009" s="7"/>
      <c r="D1009" s="7" t="str">
        <f>IFERROR(__xludf.DUMMYFUNCTION("""COMPUTED_VALUE"""),"Goullon H.; Isle R.; Löhr K.-P.")</f>
        <v>Goullon H.; Isle R.; Löhr K.-P.</v>
      </c>
      <c r="E1009" s="7" t="str">
        <f>IFERROR(__xludf.DUMMYFUNCTION("""COMPUTED_VALUE"""),"Dynamic restructuring in an experimental operating system")</f>
        <v>Dynamic restructuring in an experimental operating system</v>
      </c>
      <c r="F1009" s="7" t="str">
        <f>IFERROR(__xludf.DUMMYFUNCTION("""COMPUTED_VALUE"""),"ICSE")</f>
        <v>ICSE</v>
      </c>
      <c r="G1009" s="7" t="str">
        <f>IFERROR(__xludf.DUMMYFUNCTION("""COMPUTED_VALUE"""),"A well structured system can easily be understood and modified. Moreover, it may lend itself even to dynamic modification: under special conditions, the possibility of changing system parts while the system is running can be provided at little additional "&amp;"cost. Our approach to the design of dynamically modifiable systems is based on the principle of data abstraction applied to types and modules. It allows for dynamic replacement or restructuring of a module's implementation if this does not affect its spec"&amp;"ification (or if it leads to some kind of compatible specification). The fundamental principles of such ""replugging"" are exhibited, and the implementation of a replugging facility for an experimental operating system on a PDP-11/4OE is described. © 1978"&amp;" IEEE Computer Society. All rights reserved.")</f>
        <v>A well structured system can easily be understood and modified. Moreover, it may lend itself even to dynamic modification: under special conditions, the possibility of changing system parts while the system is running can be provided at little additional cost. Our approach to the design of dynamically modifiable systems is based on the principle of data abstraction applied to types and modules. It allows for dynamic replacement or restructuring of a module's implementation if this does not affect its specification (or if it leads to some kind of compatible specification). The fundamental principles of such "replugging" are exhibited, and the implementation of a replugging facility for an experimental operating system on a PDP-11/4OE is described. © 1978 IEEE Computer Society. All rights reserved.</v>
      </c>
      <c r="H1009" s="7"/>
      <c r="I1009" s="10" t="b">
        <v>0</v>
      </c>
      <c r="J1009" s="10" t="b">
        <v>0</v>
      </c>
      <c r="K1009" s="10" t="b">
        <v>0</v>
      </c>
      <c r="L1009" s="10" t="b">
        <v>0</v>
      </c>
      <c r="M1009" s="10" t="b">
        <v>0</v>
      </c>
      <c r="N1009" s="10" t="b">
        <v>0</v>
      </c>
      <c r="O1009" s="11" t="b">
        <f t="shared" si="1"/>
        <v>0</v>
      </c>
      <c r="P1009" s="16" t="b">
        <v>0</v>
      </c>
      <c r="Q1009" s="7"/>
    </row>
    <row r="1010">
      <c r="A1010" s="5" t="b">
        <v>1</v>
      </c>
      <c r="B1010" s="5" t="s">
        <v>1056</v>
      </c>
      <c r="C1010" s="7" t="str">
        <f>IFERROR(__xludf.DUMMYFUNCTION("""COMPUTED_VALUE"""),"10.1109/ICSE.2001.919107")</f>
        <v>10.1109/ICSE.2001.919107</v>
      </c>
      <c r="D1010" s="7" t="str">
        <f>IFERROR(__xludf.DUMMYFUNCTION("""COMPUTED_VALUE"""),"Dickinson W.; Leon D.; Podgurski A.")</f>
        <v>Dickinson W.; Leon D.; Podgurski A.</v>
      </c>
      <c r="E1010" s="7" t="str">
        <f>IFERROR(__xludf.DUMMYFUNCTION("""COMPUTED_VALUE"""),"Finding failures by cluster analysis of execution profiles")</f>
        <v>Finding failures by cluster analysis of execution profiles</v>
      </c>
      <c r="F1010" s="7" t="str">
        <f>IFERROR(__xludf.DUMMYFUNCTION("""COMPUTED_VALUE"""),"ICSE")</f>
        <v>ICSE</v>
      </c>
      <c r="G1010" s="7" t="str">
        <f>IFERROR(__xludf.DUMMYFUNCTION("""COMPUTED_VALUE"""),"We experimentally evaluate the egectiveness of using cluster analpis of execution profiles to find failures among the executions induced by a set of potential test cases. We compare several filtering procedures for selecting executions to evaluate for con"&amp;"formance to requirements. Each filtering procedure involves a choice of a sampling strategy and a clustering metric. The results suggest that Jltering procedures based on clustering are more efective than simple random sampling for identibing failures in "&amp;"populations of operational executions, with adaptive sampling from clusters being the most effective sampling strategy. The results also suggest that clustering metrics that give extra weight to unusual profile features are most eflective. Scatter plots o"&amp;"f execution populations, produced by multidimensional scaling, are used to provide intuition for these results. © 2001 IEEE.")</f>
        <v>We experimentally evaluate the egectiveness of using cluster analpis of execution profiles to find failures among the executions induced by a set of potential test cases. We compare several filtering procedures for selecting executions to evaluate for conformance to requirements. Each filtering procedure involves a choice of a sampling strategy and a clustering metric. The results suggest that Jltering procedures based on clustering are more efective than simple random sampling for identibing failures in populations of operational executions, with adaptive sampling from clusters being the most effective sampling strategy. The results also suggest that clustering metrics that give extra weight to unusual profile features are most eflective. Scatter plots of execution populations, produced by multidimensional scaling, are used to provide intuition for these results. © 2001 IEEE.</v>
      </c>
      <c r="H1010" s="7" t="str">
        <f>IFERROR(__xludf.DUMMYFUNCTION("""COMPUTED_VALUE"""),"Beta testing; Cluster analysis; Multidimensional scaling; Observation-based testing; Operational testing; Sofiware testing")</f>
        <v>Beta testing; Cluster analysis; Multidimensional scaling; Observation-based testing; Operational testing; Sofiware testing</v>
      </c>
      <c r="I1010" s="10" t="b">
        <v>0</v>
      </c>
      <c r="J1010" s="10" t="b">
        <v>0</v>
      </c>
      <c r="K1010" s="10" t="b">
        <v>0</v>
      </c>
      <c r="L1010" s="10" t="b">
        <v>0</v>
      </c>
      <c r="M1010" s="10" t="b">
        <v>0</v>
      </c>
      <c r="N1010" s="10" t="b">
        <v>0</v>
      </c>
      <c r="O1010" s="11" t="b">
        <f t="shared" si="1"/>
        <v>0</v>
      </c>
      <c r="P1010" s="16" t="b">
        <v>0</v>
      </c>
      <c r="Q1010" s="7"/>
    </row>
    <row r="1011">
      <c r="A1011" s="5" t="b">
        <v>1</v>
      </c>
      <c r="B1011" s="5" t="s">
        <v>1057</v>
      </c>
      <c r="C1011" s="7"/>
      <c r="D1011" s="7" t="str">
        <f>IFERROR(__xludf.DUMMYFUNCTION("""COMPUTED_VALUE"""),"Duesterwald Evelyn; Gupta Rajiv; Soffa Mary Lou")</f>
        <v>Duesterwald Evelyn; Gupta Rajiv; Soffa Mary Lou</v>
      </c>
      <c r="E1011" s="7" t="str">
        <f>IFERROR(__xludf.DUMMYFUNCTION("""COMPUTED_VALUE"""),"Demand-driven analyzer for data flow testing at the integration level")</f>
        <v>Demand-driven analyzer for data flow testing at the integration level</v>
      </c>
      <c r="F1011" s="7" t="str">
        <f>IFERROR(__xludf.DUMMYFUNCTION("""COMPUTED_VALUE"""),"ICSE")</f>
        <v>ICSE</v>
      </c>
      <c r="G1011" s="7" t="str">
        <f>IFERROR(__xludf.DUMMYFUNCTION("""COMPUTED_VALUE"""),"Data flow testing relies on static analysis for computing the def-use pairs that serve as the test case requirements for a program. When testing large programs, the individual procedures are first tested in isolation during unit testing. Integration testi"&amp;"ng is performed to specifically test the procedure interfaces. The procedures in a program are integrated and tested in several steps. Since each integration step requires data flow analysis to determine the new test requirements, the accumulated cost of "&amp;"repeatedly analyzing a program can considerably contribute to the overhead of testing. Data flow analysis is typically computed using an exhaustive approach or by using incremental data flow updates. This paper presents a new and more efficient approach t"&amp;"o data flow integration testing that is based on demand-driven analysis. We developed and implemented a demand-driven analyzer and experimentally compared its performance during integration testing with the performance of (i) a traditional exhaustive anal"&amp;"yzer and (ii) an incremental analyzer. Our experiments show that demand-driven analysis is faster than exhaustive analysis by up to a factor of 25. The demand-driven analyzer also outperforms the incremental analyzer in 80% of the test programs by up to a"&amp;" factor of 5.")</f>
        <v>Data flow testing relies on static analysis for computing the def-use pairs that serve as the test case requirements for a program. When testing large programs, the individual procedures are first tested in isolation during unit testing. Integration testing is performed to specifically test the procedure interfaces. The procedures in a program are integrated and tested in several steps. Since each integration step requires data flow analysis to determine the new test requirements, the accumulated cost of repeatedly analyzing a program can considerably contribute to the overhead of testing. Data flow analysis is typically computed using an exhaustive approach or by using incremental data flow updates. This paper presents a new and more efficient approach to data flow integration testing that is based on demand-driven analysis. We developed and implemented a demand-driven analyzer and experimentally compared its performance during integration testing with the performance of (i) a traditional exhaustive analyzer and (ii) an incremental analyzer. Our experiments show that demand-driven analysis is faster than exhaustive analysis by up to a factor of 25. The demand-driven analyzer also outperforms the incremental analyzer in 80% of the test programs by up to a factor of 5.</v>
      </c>
      <c r="H1011" s="7"/>
      <c r="I1011" s="10" t="b">
        <v>0</v>
      </c>
      <c r="J1011" s="10" t="b">
        <v>0</v>
      </c>
      <c r="K1011" s="10" t="b">
        <v>0</v>
      </c>
      <c r="L1011" s="10" t="b">
        <v>0</v>
      </c>
      <c r="M1011" s="10" t="b">
        <v>0</v>
      </c>
      <c r="N1011" s="10" t="b">
        <v>0</v>
      </c>
      <c r="O1011" s="11" t="b">
        <f t="shared" si="1"/>
        <v>0</v>
      </c>
      <c r="P1011" s="16" t="b">
        <v>0</v>
      </c>
      <c r="Q1011" s="7"/>
    </row>
    <row r="1012">
      <c r="A1012" s="5" t="b">
        <v>1</v>
      </c>
      <c r="B1012" s="5" t="s">
        <v>1058</v>
      </c>
      <c r="C1012" s="7" t="str">
        <f>IFERROR(__xludf.DUMMYFUNCTION("""COMPUTED_VALUE"""),"10.1145/1370082.1370094")</f>
        <v>10.1145/1370082.1370094</v>
      </c>
      <c r="D1012" s="7" t="str">
        <f>IFERROR(__xludf.DUMMYFUNCTION("""COMPUTED_VALUE"""),"Yang L.; Tang J.; Zhao J.; Li X.")</f>
        <v>Yang L.; Tang J.; Zhao J.; Li X.</v>
      </c>
      <c r="E1012" s="7" t="str">
        <f>IFERROR(__xludf.DUMMYFUNCTION("""COMPUTED_VALUE"""),"A case study for Monitoring-Oriented Programming in multi-core architecture")</f>
        <v>A case study for Monitoring-Oriented Programming in multi-core architecture</v>
      </c>
      <c r="F1012" s="7" t="str">
        <f>IFERROR(__xludf.DUMMYFUNCTION("""COMPUTED_VALUE"""),"ICSE")</f>
        <v>ICSE</v>
      </c>
      <c r="G1012" s="7" t="str">
        <f>IFERROR(__xludf.DUMMYFUNCTION("""COMPUTED_VALUE"""),"Along with the development of the multi-core architecture, high performance computing platform is produced to satisfy users' requirement for solving large and complex problems. Multi-core architecture has become a new trend in the verification field to im"&amp;"prove the performance. With the explosion of software size, Monitoring-Oriented Programming (MOP) is considered as a design trend to increase reliability of the software systems. In this paper, we have done the experiment for a case study which is a preli"&amp;"minary exploration for integrating MOP with multi-core architecture. Our work shows that multi-core architecture can improve the efficiency of MOP. It will be the groundwork of our discussion about ""how to design a good monitor?"" in the future work. Cop"&amp;"yright 2008 ACM.")</f>
        <v>Along with the development of the multi-core architecture, high performance computing platform is produced to satisfy users' requirement for solving large and complex problems. Multi-core architecture has become a new trend in the verification field to improve the performance. With the explosion of software size, Monitoring-Oriented Programming (MOP) is considered as a design trend to increase reliability of the software systems. In this paper, we have done the experiment for a case study which is a preliminary exploration for integrating MOP with multi-core architecture. Our work shows that multi-core architecture can improve the efficiency of MOP. It will be the groundwork of our discussion about "how to design a good monitor?" in the future work. Copyright 2008 ACM.</v>
      </c>
      <c r="H1012" s="7" t="str">
        <f>IFERROR(__xludf.DUMMYFUNCTION("""COMPUTED_VALUE"""),"Aspect-oriented programming; Monitoring-oriented programming; Multi-core; Runtime verification")</f>
        <v>Aspect-oriented programming; Monitoring-oriented programming; Multi-core; Runtime verification</v>
      </c>
      <c r="I1012" s="10" t="b">
        <v>0</v>
      </c>
      <c r="J1012" s="10" t="b">
        <v>0</v>
      </c>
      <c r="K1012" s="10" t="b">
        <v>0</v>
      </c>
      <c r="L1012" s="10" t="b">
        <v>0</v>
      </c>
      <c r="M1012" s="10" t="b">
        <v>0</v>
      </c>
      <c r="N1012" s="10" t="b">
        <v>0</v>
      </c>
      <c r="O1012" s="11" t="b">
        <f t="shared" si="1"/>
        <v>0</v>
      </c>
      <c r="P1012" s="16" t="b">
        <v>0</v>
      </c>
      <c r="Q1012" s="7"/>
    </row>
    <row r="1013">
      <c r="A1013" s="5" t="b">
        <v>1</v>
      </c>
      <c r="B1013" s="5" t="s">
        <v>1059</v>
      </c>
      <c r="C1013" s="7" t="str">
        <f>IFERROR(__xludf.DUMMYFUNCTION("""COMPUTED_VALUE"""),"10.1109/ICSE.2001.919089")</f>
        <v>10.1109/ICSE.2001.919089</v>
      </c>
      <c r="D1013" s="7" t="str">
        <f>IFERROR(__xludf.DUMMYFUNCTION("""COMPUTED_VALUE"""),"Biffl S.; Grossmann W.")</f>
        <v>Biffl S.; Grossmann W.</v>
      </c>
      <c r="E1013" s="7" t="str">
        <f>IFERROR(__xludf.DUMMYFUNCTION("""COMPUTED_VALUE"""),"Evaluating the accuracy of defect estimation models based on inspection data from two inspection cycles")</f>
        <v>Evaluating the accuracy of defect estimation models based on inspection data from two inspection cycles</v>
      </c>
      <c r="F1013" s="7" t="str">
        <f>IFERROR(__xludf.DUMMYFUNCTION("""COMPUTED_VALUE"""),"ICSE")</f>
        <v>ICSE</v>
      </c>
      <c r="G1013" s="7" t="str">
        <f>IFERROR(__xludf.DUMMYFUNCTION("""COMPUTED_VALUE"""),"Defect content estimation techniques (DCETs), based on defect data from inspection, estimate the total number of defects in a document to evaluate the development process. For inspections that yieldfew data points DCETs reportedly underestimate the number"&amp;" of defects. r f there is a second inspection cycle, the additional defect data is expected to increase estimation accuracy. In this paper we consider 3 scenarios to, combine data sets from the inspection-reinspection process. We evaluate these approaches"&amp;" with data from an experiment in a university environment where 31 teams inspected and reinspected a software requirementsdocument. Main findings of the experiment were that reinspection data improved estimation accuracy. With the best combination approac"&amp;"h all examined estimators yielded on average estimates within 20% around the true value, all estimates stayed within 40% around the true value. © 2001 IEEE.")</f>
        <v>Defect content estimation techniques (DCETs), based on defect data from inspection, estimate the total number of defects in a document to evaluate the development process. For inspections that yieldfew data points DCETs reportedly underestimate the number of defects. r f there is a second inspection cycle, the additional defect data is expected to increase estimation accuracy. In this paper we consider 3 scenarios to, combine data sets from the inspection-reinspection process. We evaluate these approaches with data from an experiment in a university environment where 31 teams inspected and reinspected a software requirementsdocument. Main findings of the experiment were that reinspection data improved estimation accuracy. With the best combination approach all examined estimators yielded on average estimates within 20% around the true value, all estimates stayed within 40% around the true value. © 2001 IEEE.</v>
      </c>
      <c r="H1013" s="7"/>
      <c r="I1013" s="9" t="b">
        <v>1</v>
      </c>
      <c r="J1013" s="9" t="b">
        <v>1</v>
      </c>
      <c r="K1013" s="10" t="b">
        <v>0</v>
      </c>
      <c r="L1013" s="10" t="b">
        <v>0</v>
      </c>
      <c r="M1013" s="10" t="b">
        <v>0</v>
      </c>
      <c r="N1013" s="10" t="b">
        <v>0</v>
      </c>
      <c r="O1013" s="11" t="b">
        <f t="shared" si="1"/>
        <v>0</v>
      </c>
      <c r="P1013" s="16" t="b">
        <v>0</v>
      </c>
      <c r="Q1013" s="7"/>
    </row>
    <row r="1014">
      <c r="A1014" s="5" t="b">
        <v>1</v>
      </c>
      <c r="B1014" s="5" t="s">
        <v>1060</v>
      </c>
      <c r="C1014" s="7" t="str">
        <f>IFERROR(__xludf.DUMMYFUNCTION("""COMPUTED_VALUE"""),"10.1109/RE48521.2020.00048")</f>
        <v>10.1109/RE48521.2020.00048</v>
      </c>
      <c r="D1014" s="7" t="str">
        <f>IFERROR(__xludf.DUMMYFUNCTION("""COMPUTED_VALUE"""),"Pham Y.D.; Bouraffa A.; Maalej W.")</f>
        <v>Pham Y.D.; Bouraffa A.; Maalej W.</v>
      </c>
      <c r="E1014" s="7" t="str">
        <f>IFERROR(__xludf.DUMMYFUNCTION("""COMPUTED_VALUE"""),"ShapeRE: Towards a Multi-Dimensional Representation for Requirements of Sustainable Software")</f>
        <v>ShapeRE: Towards a Multi-Dimensional Representation for Requirements of Sustainable Software</v>
      </c>
      <c r="F1014" s="7" t="str">
        <f>IFERROR(__xludf.DUMMYFUNCTION("""COMPUTED_VALUE"""),"RE")</f>
        <v>RE</v>
      </c>
      <c r="G1014" s="7" t="str">
        <f>IFERROR(__xludf.DUMMYFUNCTION("""COMPUTED_VALUE"""),"In this paper we introduce the preliminary design of a new framework named ShapeRE, which will address two problems potentially impeding the development of sustainable software. The first problem is the common differentiation between 'functional' and 'non"&amp;"-functional' requirements, which hides relevant sustainability requirements and hampers their identification. The second problem is the lack of developer-oriented representation approaches to ensure that all requirements relevant to sustainable software w"&amp;"ill be finally implemented. To address these two issues ShapeRE provides an alternative multi-dimensional approach for identifying requirements and a developer-oriented representation guideline. We suggest nine dimensions which are social, economic, envir"&amp;"onmental, technical, individual, purpose, design-Aesthetics, integrative and legal. The design of our frame-work relies on insights from the fields of linguistics and empirical aesthetics, requirements engineering, and building architecture. We introduce "&amp;"the framework and discuss our evaluation strategy consisting of an online-experiment, a case study, and a survey. © 2020 IEEE.")</f>
        <v>In this paper we introduce the preliminary design of a new framework named ShapeRE, which will address two problems potentially impeding the development of sustainable software. The first problem is the common differentiation between 'functional' and 'non-functional' requirements, which hides relevant sustainability requirements and hampers their identification. The second problem is the lack of developer-oriented representation approaches to ensure that all requirements relevant to sustainable software will be finally implemented. To address these two issues ShapeRE provides an alternative multi-dimensional approach for identifying requirements and a developer-oriented representation guideline. We suggest nine dimensions which are social, economic, environmental, technical, individual, purpose, design-Aesthetics, integrative and legal. The design of our frame-work relies on insights from the fields of linguistics and empirical aesthetics, requirements engineering, and building architecture. We introduce the framework and discuss our evaluation strategy consisting of an online-experiment, a case study, and a survey. © 2020 IEEE.</v>
      </c>
      <c r="H1014" s="7" t="str">
        <f>IFERROR(__xludf.DUMMYFUNCTION("""COMPUTED_VALUE"""),"Non-functional requirement; Requirements identification; Requirements representation; Sustainability")</f>
        <v>Non-functional requirement; Requirements identification; Requirements representation; Sustainability</v>
      </c>
      <c r="I1014" s="10" t="b">
        <v>0</v>
      </c>
      <c r="J1014" s="10" t="b">
        <v>0</v>
      </c>
      <c r="K1014" s="10" t="b">
        <v>0</v>
      </c>
      <c r="L1014" s="10" t="b">
        <v>0</v>
      </c>
      <c r="M1014" s="10" t="b">
        <v>0</v>
      </c>
      <c r="N1014" s="10" t="b">
        <v>0</v>
      </c>
      <c r="O1014" s="11" t="b">
        <f t="shared" si="1"/>
        <v>0</v>
      </c>
      <c r="P1014" s="16" t="b">
        <v>0</v>
      </c>
      <c r="Q1014" s="7"/>
    </row>
    <row r="1015">
      <c r="A1015" s="5" t="b">
        <v>1</v>
      </c>
      <c r="B1015" s="5" t="s">
        <v>1061</v>
      </c>
      <c r="C1015" s="7" t="str">
        <f>IFERROR(__xludf.DUMMYFUNCTION("""COMPUTED_VALUE"""),"10.1109/RE.2012.6345808")</f>
        <v>10.1109/RE.2012.6345808</v>
      </c>
      <c r="D1015" s="7" t="str">
        <f>IFERROR(__xludf.DUMMYFUNCTION("""COMPUTED_VALUE"""),"Liaskos S.; Jalman R.; Aranda J.")</f>
        <v>Liaskos S.; Jalman R.; Aranda J.</v>
      </c>
      <c r="E1015" s="7" t="str">
        <f>IFERROR(__xludf.DUMMYFUNCTION("""COMPUTED_VALUE"""),"On eliciting contribution measures in goal models")</f>
        <v>On eliciting contribution measures in goal models</v>
      </c>
      <c r="F1015" s="7" t="str">
        <f>IFERROR(__xludf.DUMMYFUNCTION("""COMPUTED_VALUE"""),"RE")</f>
        <v>RE</v>
      </c>
      <c r="G1015" s="7" t="str">
        <f>IFERROR(__xludf.DUMMYFUNCTION("""COMPUTED_VALUE"""),"Goal models have been found to be useful for supporting the decision making process in the early requirements phase. Through measuring contribution degrees of low-level decisions to the fulfilment of high-level quality goals and combining them with priori"&amp;"ty statements, it is possible to compare alternative solutions of the requirements problem against each other. But where do contribution measures come from and what is the right way to combine them in order to do such analysis? In this paper we describe h"&amp;"ow full application of the Analytic Hierarchy Process (AHP) can be used to quantitatively assess contribution relationships in goal models based on stakeholder input and how we can reason about the result in order to make informed decisions. An explorator"&amp;"y experiment shows that the proposed procedure is feasible and offers evidence that the resulting goal model is useful for guiding a decision. It also shows that situation-specific characteristics of the requirements problem at hand may influence stakehol"&amp;"der input in a variety of ways, a phenomenon that may need to be studied further in the context of eliciting such models. © 2012 IEEE.")</f>
        <v>Goal models have been found to be useful for supporting the decision making process in the early requirements phase. Through measuring contribution degrees of low-level decisions to the fulfilment of high-level quality goals and combining them with priority statements, it is possible to compare alternative solutions of the requirements problem against each other. But where do contribution measures come from and what is the right way to combine them in order to do such analysis? In this paper we describe how full application of the Analytic Hierarchy Process (AHP) can be used to quantitatively assess contribution relationships in goal models based on stakeholder input and how we can reason about the result in order to make informed decisions. An exploratory experiment shows that the proposed procedure is feasible and offers evidence that the resulting goal model is useful for guiding a decision. It also shows that situation-specific characteristics of the requirements problem at hand may influence stakeholder input in a variety of ways, a phenomenon that may need to be studied further in the context of eliciting such models. © 2012 IEEE.</v>
      </c>
      <c r="H1015" s="7" t="str">
        <f>IFERROR(__xludf.DUMMYFUNCTION("""COMPUTED_VALUE"""),"analytic hierarchy process; goal modelling; prioritization; requirements engineering")</f>
        <v>analytic hierarchy process; goal modelling; prioritization; requirements engineering</v>
      </c>
      <c r="I1015" s="10" t="b">
        <v>0</v>
      </c>
      <c r="J1015" s="10" t="b">
        <v>0</v>
      </c>
      <c r="K1015" s="10" t="b">
        <v>0</v>
      </c>
      <c r="L1015" s="10" t="b">
        <v>0</v>
      </c>
      <c r="M1015" s="10" t="b">
        <v>0</v>
      </c>
      <c r="N1015" s="10" t="b">
        <v>0</v>
      </c>
      <c r="O1015" s="11" t="b">
        <f t="shared" si="1"/>
        <v>0</v>
      </c>
      <c r="P1015" s="16" t="b">
        <v>0</v>
      </c>
      <c r="Q1015" s="7"/>
    </row>
    <row r="1016">
      <c r="A1016" s="5" t="b">
        <v>1</v>
      </c>
      <c r="B1016" s="5" t="s">
        <v>1062</v>
      </c>
      <c r="C1016" s="7" t="str">
        <f>IFERROR(__xludf.DUMMYFUNCTION("""COMPUTED_VALUE"""),"10.1109/RE.2017.19")</f>
        <v>10.1109/RE.2017.19</v>
      </c>
      <c r="D1016" s="7" t="str">
        <f>IFERROR(__xludf.DUMMYFUNCTION("""COMPUTED_VALUE"""),"Grubb A.M.; Chechik M.")</f>
        <v>Grubb A.M.; Chechik M.</v>
      </c>
      <c r="E1016" s="7" t="str">
        <f>IFERROR(__xludf.DUMMYFUNCTION("""COMPUTED_VALUE"""),"Modeling and Reasoning with Changing Intentions: An Experiment")</f>
        <v>Modeling and Reasoning with Changing Intentions: An Experiment</v>
      </c>
      <c r="F1016" s="7" t="str">
        <f>IFERROR(__xludf.DUMMYFUNCTION("""COMPUTED_VALUE"""),"RE")</f>
        <v>RE</v>
      </c>
      <c r="G1016" s="7" t="str">
        <f>IFERROR(__xludf.DUMMYFUNCTION("""COMPUTED_VALUE"""),"Existing modeling approaches in requirements engineering assume that stakeholder goals are static: Once set, they remain the same throughout the lifecycle of the project. Of course, such goals, like anything else, may change over time. In earlier work, we"&amp;" introduced Evolving Intentions: An approach that allows stakeholders to specify how evaluations of goal model elements change over time. Simulation over Evolving Intentions enables stakeholders to ask a variety of 'what if' questions, and evaluate possib"&amp;"le evolutions of a goal model. GrowingLeaf is a web-based tool that implements both the modeling and analysis components of this approach. In this paper, we investigate the effectiveness and usability of Evolving Intentions, Simulation over Evolving Inten"&amp;"tions, and GrowingLeaf. We report on a between-subjects experiment we conducted with fifteen graduate students familiar with requirements engineering. Using qualitative, quantitative, and timing data, we show that Evolving Intentions were intuitive, that "&amp;"Simulation over Evolving Intentions increased the subjects' understanding and produced meaningful results, and that GrowingLeaf was found to be effective and usable. © 2017 IEEE.")</f>
        <v>Existing modeling approaches in requirements engineering assume that stakeholder goals are static: Once set, they remain the same throughout the lifecycle of the project. Of course, such goals, like anything else, may change over time. In earlier work, we introduced Evolving Intentions: An approach that allows stakeholders to specify how evaluations of goal model elements change over time. Simulation over Evolving Intentions enables stakeholders to ask a variety of 'what if' questions, and evaluate possible evolutions of a goal model. GrowingLeaf is a web-based tool that implements both the modeling and analysis components of this approach. In this paper, we investigate the effectiveness and usability of Evolving Intentions, Simulation over Evolving Intentions, and GrowingLeaf. We report on a between-subjects experiment we conducted with fifteen graduate students familiar with requirements engineering. Using qualitative, quantitative, and timing data, we show that Evolving Intentions were intuitive, that Simulation over Evolving Intentions increased the subjects' understanding and produced meaningful results, and that GrowingLeaf was found to be effective and usable. © 2017 IEEE.</v>
      </c>
      <c r="H1016" s="7"/>
      <c r="I1016" s="9" t="b">
        <v>1</v>
      </c>
      <c r="J1016" s="9" t="b">
        <v>1</v>
      </c>
      <c r="K1016" s="10" t="b">
        <v>0</v>
      </c>
      <c r="L1016" s="10" t="b">
        <v>0</v>
      </c>
      <c r="M1016" s="10" t="b">
        <v>0</v>
      </c>
      <c r="N1016" s="10" t="b">
        <v>0</v>
      </c>
      <c r="O1016" s="11" t="b">
        <f t="shared" si="1"/>
        <v>0</v>
      </c>
      <c r="P1016" s="16" t="b">
        <v>0</v>
      </c>
      <c r="Q1016" s="7"/>
    </row>
    <row r="1017">
      <c r="A1017" s="5" t="b">
        <v>1</v>
      </c>
      <c r="B1017" s="5" t="s">
        <v>1063</v>
      </c>
      <c r="C1017" s="7" t="str">
        <f>IFERROR(__xludf.DUMMYFUNCTION("""COMPUTED_VALUE"""),"10.1109/RE.2017.15")</f>
        <v>10.1109/RE.2017.15</v>
      </c>
      <c r="D1017" s="7" t="str">
        <f>IFERROR(__xludf.DUMMYFUNCTION("""COMPUTED_VALUE"""),"Ferrari A.; Spoletini P.; Donati B.; Zowghi D.; Gnesi S.")</f>
        <v>Ferrari A.; Spoletini P.; Donati B.; Zowghi D.; Gnesi S.</v>
      </c>
      <c r="E1017" s="7" t="str">
        <f>IFERROR(__xludf.DUMMYFUNCTION("""COMPUTED_VALUE"""),"Interview Review: Detecting Latent Ambiguities to Improve the Requirements Elicitation Process")</f>
        <v>Interview Review: Detecting Latent Ambiguities to Improve the Requirements Elicitation Process</v>
      </c>
      <c r="F1017" s="7" t="str">
        <f>IFERROR(__xludf.DUMMYFUNCTION("""COMPUTED_VALUE"""),"RE")</f>
        <v>RE</v>
      </c>
      <c r="G1017" s="7" t="str">
        <f>IFERROR(__xludf.DUMMYFUNCTION("""COMPUTED_VALUE"""),"In requirements elicitation interviews, ambiguities identified by analysts can help to disclose the tacit knowledge of customers. Indeed, ambiguities might reveal implicit or hard to express information that needs to be elicited. The perception of ambigui"&amp;"ty might depend on the subject who is acting as analyst, and different analysts might identify different ambiguities in the same interview. Based on this intuition, we propose to investigate the difference between ambiguities explicitly revealed by an ana"&amp;"lyst during a requirements elicitation interview, and ambiguities annotated by a reviewer who listens to the interview recording, with the objective of defining a method for interview review. We performed an exploratory study in which two subjects listene"&amp;"d to a set of customer-analyst interviews. Only in 26% of the cases the ambiguities revealed by the analysts matched with the ambiguities found by the reviewers. In 46% of the cases, ambiguities were found by the reviewers, and were not detected by the an"&amp;"alysts. Based on these preliminary findings, we are currently performing a controlled experiment with students of two universities, which will be followed by a real-world case study with companies. This paper discusses the current results, together with o"&amp;"ur research plan. © 2017 IEEE.")</f>
        <v>In requirements elicitation interviews, ambiguities identified by analysts can help to disclose the tacit knowledge of customers. Indeed, ambiguities might reveal implicit or hard to express information that needs to be elicited. The perception of ambiguity might depend on the subject who is acting as analyst, and different analysts might identify different ambiguities in the same interview. Based on this intuition, we propose to investigate the difference between ambiguities explicitly revealed by an analyst during a requirements elicitation interview, and ambiguities annotated by a reviewer who listens to the interview recording, with the objective of defining a method for interview review. We performed an exploratory study in which two subjects listened to a set of customer-analyst interviews. Only in 26% of the cases the ambiguities revealed by the analysts matched with the ambiguities found by the reviewers. In 46% of the cases, ambiguities were found by the reviewers, and were not detected by the analysts. Based on these preliminary findings, we are currently performing a controlled experiment with students of two universities, which will be followed by a real-world case study with companies. This paper discusses the current results, together with our research plan. © 2017 IEEE.</v>
      </c>
      <c r="H1017" s="7" t="str">
        <f>IFERROR(__xludf.DUMMYFUNCTION("""COMPUTED_VALUE"""),"Ambiguity; Ambiguity in Spoken Language; Empirical Study; Interviews; Requirements Elicitation; Requirements Engineering; Software Engineering")</f>
        <v>Ambiguity; Ambiguity in Spoken Language; Empirical Study; Interviews; Requirements Elicitation; Requirements Engineering; Software Engineering</v>
      </c>
      <c r="I1017" s="10" t="b">
        <v>0</v>
      </c>
      <c r="J1017" s="10" t="b">
        <v>0</v>
      </c>
      <c r="K1017" s="10" t="b">
        <v>0</v>
      </c>
      <c r="L1017" s="10" t="b">
        <v>0</v>
      </c>
      <c r="M1017" s="10" t="b">
        <v>0</v>
      </c>
      <c r="N1017" s="10" t="b">
        <v>0</v>
      </c>
      <c r="O1017" s="11" t="b">
        <f t="shared" si="1"/>
        <v>0</v>
      </c>
      <c r="P1017" s="16" t="b">
        <v>0</v>
      </c>
      <c r="Q1017" s="7"/>
    </row>
    <row r="1018">
      <c r="A1018" s="5" t="b">
        <v>1</v>
      </c>
      <c r="B1018" s="5" t="s">
        <v>1064</v>
      </c>
      <c r="C1018" s="7" t="str">
        <f>IFERROR(__xludf.DUMMYFUNCTION("""COMPUTED_VALUE"""),"10.1109/RE.2016.28")</f>
        <v>10.1109/RE.2016.28</v>
      </c>
      <c r="D1018" s="7" t="str">
        <f>IFERROR(__xludf.DUMMYFUNCTION("""COMPUTED_VALUE"""),"Gralha C.")</f>
        <v>Gralha C.</v>
      </c>
      <c r="E1018" s="7" t="str">
        <f>IFERROR(__xludf.DUMMYFUNCTION("""COMPUTED_VALUE"""),"Evaluation of Requirements Models")</f>
        <v>Evaluation of Requirements Models</v>
      </c>
      <c r="F1018" s="7" t="str">
        <f>IFERROR(__xludf.DUMMYFUNCTION("""COMPUTED_VALUE"""),"RE")</f>
        <v>RE</v>
      </c>
      <c r="G1018" s="7" t="str">
        <f>IFERROR(__xludf.DUMMYFUNCTION("""COMPUTED_VALUE"""),"Requirements Engineering (RE) approaches, following paradigms such as goal-oriented [1] or scenario-based [2], provide expressive model elements for requirements elicitation and analysis. However, these approaches are still struggling when it comes to man"&amp;"aging the quality of their models. Problems in quality can cause difficulties in anaging and understanding requirements, which in turn leads to increased development costs. The models' quality should then be a permanent concern. We propose a quantitative "&amp;"assessment of the goal-oriented and scenario-based models' quality, namely its complexity, completeness, appropriateness recognizability, understandability and learnability. To this end, we propose a combination of techniques to be applied to the RE model"&amp;"s, the modelling process, and the models' notation. We are going to define metrics about the models, through the Goal-Question-Metric (GQM) approach, and incorporate them in a common evaluation framework that helps in the requirements modelling process. T"&amp;"he quality of the RE models, the modelling process and the model's notation will be measured by collecting biometric data from stakeholders, by using eye-tracking devices, electroencephalography (EEG) scanners, and electro-dermal activity (EDA) scanners. "&amp;"Furthermore, we will collect metrics about the model during the modelling process, and the subjective opinion of stakeholders about the usage of these models, through questionnaires like NASA TLX [4] (which measures perceived effort while working on tasks"&amp;"). All metrics and biometrics are going to be theoretically and experimentally evaluated, through a set of case studies and experiments with different types of participants (including researchers, practitioners and students). © 2016 IEEE.")</f>
        <v>Requirements Engineering (RE) approaches, following paradigms such as goal-oriented [1] or scenario-based [2], provide expressive model elements for requirements elicitation and analysis. However, these approaches are still struggling when it comes to managing the quality of their models. Problems in quality can cause difficulties in anaging and understanding requirements, which in turn leads to increased development costs. The models' quality should then be a permanent concern. We propose a quantitative assessment of the goal-oriented and scenario-based models' quality, namely its complexity, completeness, appropriateness recognizability, understandability and learnability. To this end, we propose a combination of techniques to be applied to the RE models, the modelling process, and the models' notation. We are going to define metrics about the models, through the Goal-Question-Metric (GQM) approach, and incorporate them in a common evaluation framework that helps in the requirements modelling process. The quality of the RE models, the modelling process and the model's notation will be measured by collecting biometric data from stakeholders, by using eye-tracking devices, electroencephalography (EEG) scanners, and electro-dermal activity (EDA) scanners. Furthermore, we will collect metrics about the model during the modelling process, and the subjective opinion of stakeholders about the usage of these models, through questionnaires like NASA TLX [4] (which measures perceived effort while working on tasks). All metrics and biometrics are going to be theoretically and experimentally evaluated, through a set of case studies and experiments with different types of participants (including researchers, practitioners and students). © 2016 IEEE.</v>
      </c>
      <c r="H1018" s="7" t="str">
        <f>IFERROR(__xludf.DUMMYFUNCTION("""COMPUTED_VALUE"""),"biometrics; metrics; quality evaluation; requirements models")</f>
        <v>biometrics; metrics; quality evaluation; requirements models</v>
      </c>
      <c r="I1018" s="10" t="b">
        <v>0</v>
      </c>
      <c r="J1018" s="10" t="b">
        <v>0</v>
      </c>
      <c r="K1018" s="10" t="b">
        <v>0</v>
      </c>
      <c r="L1018" s="10" t="b">
        <v>0</v>
      </c>
      <c r="M1018" s="10" t="b">
        <v>0</v>
      </c>
      <c r="N1018" s="10" t="b">
        <v>0</v>
      </c>
      <c r="O1018" s="11" t="b">
        <f t="shared" si="1"/>
        <v>0</v>
      </c>
      <c r="P1018" s="16" t="b">
        <v>0</v>
      </c>
      <c r="Q1018" s="7"/>
    </row>
    <row r="1019">
      <c r="A1019" s="5" t="b">
        <v>1</v>
      </c>
      <c r="B1019" s="5" t="s">
        <v>1065</v>
      </c>
      <c r="C1019" s="7" t="str">
        <f>IFERROR(__xludf.DUMMYFUNCTION("""COMPUTED_VALUE"""),"10.1109/RE.2013.6636740")</f>
        <v>10.1109/RE.2013.6636740</v>
      </c>
      <c r="D1019" s="7" t="str">
        <f>IFERROR(__xludf.DUMMYFUNCTION("""COMPUTED_VALUE"""),"Teufl S.; Mou D.; Ratiu D.")</f>
        <v>Teufl S.; Mou D.; Ratiu D.</v>
      </c>
      <c r="E1019" s="7" t="str">
        <f>IFERROR(__xludf.DUMMYFUNCTION("""COMPUTED_VALUE"""),"MIRA: A tooling-framework to experiment with model-based requirements engineering")</f>
        <v>MIRA: A tooling-framework to experiment with model-based requirements engineering</v>
      </c>
      <c r="F1019" s="7" t="str">
        <f>IFERROR(__xludf.DUMMYFUNCTION("""COMPUTED_VALUE"""),"RE")</f>
        <v>RE</v>
      </c>
      <c r="G1019" s="7" t="str">
        <f>IFERROR(__xludf.DUMMYFUNCTION("""COMPUTED_VALUE"""),"Model-based requirements engineering supports eliciting, specifying and analyzing the work products elaborated during the requirements engineering process by providing adequate models. However, especially the inclusion of formal models needs to be investi"&amp;"gated further. These models represent requirements and have to be integrated with reference models that define and structure the work results and their relations. We have developed the research tool MIRA to provide an infrastructure for the tool-based eva"&amp;"luation of the usage of models in the field of requirements engineering. In this paper we present the research questions addressed by MIRA concerning the reference model and the formal models. We explain how MIRA supports answering these research question"&amp;"s. © 2013 IEEE.")</f>
        <v>Model-based requirements engineering supports eliciting, specifying and analyzing the work products elaborated during the requirements engineering process by providing adequate models. However, especially the inclusion of formal models needs to be investigated further. These models represent requirements and have to be integrated with reference models that define and structure the work results and their relations. We have developed the research tool MIRA to provide an infrastructure for the tool-based evaluation of the usage of models in the field of requirements engineering. In this paper we present the research questions addressed by MIRA concerning the reference model and the formal models. We explain how MIRA supports answering these research questions. © 2013 IEEE.</v>
      </c>
      <c r="H1019" s="7"/>
      <c r="I1019" s="10" t="b">
        <v>0</v>
      </c>
      <c r="J1019" s="10" t="b">
        <v>0</v>
      </c>
      <c r="K1019" s="10" t="b">
        <v>0</v>
      </c>
      <c r="L1019" s="10" t="b">
        <v>0</v>
      </c>
      <c r="M1019" s="10" t="b">
        <v>0</v>
      </c>
      <c r="N1019" s="10" t="b">
        <v>0</v>
      </c>
      <c r="O1019" s="11" t="b">
        <f t="shared" si="1"/>
        <v>0</v>
      </c>
      <c r="P1019" s="16" t="b">
        <v>0</v>
      </c>
      <c r="Q1019" s="7"/>
    </row>
    <row r="1020">
      <c r="A1020" s="5" t="b">
        <v>1</v>
      </c>
      <c r="B1020" s="5" t="s">
        <v>1066</v>
      </c>
      <c r="C1020" s="7" t="str">
        <f>IFERROR(__xludf.DUMMYFUNCTION("""COMPUTED_VALUE"""),"10.1109/RE.2010.12")</f>
        <v>10.1109/RE.2010.12</v>
      </c>
      <c r="D1020" s="7" t="str">
        <f>IFERROR(__xludf.DUMMYFUNCTION("""COMPUTED_VALUE"""),"Gacitua R.; Sawyer P.; Gervasi V.")</f>
        <v>Gacitua R.; Sawyer P.; Gervasi V.</v>
      </c>
      <c r="E1020" s="7" t="str">
        <f>IFERROR(__xludf.DUMMYFUNCTION("""COMPUTED_VALUE"""),"On the effectiveness of abstraction identification in requirements engineering")</f>
        <v>On the effectiveness of abstraction identification in requirements engineering</v>
      </c>
      <c r="F1020" s="7" t="str">
        <f>IFERROR(__xludf.DUMMYFUNCTION("""COMPUTED_VALUE"""),"RE")</f>
        <v>RE</v>
      </c>
      <c r="G1020" s="7" t="str">
        <f>IFERROR(__xludf.DUMMYFUNCTION("""COMPUTED_VALUE"""),"The identification of abstractions, i.e. terms that have a particular significance in a given domain, and such that they can indirectly characterize the most salient features of the document in which they appear, has often been recognized as a useful tool"&amp;" in the analysis of domain descriptions and requirements documents in software development. In this paper we propose a new technique for the identification of single- and multi-word abstractions named Relevancedriven abstraction identification (RAI) and a"&amp;" corresponding tool implementation, present an experiment comparing the effectiveness of our technique with human judgement and with a different technique proposed in the literature, and discuss a number of ways in which the abstractions so identified can"&amp;" be used to good profit in requirements engineering. © 2010 IEEE.")</f>
        <v>The identification of abstractions, i.e. terms that have a particular significance in a given domain, and such that they can indirectly characterize the most salient features of the document in which they appear, has often been recognized as a useful tool in the analysis of domain descriptions and requirements documents in software development. In this paper we propose a new technique for the identification of single- and multi-word abstractions named Relevancedriven abstraction identification (RAI) and a corresponding tool implementation, present an experiment comparing the effectiveness of our technique with human judgement and with a different technique proposed in the literature, and discuss a number of ways in which the abstractions so identified can be used to good profit in requirements engineering. © 2010 IEEE.</v>
      </c>
      <c r="H1020" s="7" t="str">
        <f>IFERROR(__xludf.DUMMYFUNCTION("""COMPUTED_VALUE"""),"Abstractions; Evaluation of tool; Natural language text; Requirement elicitation; Tool use method")</f>
        <v>Abstractions; Evaluation of tool; Natural language text; Requirement elicitation; Tool use method</v>
      </c>
      <c r="I1020" s="9" t="b">
        <v>1</v>
      </c>
      <c r="J1020" s="9" t="b">
        <v>1</v>
      </c>
      <c r="K1020" s="10" t="b">
        <v>0</v>
      </c>
      <c r="L1020" s="10" t="b">
        <v>0</v>
      </c>
      <c r="M1020" s="10" t="b">
        <v>0</v>
      </c>
      <c r="N1020" s="10" t="b">
        <v>0</v>
      </c>
      <c r="O1020" s="11" t="b">
        <f t="shared" si="1"/>
        <v>0</v>
      </c>
      <c r="P1020" s="16" t="b">
        <v>0</v>
      </c>
      <c r="Q1020" s="7"/>
    </row>
    <row r="1021">
      <c r="A1021" s="5" t="b">
        <v>1</v>
      </c>
      <c r="B1021" s="5" t="s">
        <v>1067</v>
      </c>
      <c r="C1021" s="7" t="str">
        <f>IFERROR(__xludf.DUMMYFUNCTION("""COMPUTED_VALUE"""),"10.1109/RE.2018.00031")</f>
        <v>10.1109/RE.2018.00031</v>
      </c>
      <c r="D1021" s="7" t="str">
        <f>IFERROR(__xludf.DUMMYFUNCTION("""COMPUTED_VALUE"""),"Santos M.; Gralha C.; Goulao M.; Araujo J.; Moreira A.")</f>
        <v>Santos M.; Gralha C.; Goulao M.; Araujo J.; Moreira A.</v>
      </c>
      <c r="E1021" s="7" t="str">
        <f>IFERROR(__xludf.DUMMYFUNCTION("""COMPUTED_VALUE"""),"On the impact of semantic transparency on understanding and reviewing social goal models")</f>
        <v>On the impact of semantic transparency on understanding and reviewing social goal models</v>
      </c>
      <c r="F1021" s="7" t="str">
        <f>IFERROR(__xludf.DUMMYFUNCTION("""COMPUTED_VALUE"""),"RE")</f>
        <v>RE</v>
      </c>
      <c r="G1021" s="7" t="str">
        <f>IFERROR(__xludf.DUMMYFUNCTION("""COMPUTED_VALUE"""),"Context: i∗ is one of the most influential languages in the Requirements Engineering research community. Perhaps due to its complexity and low adoption in industry, it became a natural candidate for studies aiming at improving its concrete syntax and the "&amp;"stakeholders' ability to correctly interpret i∗ models. Objectives: We evaluate the impact of semantic transparency on understanding and reviewing i∗ models, in the presence of a language key. Methods: We performed a quasi-experiment comparing the standar"&amp;"d i∗ concrete syntax with an alternative that has an increased semantic transparency. We asked 57 novice participants to perform understanding and reviewing tasks on i∗ models, and measured their accuracy, speed and ease, using metrics of task success, ti"&amp;"me and effort, collected with eye-tracking and participants' feedback. Results: We found no evidence of improved accuracy or speed attributable to the alternative concrete syntax. Although participants' perceived ease was similar, they devoted significant"&amp;"ly less visual effort to the model and the provided language key, when using the alternative concrete syntax. Conclusions: The context provided by the model and language key may mitigate the i∗ symbol recognition deficit reported in previous works. Howeve"&amp;"r, the alternative concrete syntax required a significantly lower visual effort. © 2018 IEEE.")</f>
        <v>Context: i∗ is one of the most influential languages in the Requirements Engineering research community. Perhaps due to its complexity and low adoption in industry, it became a natural candidate for studies aiming at improving its concrete syntax and the stakeholders' ability to correctly interpret i∗ models. Objectives: We evaluate the impact of semantic transparency on understanding and reviewing i∗ models, in the presence of a language key. Methods: We performed a quasi-experiment comparing the standard i∗ concrete syntax with an alternative that has an increased semantic transparency. We asked 57 novice participants to perform understanding and reviewing tasks on i∗ models, and measured their accuracy, speed and ease, using metrics of task success, time and effort, collected with eye-tracking and participants' feedback. Results: We found no evidence of improved accuracy or speed attributable to the alternative concrete syntax. Although participants' perceived ease was similar, they devoted significantly less visual effort to the model and the provided language key, when using the alternative concrete syntax. Conclusions: The context provided by the model and language key may mitigate the i∗ symbol recognition deficit reported in previous works. However, the alternative concrete syntax required a significantly lower visual effort. © 2018 IEEE.</v>
      </c>
      <c r="H1021" s="7" t="str">
        <f>IFERROR(__xludf.DUMMYFUNCTION("""COMPUTED_VALUE"""),"Eye tracking; IStar; Physics of notations; Social goal models")</f>
        <v>Eye tracking; IStar; Physics of notations; Social goal models</v>
      </c>
      <c r="I1021" s="9" t="b">
        <v>1</v>
      </c>
      <c r="J1021" s="9" t="b">
        <v>1</v>
      </c>
      <c r="K1021" s="9" t="b">
        <v>1</v>
      </c>
      <c r="L1021" s="10" t="b">
        <v>0</v>
      </c>
      <c r="M1021" s="10" t="b">
        <v>0</v>
      </c>
      <c r="N1021" s="10" t="b">
        <v>0</v>
      </c>
      <c r="O1021" s="11" t="b">
        <f t="shared" si="1"/>
        <v>1</v>
      </c>
      <c r="P1021" s="16" t="b">
        <v>0</v>
      </c>
      <c r="Q1021" s="7"/>
    </row>
    <row r="1022">
      <c r="A1022" s="5" t="b">
        <v>1</v>
      </c>
      <c r="B1022" s="5" t="s">
        <v>1068</v>
      </c>
      <c r="C1022" s="7" t="str">
        <f>IFERROR(__xludf.DUMMYFUNCTION("""COMPUTED_VALUE"""),"10.1109/RE.2017.49")</f>
        <v>10.1109/RE.2017.49</v>
      </c>
      <c r="D1022" s="7" t="str">
        <f>IFERROR(__xludf.DUMMYFUNCTION("""COMPUTED_VALUE"""),"Maier A.; Berry D.M.")</f>
        <v>Maier A.; Berry D.M.</v>
      </c>
      <c r="E1022" s="7" t="str">
        <f>IFERROR(__xludf.DUMMYFUNCTION("""COMPUTED_VALUE"""),"Improving the Identification of Hedonic Quality in User Requirements-A Controlled Experiment")</f>
        <v>Improving the Identification of Hedonic Quality in User Requirements-A Controlled Experiment</v>
      </c>
      <c r="F1022" s="7" t="str">
        <f>IFERROR(__xludf.DUMMYFUNCTION("""COMPUTED_VALUE"""),"RE")</f>
        <v>RE</v>
      </c>
      <c r="G1022" s="7" t="str">
        <f>IFERROR(__xludf.DUMMYFUNCTION("""COMPUTED_VALUE"""),"Context and Motivation Systematically engineering a good user experience (UX) into a computer-based system under development demands that the user requirements of the system reflect all needs, including emotional, of all stakeholders. User requirements ad"&amp;"dress two different types of qualities: Pragmatic qualities (PQs), that address system functionality and usability, and hedonic qualities (HQs) that address the stakeholder's psychological well-being. Studies show that users tend to describe such satisfyi"&amp;"ng UXes mainly with PQs, and that some users seem to believe that they are describing a HQ when they are actually describing a PQ. Question/Problem The problem is to see if classification of any user requirement as PQ-related or HQ-related is difficult, a"&amp;"nd if so, why. Principal Ideas/Results We conducted a controlled experiment in which twelve requirements-engineering and UX professionals, hereinafter called 'classifiers' classified each of 105 user requirements as PQ-related or HQ-related. The experimen"&amp;"t shows that neither (1) a classifier's involvement in the project from which the requirements came nor (2) the classifier's use of a detailed model of the qualities in addition to the standard definitions of 'PQ' and 'HQ' has a positive effect on the con"&amp;"sistency of the classifier's classification with that of others. Contribution The experiment revealed that classification of user requirements is a lot harder than initially assumed. © 2017 IEEE.")</f>
        <v>Context and Motivation Systematically engineering a good user experience (UX) into a computer-based system under development demands that the user requirements of the system reflect all needs, including emotional, of all stakeholders. User requirements address two different types of qualities: Pragmatic qualities (PQs), that address system functionality and usability, and hedonic qualities (HQs) that address the stakeholder's psychological well-being. Studies show that users tend to describe such satisfying UXes mainly with PQs, and that some users seem to believe that they are describing a HQ when they are actually describing a PQ. Question/Problem The problem is to see if classification of any user requirement as PQ-related or HQ-related is difficult, and if so, why. Principal Ideas/Results We conducted a controlled experiment in which twelve requirements-engineering and UX professionals, hereinafter called 'classifiers' classified each of 105 user requirements as PQ-related or HQ-related. The experiment shows that neither (1) a classifier's involvement in the project from which the requirements came nor (2) the classifier's use of a detailed model of the qualities in addition to the standard definitions of 'PQ' and 'HQ' has a positive effect on the consistency of the classifier's classification with that of others. Contribution The experiment revealed that classification of user requirements is a lot harder than initially assumed. © 2017 IEEE.</v>
      </c>
      <c r="H1022" s="7" t="str">
        <f>IFERROR(__xludf.DUMMYFUNCTION("""COMPUTED_VALUE"""),"Controlled Experiment; Definitions of Pragmatic and Hedonic Qualities; Hedonic Quality; Pragmatic Quality; Project Involvement; Quality Model; User Experience")</f>
        <v>Controlled Experiment; Definitions of Pragmatic and Hedonic Qualities; Hedonic Quality; Pragmatic Quality; Project Involvement; Quality Model; User Experience</v>
      </c>
      <c r="I1022" s="9" t="b">
        <v>1</v>
      </c>
      <c r="J1022" s="9" t="b">
        <v>1</v>
      </c>
      <c r="K1022" s="10" t="b">
        <v>0</v>
      </c>
      <c r="L1022" s="10" t="b">
        <v>0</v>
      </c>
      <c r="M1022" s="10" t="b">
        <v>0</v>
      </c>
      <c r="N1022" s="9" t="b">
        <v>1</v>
      </c>
      <c r="O1022" s="11" t="b">
        <f t="shared" si="1"/>
        <v>0</v>
      </c>
      <c r="P1022" s="16" t="b">
        <v>0</v>
      </c>
      <c r="Q1022" s="7"/>
    </row>
    <row r="1023">
      <c r="A1023" s="5" t="b">
        <v>1</v>
      </c>
      <c r="B1023" s="5" t="s">
        <v>1069</v>
      </c>
      <c r="C1023" s="7" t="str">
        <f>IFERROR(__xludf.DUMMYFUNCTION("""COMPUTED_VALUE"""),"10.1109/RE.2017.66")</f>
        <v>10.1109/RE.2017.66</v>
      </c>
      <c r="D1023" s="7" t="str">
        <f>IFERROR(__xludf.DUMMYFUNCTION("""COMPUTED_VALUE"""),"Kifetew F.M.; Munante D.; Perini A.; Susi A.; Siena A.; Busetta P.; Valerio D.")</f>
        <v>Kifetew F.M.; Munante D.; Perini A.; Susi A.; Siena A.; Busetta P.; Valerio D.</v>
      </c>
      <c r="E1023" s="7" t="str">
        <f>IFERROR(__xludf.DUMMYFUNCTION("""COMPUTED_VALUE"""),"Gamifying Collaborative Prioritization: Does Pointsification Work?")</f>
        <v>Gamifying Collaborative Prioritization: Does Pointsification Work?</v>
      </c>
      <c r="F1023" s="7" t="str">
        <f>IFERROR(__xludf.DUMMYFUNCTION("""COMPUTED_VALUE"""),"RE")</f>
        <v>RE</v>
      </c>
      <c r="G1023" s="7" t="str">
        <f>IFERROR(__xludf.DUMMYFUNCTION("""COMPUTED_VALUE"""),"Gamification has been applied in software engineering contexts, and more recently in requirements engineering with the purpose of improving the motivation and engagement of people performing specific engineering tasks. But often an objective evaluation th"&amp;"at the resulting gamified tasks successfully meet the intended goal is missing. On the other hand, current practices in designing gamified processes seem to rest on a try, test and learn approach, rather than on first principles design methods. Thus empir"&amp;"ical evaluation should play an even more important role.We combined gamification and automated reasoning techniques to support collaborative requirements prioritization in software evolution. A first prototype has been evaluated in the context of three in"&amp;"dustrial use cases. To further investigate the impact of specific game elements, namely point-based elements, we performed a quasi-experiment comparing two versions of the tool, with and without pointsification. We present the results from these two empir"&amp;"ical evaluations, and discuss lessons learned. © 2017 IEEE.")</f>
        <v>Gamification has been applied in software engineering contexts, and more recently in requirements engineering with the purpose of improving the motivation and engagement of people performing specific engineering tasks. But often an objective evaluation that the resulting gamified tasks successfully meet the intended goal is missing. On the other hand, current practices in designing gamified processes seem to rest on a try, test and learn approach, rather than on first principles design methods. Thus empirical evaluation should play an even more important role.We combined gamification and automated reasoning techniques to support collaborative requirements prioritization in software evolution. A first prototype has been evaluated in the context of three industrial use cases. To further investigate the impact of specific game elements, namely point-based elements, we performed a quasi-experiment comparing two versions of the tool, with and without pointsification. We present the results from these two empirical evaluations, and discuss lessons learned. © 2017 IEEE.</v>
      </c>
      <c r="H1023" s="7" t="str">
        <f>IFERROR(__xludf.DUMMYFUNCTION("""COMPUTED_VALUE"""),"collaborative requirements prioritization; gamification; quasi-experiment")</f>
        <v>collaborative requirements prioritization; gamification; quasi-experiment</v>
      </c>
      <c r="I1023" s="10" t="b">
        <v>0</v>
      </c>
      <c r="J1023" s="10" t="b">
        <v>0</v>
      </c>
      <c r="K1023" s="10" t="b">
        <v>0</v>
      </c>
      <c r="L1023" s="10" t="b">
        <v>0</v>
      </c>
      <c r="M1023" s="10" t="b">
        <v>0</v>
      </c>
      <c r="N1023" s="10" t="b">
        <v>0</v>
      </c>
      <c r="O1023" s="11" t="b">
        <f t="shared" si="1"/>
        <v>0</v>
      </c>
      <c r="P1023" s="16" t="b">
        <v>0</v>
      </c>
      <c r="Q1023" s="7"/>
    </row>
    <row r="1024">
      <c r="A1024" s="5" t="b">
        <v>1</v>
      </c>
      <c r="B1024" s="5" t="s">
        <v>1070</v>
      </c>
      <c r="C1024" s="7" t="str">
        <f>IFERROR(__xludf.DUMMYFUNCTION("""COMPUTED_VALUE"""),"10.1109/RE48521.2020.00035")</f>
        <v>10.1109/RE48521.2020.00035</v>
      </c>
      <c r="D1024" s="7" t="str">
        <f>IFERROR(__xludf.DUMMYFUNCTION("""COMPUTED_VALUE"""),"Hadar E.; Kravchenko D.; Basovskiy A.")</f>
        <v>Hadar E.; Kravchenko D.; Basovskiy A.</v>
      </c>
      <c r="E1024" s="7" t="str">
        <f>IFERROR(__xludf.DUMMYFUNCTION("""COMPUTED_VALUE"""),"Cyber Digital Twin Simulator for Automatic Gathering and Prioritization of Security Controls' Requirements")</f>
        <v>Cyber Digital Twin Simulator for Automatic Gathering and Prioritization of Security Controls' Requirements</v>
      </c>
      <c r="F1024" s="7" t="str">
        <f>IFERROR(__xludf.DUMMYFUNCTION("""COMPUTED_VALUE"""),"RE")</f>
        <v>RE</v>
      </c>
      <c r="G1024" s="7" t="str">
        <f>IFERROR(__xludf.DUMMYFUNCTION("""COMPUTED_VALUE"""),"The scale and complexity of cyber threats in digital enterprises hamper operators' ability to gather, prioritize and rationalize which security controls requirements should be handled first to achieve rapid risk reduction. This paper presents a cyber digi"&amp;"tal twin, based on attack graph analytics, that automatically gathers and prioritizes security controls requirements at scale over active networks. The first-of-A-kind twin collects information about the computer network, associates it with attack tactics"&amp;", measures the efficiency of implemented security controls requirements and automatically detects missing security controls. The twin also evaluates a cyber risk value using the attack graph and proposes prioritization of the detected requirements to rapi"&amp;"dly reduce risk within existing system constraints. The cyber digital twin simulator offers several new risk reduction methods for automatically selecting security controls requirements. The necessary data for constructing a contextual cyber digital twin "&amp;"is defined, including the relationship between security controls and attack tactics. The paper illustrates the calculations used for ranking security controls' risk impact, the algorithm for security controls' requirements prioritization, and finally demo"&amp;"nstrates successful results using a field experiment conducted via an active network. © 2020 IEEE.")</f>
        <v>The scale and complexity of cyber threats in digital enterprises hamper operators' ability to gather, prioritize and rationalize which security controls requirements should be handled first to achieve rapid risk reduction. This paper presents a cyber digital twin, based on attack graph analytics, that automatically gathers and prioritizes security controls requirements at scale over active networks. The first-of-A-kind twin collects information about the computer network, associates it with attack tactics, measures the efficiency of implemented security controls requirements and automatically detects missing security controls. The twin also evaluates a cyber risk value using the attack graph and proposes prioritization of the detected requirements to rapidly reduce risk within existing system constraints. The cyber digital twin simulator offers several new risk reduction methods for automatically selecting security controls requirements. The necessary data for constructing a contextual cyber digital twin is defined, including the relationship between security controls and attack tactics. The paper illustrates the calculations used for ranking security controls' risk impact, the algorithm for security controls' requirements prioritization, and finally demonstrates successful results using a field experiment conducted via an active network. © 2020 IEEE.</v>
      </c>
      <c r="H1024" s="7" t="str">
        <f>IFERROR(__xludf.DUMMYFUNCTION("""COMPUTED_VALUE"""),"Agile Security; Analytical Attack Graph; Attack Surface; Cyber Digital Twin; Requirements Prioritization; Security Controls")</f>
        <v>Agile Security; Analytical Attack Graph; Attack Surface; Cyber Digital Twin; Requirements Prioritization; Security Controls</v>
      </c>
      <c r="I1024" s="10" t="b">
        <v>0</v>
      </c>
      <c r="J1024" s="10" t="b">
        <v>0</v>
      </c>
      <c r="K1024" s="10" t="b">
        <v>0</v>
      </c>
      <c r="L1024" s="10" t="b">
        <v>0</v>
      </c>
      <c r="M1024" s="10" t="b">
        <v>0</v>
      </c>
      <c r="N1024" s="10" t="b">
        <v>0</v>
      </c>
      <c r="O1024" s="11" t="b">
        <f t="shared" si="1"/>
        <v>0</v>
      </c>
      <c r="P1024" s="16" t="b">
        <v>0</v>
      </c>
      <c r="Q1024" s="7"/>
    </row>
    <row r="1025">
      <c r="A1025" s="5" t="b">
        <v>1</v>
      </c>
      <c r="B1025" s="5" t="s">
        <v>1071</v>
      </c>
      <c r="C1025" s="7" t="str">
        <f>IFERROR(__xludf.DUMMYFUNCTION("""COMPUTED_VALUE"""),"10.1109/RE.2012.6345802")</f>
        <v>10.1109/RE.2012.6345802</v>
      </c>
      <c r="D1025" s="7" t="str">
        <f>IFERROR(__xludf.DUMMYFUNCTION("""COMPUTED_VALUE"""),"Niknafs A.; Berry D.M.")</f>
        <v>Niknafs A.; Berry D.M.</v>
      </c>
      <c r="E1025" s="7" t="str">
        <f>IFERROR(__xludf.DUMMYFUNCTION("""COMPUTED_VALUE"""),"The impact of domain knowledge on the effectiveness of requirements idea generation during requirements elicitation")</f>
        <v>The impact of domain knowledge on the effectiveness of requirements idea generation during requirements elicitation</v>
      </c>
      <c r="F1025" s="7" t="str">
        <f>IFERROR(__xludf.DUMMYFUNCTION("""COMPUTED_VALUE"""),"RE")</f>
        <v>RE</v>
      </c>
      <c r="G1025" s="7" t="str">
        <f>IFERROR(__xludf.DUMMYFUNCTION("""COMPUTED_VALUE"""),"It is believed that the effectiveness of requirements engineering activities depends at least partially on the individuals involved. One of the factors that seems to influence an individual's effectiveness in requirements engineering activities is knowled"&amp;"ge of the problem being solved, i.e., domain knowledge. While a requirements engineer's having in-depth domain knowledge helps him or her to understand the problem easier, he or she can fall for tacit assumptions of the domain and might overlook issues th"&amp;"at are obvious to domain experts. This paper describes a controlled experiment to test the hypothesis that adding to a requirements elicitation team for a computer-based system in a particular domain, requirements analysts that are ignorant of the domain "&amp;"improves the effectiveness of the requirements elicitation team. The results, although not conclusive, show some support for accepting the hypothesis. The results were analyzed also to determine the effect of creativity, industrial experience, and require"&amp;"ments engineering experience. The results suggest other hypotheses to be studied in the future. © 2012 IEEE.")</f>
        <v>It is believed that the effectiveness of requirements engineering activities depends at least partially on the individuals involved. One of the factors that seems to influence an individual's effectiveness in requirements engineering activities is knowledge of the problem being solved, i.e., domain knowledge. While a requirements engineer's having in-depth domain knowledge helps him or her to understand the problem easier, he or she can fall for tacit assumptions of the domain and might overlook issues that are obvious to domain experts. This paper describes a controlled experiment to test the hypothesis that adding to a requirements elicitation team for a computer-based system in a particular domain, requirements analysts that are ignorant of the domain improves the effectiveness of the requirements elicitation team. The results, although not conclusive, show some support for accepting the hypothesis. The results were analyzed also to determine the effect of creativity, industrial experience, and requirements engineering experience. The results suggest other hypotheses to be studied in the future. © 2012 IEEE.</v>
      </c>
      <c r="H1025" s="7" t="str">
        <f>IFERROR(__xludf.DUMMYFUNCTION("""COMPUTED_VALUE"""),"Brainstorming; Creativity; Domain awareness; Domain ignorance; Empirical software engineering; Importance of ignorance; Requirements elicitation; Requirements engineering")</f>
        <v>Brainstorming; Creativity; Domain awareness; Domain ignorance; Empirical software engineering; Importance of ignorance; Requirements elicitation; Requirements engineering</v>
      </c>
      <c r="I1025" s="9" t="b">
        <v>1</v>
      </c>
      <c r="J1025" s="9" t="b">
        <v>1</v>
      </c>
      <c r="K1025" s="10" t="b">
        <v>0</v>
      </c>
      <c r="L1025" s="10" t="b">
        <v>0</v>
      </c>
      <c r="M1025" s="10" t="b">
        <v>0</v>
      </c>
      <c r="N1025" s="10" t="b">
        <v>0</v>
      </c>
      <c r="O1025" s="11" t="b">
        <f t="shared" si="1"/>
        <v>0</v>
      </c>
      <c r="P1025" s="16" t="b">
        <v>0</v>
      </c>
      <c r="Q1025" s="7"/>
    </row>
    <row r="1026">
      <c r="A1026" s="5" t="b">
        <v>1</v>
      </c>
      <c r="B1026" s="5" t="s">
        <v>1072</v>
      </c>
      <c r="C1026" s="7" t="str">
        <f>IFERROR(__xludf.DUMMYFUNCTION("""COMPUTED_VALUE"""),"10.1109/RE57278.2023.00014")</f>
        <v>10.1109/RE57278.2023.00014</v>
      </c>
      <c r="D1026" s="7" t="str">
        <f>IFERROR(__xludf.DUMMYFUNCTION("""COMPUTED_VALUE"""),"Grober K.; Rukavitsyna M.; Jurjens J.")</f>
        <v>Grober K.; Rukavitsyna M.; Jurjens J.</v>
      </c>
      <c r="E1026" s="7" t="str">
        <f>IFERROR(__xludf.DUMMYFUNCTION("""COMPUTED_VALUE"""),"A Comparative Evaluation of Requirement Template Systems")</f>
        <v>A Comparative Evaluation of Requirement Template Systems</v>
      </c>
      <c r="F1026" s="7" t="str">
        <f>IFERROR(__xludf.DUMMYFUNCTION("""COMPUTED_VALUE"""),"RE")</f>
        <v>RE</v>
      </c>
      <c r="G1026" s="7" t="str">
        <f>IFERROR(__xludf.DUMMYFUNCTION("""COMPUTED_VALUE"""),"Context: Multiple semi-formal syntax templates for natural language requirements foster to reduce ambiguity while preserving readability. Yet, existing studies on their effectiveness do not allow to systematically investigate quality benefits and compare "&amp;"different notations. Objectives: We strive for a comparative benchmark and evaluation of template systems to support practitioners in selecting template systems and enable researchers to work on pinpoint improvements and domain-specific adaptions. Methods"&amp;": We conduct a comparative experiment with a control group of free-text requirements and treatment groups of their variants following different templates. We compare effects on metrics systematically derived from quality guidelines. Results: We present a "&amp;"benchmark consisting of a systematically derived metric suite over seven relevant quality categories and a dataset of 1764 requirements, comprising 249 free-text forms from five projects and variants in five template systems. We evaluate effects in compar"&amp;"ison to free text. Except for one template system, all have solely positive effects in all categories. Conclusions: The proposed benchmark enables the identification of the relative strengths and weaknesses of different template systems. Results show that"&amp;" templates can generally improve quality compared to free text. Although MASTER leads the field, there is no conclusive favourite choice, as overall effect sizes are relatively similar.  © 2023 IEEE.")</f>
        <v>Context: Multiple semi-formal syntax templates for natural language requirements foster to reduce ambiguity while preserving readability. Yet, existing studies on their effectiveness do not allow to systematically investigate quality benefits and compare different notations. Objectives: We strive for a comparative benchmark and evaluation of template systems to support practitioners in selecting template systems and enable researchers to work on pinpoint improvements and domain-specific adaptions. Methods: We conduct a comparative experiment with a control group of free-text requirements and treatment groups of their variants following different templates. We compare effects on metrics systematically derived from quality guidelines. Results: We present a benchmark consisting of a systematically derived metric suite over seven relevant quality categories and a dataset of 1764 requirements, comprising 249 free-text forms from five projects and variants in five template systems. We evaluate effects in comparison to free text. Except for one template system, all have solely positive effects in all categories. Conclusions: The proposed benchmark enables the identification of the relative strengths and weaknesses of different template systems. Results show that templates can generally improve quality compared to free text. Although MASTER leads the field, there is no conclusive favourite choice, as overall effect sizes are relatively similar.  © 2023 IEEE.</v>
      </c>
      <c r="H1026" s="7" t="str">
        <f>IFERROR(__xludf.DUMMYFUNCTION("""COMPUTED_VALUE"""),"Guideline Rules; Natural Language Requirements; Quality Metrics; Readability; Requirement Templates")</f>
        <v>Guideline Rules; Natural Language Requirements; Quality Metrics; Readability; Requirement Templates</v>
      </c>
      <c r="I1026" s="9" t="b">
        <v>1</v>
      </c>
      <c r="J1026" s="9" t="b">
        <v>1</v>
      </c>
      <c r="K1026" s="9" t="b">
        <v>1</v>
      </c>
      <c r="L1026" s="10" t="b">
        <v>0</v>
      </c>
      <c r="M1026" s="10" t="b">
        <v>0</v>
      </c>
      <c r="N1026" s="10" t="b">
        <v>0</v>
      </c>
      <c r="O1026" s="11" t="b">
        <f t="shared" si="1"/>
        <v>1</v>
      </c>
      <c r="P1026" s="16" t="b">
        <v>0</v>
      </c>
      <c r="Q1026" s="7"/>
    </row>
    <row r="1027">
      <c r="A1027" s="5" t="b">
        <v>1</v>
      </c>
      <c r="B1027" s="5" t="s">
        <v>1073</v>
      </c>
      <c r="C1027" s="7" t="str">
        <f>IFERROR(__xludf.DUMMYFUNCTION("""COMPUTED_VALUE"""),"10.1109/RE.2006.72")</f>
        <v>10.1109/RE.2006.72</v>
      </c>
      <c r="D1027" s="7" t="str">
        <f>IFERROR(__xludf.DUMMYFUNCTION("""COMPUTED_VALUE"""),"Kaiya H.; Saeki M.")</f>
        <v>Kaiya H.; Saeki M.</v>
      </c>
      <c r="E1027" s="7" t="str">
        <f>IFERROR(__xludf.DUMMYFUNCTION("""COMPUTED_VALUE"""),"Using domain ontology as domain knowledge for requirements elicitation")</f>
        <v>Using domain ontology as domain knowledge for requirements elicitation</v>
      </c>
      <c r="F1027" s="7" t="str">
        <f>IFERROR(__xludf.DUMMYFUNCTION("""COMPUTED_VALUE"""),"RE")</f>
        <v>RE</v>
      </c>
      <c r="G1027" s="7" t="str">
        <f>IFERROR(__xludf.DUMMYFUNCTION("""COMPUTED_VALUE"""),"Domain knowledge is one of crucial factors to get a great success in requirements elicitation of high quality, and only domain experts, not requirements analysts, have it. We propose a new requirements elicitation method ORE (Ontology based Requirements E"&amp;"licitation), where a domain ontology can be used as domain knowledge. In our method, a domain ontology plays a role on semantic domain which gives meanings to requirements statements by using a semantic function. By using inference rules on the ontology a"&amp;"nd a quality metrics on the semantic function, an analyst can be navigated which requirements should be added for improving completeness of the current version of the requirements and/or which requirements should be deleted from the current version for ke"&amp;"eping consistency. We define this process as a method and evaluate it by an experimental case study of software music players. © 2006 IEEE.")</f>
        <v>Domain knowledge is one of crucial factors to get a great success in requirements elicitation of high quality, and only domain experts, not requirements analysts, have it. We propose a new requirements elicitation method ORE (Ontology based Requirements Elicitation), where a domain ontology can be used as domain knowledge. In our method, a domain ontology plays a role on semantic domain which gives meanings to requirements statements by using a semantic function. By using inference rules on the ontology and a quality metrics on the semantic function, an analyst can be navigated which requirements should be added for improving completeness of the current version of the requirements and/or which requirements should be deleted from the current version for keeping consistency. We define this process as a method and evaluate it by an experimental case study of software music players. © 2006 IEEE.</v>
      </c>
      <c r="H1027" s="7"/>
      <c r="I1027" s="10" t="b">
        <v>0</v>
      </c>
      <c r="J1027" s="10" t="b">
        <v>0</v>
      </c>
      <c r="K1027" s="10" t="b">
        <v>0</v>
      </c>
      <c r="L1027" s="10" t="b">
        <v>0</v>
      </c>
      <c r="M1027" s="10" t="b">
        <v>0</v>
      </c>
      <c r="N1027" s="10" t="b">
        <v>0</v>
      </c>
      <c r="O1027" s="11" t="b">
        <f t="shared" si="1"/>
        <v>0</v>
      </c>
      <c r="P1027" s="16" t="b">
        <v>0</v>
      </c>
      <c r="Q1027" s="7"/>
    </row>
    <row r="1028">
      <c r="A1028" s="5" t="b">
        <v>1</v>
      </c>
      <c r="B1028" s="5" t="s">
        <v>1074</v>
      </c>
      <c r="C1028" s="7" t="str">
        <f>IFERROR(__xludf.DUMMYFUNCTION("""COMPUTED_VALUE"""),"10.1109/RE.2007.60")</f>
        <v>10.1109/RE.2007.60</v>
      </c>
      <c r="D1028" s="7" t="str">
        <f>IFERROR(__xludf.DUMMYFUNCTION("""COMPUTED_VALUE"""),"Dekhtyar A.; Hayes J.H.; Sundaram S.; Holbrook A.; Dekhtyar O.")</f>
        <v>Dekhtyar A.; Hayes J.H.; Sundaram S.; Holbrook A.; Dekhtyar O.</v>
      </c>
      <c r="E1028" s="7" t="str">
        <f>IFERROR(__xludf.DUMMYFUNCTION("""COMPUTED_VALUE"""),"Technique integration for requirements assessment")</f>
        <v>Technique integration for requirements assessment</v>
      </c>
      <c r="F1028" s="7" t="str">
        <f>IFERROR(__xludf.DUMMYFUNCTION("""COMPUTED_VALUE"""),"RE")</f>
        <v>RE</v>
      </c>
      <c r="G1028" s="7" t="str">
        <f>IFERROR(__xludf.DUMMYFUNCTION("""COMPUTED_VALUE"""),"In determining whether to permit a safety-critical software system to be certified and in performing independent verification and validation (IV&amp;V) of safety- or mission-critical systems, the requirements traceability matrix (RTM) delivered by the develop"&amp;"er must be assessed for accuracy. The current state of the practice is to perform this work manually, or with the help of general-purpose tools such as word processors and spreadsheets Such work is error-prone and person-power intensive. In this paper, we"&amp;" extend our prior work in application of Information Retrieval (IR) methods for candidate link generation to the problem of RTM accuracy assessment. We build voting committees from five IR methods, and use a variety of voting schemes to accept or reject l"&amp;"inks from given candidate RTMs. We report on the results of two experiments. In the first experiment, we used 25 candidate RTMs built by human analysts for a small tracing task involving a portion of a NASA scientific instrument specification. In the seco"&amp;"nd experiment, we randomly seeded faults in the RTM for the entire specification. Results of the experiments are presented. © 2007 IEEE.")</f>
        <v>In determining whether to permit a safety-critical software system to be certified and in performing independent verification and validation (IV&amp;V) of safety- or mission-critical systems, the requirements traceability matrix (RTM) delivered by the developer must be assessed for accuracy. The current state of the practice is to perform this work manually, or with the help of general-purpose tools such as word processors and spreadsheets Such work is error-prone and person-power intensive. In this paper, we extend our prior work in application of Information Retrieval (IR) methods for candidate link generation to the problem of RTM accuracy assessment. We build voting committees from five IR methods, and use a variety of voting schemes to accept or reject links from given candidate RTMs. We report on the results of two experiments. In the first experiment, we used 25 candidate RTMs built by human analysts for a small tracing task involving a portion of a NASA scientific instrument specification. In the second experiment, we randomly seeded faults in the RTM for the entire specification. Results of the experiments are presented. © 2007 IEEE.</v>
      </c>
      <c r="H1028" s="7"/>
      <c r="I1028" s="9" t="b">
        <v>1</v>
      </c>
      <c r="J1028" s="9" t="b">
        <v>1</v>
      </c>
      <c r="K1028" s="9" t="b">
        <v>1</v>
      </c>
      <c r="L1028" s="10" t="b">
        <v>0</v>
      </c>
      <c r="M1028" s="10" t="b">
        <v>0</v>
      </c>
      <c r="N1028" s="10" t="b">
        <v>0</v>
      </c>
      <c r="O1028" s="11" t="b">
        <f t="shared" si="1"/>
        <v>1</v>
      </c>
      <c r="P1028" s="12" t="b">
        <v>0</v>
      </c>
      <c r="Q1028" s="13"/>
    </row>
    <row r="1029">
      <c r="A1029" s="5" t="b">
        <v>1</v>
      </c>
      <c r="B1029" s="5" t="s">
        <v>1075</v>
      </c>
      <c r="C1029" s="7" t="str">
        <f>IFERROR(__xludf.DUMMYFUNCTION("""COMPUTED_VALUE"""),"10.1109/RE.2019.00015")</f>
        <v>10.1109/RE.2019.00015</v>
      </c>
      <c r="D1029" s="7" t="str">
        <f>IFERROR(__xludf.DUMMYFUNCTION("""COMPUTED_VALUE"""),"Ferrari A.; Spoletini P.; Bano M.; Zowghi D.")</f>
        <v>Ferrari A.; Spoletini P.; Bano M.; Zowghi D.</v>
      </c>
      <c r="E1029" s="7" t="str">
        <f>IFERROR(__xludf.DUMMYFUNCTION("""COMPUTED_VALUE"""),"Learning requirements elicitation interviews with role-playing, self-assessment and peer-review")</f>
        <v>Learning requirements elicitation interviews with role-playing, self-assessment and peer-review</v>
      </c>
      <c r="F1029" s="7" t="str">
        <f>IFERROR(__xludf.DUMMYFUNCTION("""COMPUTED_VALUE"""),"RE")</f>
        <v>RE</v>
      </c>
      <c r="G1029" s="7" t="str">
        <f>IFERROR(__xludf.DUMMYFUNCTION("""COMPUTED_VALUE"""),"Interviews are largely used in the practice of requirements elicitation. Nevertheless, performing an effective interview often depends on soft-skills, and on knowledge acquired through experience. When it comes to requirements engineering education and tr"&amp;"aining (REET), limited resources and few well-founded pedagogical approaches are available to allow students to acquire and improve their skills as interviewers. This paper presents a novel pedagogical approach that combines role-playing, peer-review and "&amp;"self-assessment to enable students to reflect on their mistakes, and improve their interview skills. We evaluate the approach through a controlled quasi-experiment. The study shows that the approach significantly reduces the amount of mistakes made by the"&amp;" students. Feedback from the participants confirms the usefulness and easiness of the proposed training. This work contributes to the body of knowledge of REET with an empirically evaluated method for teaching inter-views. Furthermore, we share the pedago"&amp;"gical material used, to enable other educators to apply and possibly tailor the approach. © 2019 IEEE.")</f>
        <v>Interviews are largely used in the practice of requirements elicitation. Nevertheless, performing an effective interview often depends on soft-skills, and on knowledge acquired through experience. When it comes to requirements engineering education and training (REET), limited resources and few well-founded pedagogical approaches are available to allow students to acquire and improve their skills as interviewers. This paper presents a novel pedagogical approach that combines role-playing, peer-review and self-assessment to enable students to reflect on their mistakes, and improve their interview skills. We evaluate the approach through a controlled quasi-experiment. The study shows that the approach significantly reduces the amount of mistakes made by the students. Feedback from the participants confirms the usefulness and easiness of the proposed training. This work contributes to the body of knowledge of REET with an empirically evaluated method for teaching inter-views. Furthermore, we share the pedagogical material used, to enable other educators to apply and possibly tailor the approach. © 2019 IEEE.</v>
      </c>
      <c r="H1029" s="7" t="str">
        <f>IFERROR(__xludf.DUMMYFUNCTION("""COMPUTED_VALUE"""),"Communication mistakes; Education; Empirical evaluation; Experiment; Interview; Interview mistakes; Mistakes; Quantitative analysis; Requirements elicitation interview; Requirements engineering; Training; Training material")</f>
        <v>Communication mistakes; Education; Empirical evaluation; Experiment; Interview; Interview mistakes; Mistakes; Quantitative analysis; Requirements elicitation interview; Requirements engineering; Training; Training material</v>
      </c>
      <c r="I1029" s="9" t="b">
        <v>1</v>
      </c>
      <c r="J1029" s="9" t="b">
        <v>1</v>
      </c>
      <c r="K1029" s="10" t="b">
        <v>0</v>
      </c>
      <c r="L1029" s="10" t="b">
        <v>0</v>
      </c>
      <c r="M1029" s="10" t="b">
        <v>0</v>
      </c>
      <c r="N1029" s="10" t="b">
        <v>0</v>
      </c>
      <c r="O1029" s="11" t="b">
        <f t="shared" si="1"/>
        <v>0</v>
      </c>
      <c r="P1029" s="16" t="b">
        <v>0</v>
      </c>
      <c r="Q1029" s="7"/>
    </row>
    <row r="1030">
      <c r="A1030" s="5" t="b">
        <v>1</v>
      </c>
      <c r="B1030" s="5" t="s">
        <v>1076</v>
      </c>
      <c r="C1030" s="7" t="str">
        <f>IFERROR(__xludf.DUMMYFUNCTION("""COMPUTED_VALUE"""),"10.1109/RE.2017.59")</f>
        <v>10.1109/RE.2017.59</v>
      </c>
      <c r="D1030" s="7" t="str">
        <f>IFERROR(__xludf.DUMMYFUNCTION("""COMPUTED_VALUE"""),"Kolpondinos M.Z.H.; Glinz M.")</f>
        <v>Kolpondinos M.Z.H.; Glinz M.</v>
      </c>
      <c r="E1030" s="7" t="str">
        <f>IFERROR(__xludf.DUMMYFUNCTION("""COMPUTED_VALUE"""),"Behind Points and Levels-The Influence of Gamification Algorithms on Requirements Prioritization")</f>
        <v>Behind Points and Levels-The Influence of Gamification Algorithms on Requirements Prioritization</v>
      </c>
      <c r="F1030" s="7" t="str">
        <f>IFERROR(__xludf.DUMMYFUNCTION("""COMPUTED_VALUE"""),"RE")</f>
        <v>RE</v>
      </c>
      <c r="G1030" s="7" t="str">
        <f>IFERROR(__xludf.DUMMYFUNCTION("""COMPUTED_VALUE"""),"Prioritizing requirements is a crucial ingredient of successful Requirements Engineering (RE). The popular prioritization techniques assume that stakeholders are known and can be mandated to contribute to the prioritization process. This prerequisite no l"&amp;"onger holds for many of today's systems where significant stakeholders (end-users, in particular) are outside organizational reach: They are neither known nor can they be identified among the members of the involved organizations. Classic techniques for i"&amp;"nvolving these stakeholders such as polls or questionnaires are neither interactive nor collaborative, which is detrimental for prioritization. Social media enable collaborative prioritization, but fall short in motivating stakeholders outside organizatio"&amp;"nal reach to participate voluntarily. In this light, we are developing the Garuso platform, which combines social media with gamification for motivating stakeholders. While first approaches to employing gamification in RE are promising, research is still "&amp;"in its infancy. Especially, little is known about the influence of the gamification algorithms controlling single game elements on the stakeholders' activities. In this paper we report on a field experiment in which we investigated this influence with Gar"&amp;"uso. We found statistically significant differences between different algorithms controlling single game elements on the contributions of stakeholders to the prioritization of requirements. © 2017 IEEE.")</f>
        <v>Prioritizing requirements is a crucial ingredient of successful Requirements Engineering (RE). The popular prioritization techniques assume that stakeholders are known and can be mandated to contribute to the prioritization process. This prerequisite no longer holds for many of today's systems where significant stakeholders (end-users, in particular) are outside organizational reach: They are neither known nor can they be identified among the members of the involved organizations. Classic techniques for involving these stakeholders such as polls or questionnaires are neither interactive nor collaborative, which is detrimental for prioritization. Social media enable collaborative prioritization, but fall short in motivating stakeholders outside organizational reach to participate voluntarily. In this light, we are developing the Garuso platform, which combines social media with gamification for motivating stakeholders. While first approaches to employing gamification in RE are promising, research is still in its infancy. Especially, little is known about the influence of the gamification algorithms controlling single game elements on the stakeholders' activities. In this paper we report on a field experiment in which we investigated this influence with Garuso. We found statistically significant differences between different algorithms controlling single game elements on the contributions of stakeholders to the prioritization of requirements. © 2017 IEEE.</v>
      </c>
      <c r="H1030" s="7" t="str">
        <f>IFERROR(__xludf.DUMMYFUNCTION("""COMPUTED_VALUE"""),"field experiment; gamification; requirements prioritization; stake-holder motivation")</f>
        <v>field experiment; gamification; requirements prioritization; stake-holder motivation</v>
      </c>
      <c r="I1030" s="10" t="b">
        <v>0</v>
      </c>
      <c r="J1030" s="10" t="b">
        <v>0</v>
      </c>
      <c r="K1030" s="10" t="b">
        <v>0</v>
      </c>
      <c r="L1030" s="10" t="b">
        <v>0</v>
      </c>
      <c r="M1030" s="10" t="b">
        <v>0</v>
      </c>
      <c r="N1030" s="10" t="b">
        <v>0</v>
      </c>
      <c r="O1030" s="11" t="b">
        <f t="shared" si="1"/>
        <v>0</v>
      </c>
      <c r="P1030" s="16" t="b">
        <v>0</v>
      </c>
      <c r="Q1030" s="7"/>
    </row>
    <row r="1031">
      <c r="A1031" s="5" t="b">
        <v>1</v>
      </c>
      <c r="B1031" s="5" t="s">
        <v>1077</v>
      </c>
      <c r="C1031" s="7" t="str">
        <f>IFERROR(__xludf.DUMMYFUNCTION("""COMPUTED_VALUE"""),"10.1109/RE.2014.6912301")</f>
        <v>10.1109/RE.2014.6912301</v>
      </c>
      <c r="D1031" s="7" t="str">
        <f>IFERROR(__xludf.DUMMYFUNCTION("""COMPUTED_VALUE"""),"Bano M.")</f>
        <v>Bano M.</v>
      </c>
      <c r="E1031" s="7" t="str">
        <f>IFERROR(__xludf.DUMMYFUNCTION("""COMPUTED_VALUE"""),"Aligning services and requirements with user feedback")</f>
        <v>Aligning services and requirements with user feedback</v>
      </c>
      <c r="F1031" s="7" t="str">
        <f>IFERROR(__xludf.DUMMYFUNCTION("""COMPUTED_VALUE"""),"RE")</f>
        <v>RE</v>
      </c>
      <c r="G1031" s="7" t="str">
        <f>IFERROR(__xludf.DUMMYFUNCTION("""COMPUTED_VALUE"""),"For analysts the alignment between the requirements and the available services presents a significant challenge in service oriented paradigm. To address this challenge various technical solutions have already been proposed. Although technical issues play "&amp;"an important role in this selection but organizational and social factors are equally as important in selecting an optimally aligned service for a specific requirement. The users of services are mostly ignored in the alignment process. User feedback analy"&amp;"sis has recently gained a lot of research focus, but these benefits have not been fully explored and utilized in service oriented software development. In this paper I present a method for aligning services to requirements that is designed using the Situa"&amp;"tional Method Engineering approach and it incorporates user feedback about the services. This feedback assists the analysts in extracting required information for making informed decisions while selecting services among available options that satisfies bo"&amp;"th the user requirements and customer preferences. The method is supported by a proposed tool. The method and the supporting tool will be validated by a controlled experiment and focus group feedback from the practitioners. © 2014 IEEE.")</f>
        <v>For analysts the alignment between the requirements and the available services presents a significant challenge in service oriented paradigm. To address this challenge various technical solutions have already been proposed. Although technical issues play an important role in this selection but organizational and social factors are equally as important in selecting an optimally aligned service for a specific requirement. The users of services are mostly ignored in the alignment process. User feedback analysis has recently gained a lot of research focus, but these benefits have not been fully explored and utilized in service oriented software development. In this paper I present a method for aligning services to requirements that is designed using the Situational Method Engineering approach and it incorporates user feedback about the services. This feedback assists the analysts in extracting required information for making informed decisions while selecting services among available options that satisfies both the user requirements and customer preferences. The method is supported by a proposed tool. The method and the supporting tool will be validated by a controlled experiment and focus group feedback from the practitioners. © 2014 IEEE.</v>
      </c>
      <c r="H1031" s="7" t="str">
        <f>IFERROR(__xludf.DUMMYFUNCTION("""COMPUTED_VALUE"""),"Alignment; Requirements; Services; Users")</f>
        <v>Alignment; Requirements; Services; Users</v>
      </c>
      <c r="I1031" s="10" t="b">
        <v>0</v>
      </c>
      <c r="J1031" s="10" t="b">
        <v>0</v>
      </c>
      <c r="K1031" s="10" t="b">
        <v>0</v>
      </c>
      <c r="L1031" s="10" t="b">
        <v>0</v>
      </c>
      <c r="M1031" s="10" t="b">
        <v>0</v>
      </c>
      <c r="N1031" s="10" t="b">
        <v>0</v>
      </c>
      <c r="O1031" s="11" t="b">
        <f t="shared" si="1"/>
        <v>0</v>
      </c>
      <c r="P1031" s="16" t="b">
        <v>0</v>
      </c>
      <c r="Q1031" s="7"/>
    </row>
    <row r="1032">
      <c r="A1032" s="5" t="b">
        <v>1</v>
      </c>
      <c r="B1032" s="5" t="s">
        <v>1078</v>
      </c>
      <c r="C1032" s="7" t="str">
        <f>IFERROR(__xludf.DUMMYFUNCTION("""COMPUTED_VALUE"""),"10.1109/RE48521.2020.00025")</f>
        <v>10.1109/RE48521.2020.00025</v>
      </c>
      <c r="D1032" s="7" t="str">
        <f>IFERROR(__xludf.DUMMYFUNCTION("""COMPUTED_VALUE"""),"Torre D.; Abualhaija S.; Sabetzadeh M.; Briand L.; Baetens K.; Goes P.; Forastier S.")</f>
        <v>Torre D.; Abualhaija S.; Sabetzadeh M.; Briand L.; Baetens K.; Goes P.; Forastier S.</v>
      </c>
      <c r="E1032" s="7" t="str">
        <f>IFERROR(__xludf.DUMMYFUNCTION("""COMPUTED_VALUE"""),"An AI-Assisted Approach for Checking the Completeness of Privacy Policies against GDPR")</f>
        <v>An AI-Assisted Approach for Checking the Completeness of Privacy Policies against GDPR</v>
      </c>
      <c r="F1032" s="7" t="str">
        <f>IFERROR(__xludf.DUMMYFUNCTION("""COMPUTED_VALUE"""),"RE")</f>
        <v>RE</v>
      </c>
      <c r="G1032" s="7" t="str">
        <f>IFERROR(__xludf.DUMMYFUNCTION("""COMPUTED_VALUE"""),"Privacy policies are critical for helping individuals make informed decisions about their personal data. In Europe, privacy policies are subject to compliance with the General Data Protection Regulation (GDPR). If done entirely manually, checking whether "&amp;"a given privacy policy complies with GDPR is both time-consuming and error-prone. Automated support for this task is thus advantageous. At the moment, there is an evident lack of such support on the market. In this paper, we tackle an important dimension "&amp;"of GDPR compliance checking for privacy policies. Specifically, we provide automated support for checking whether the content of a given privacy policy is complete according to the provisions stipulated by GDPR. To do so, we present: (1) a conceptual mode"&amp;"l to characterize the information content envisaged by GDPR for privacy policies, (2) an AI-Assisted approach for classifying the information content in GDPR privacy policies and subsequently checking how well the classified content meets the completeness"&amp;" criteria of interest; and (3) an evaluation of our approach through a case study over 24 unseen privacy policies. For classification, we leverage a combination of Natural Language Processing and supervised Machine Learning. Our experimental material is c"&amp;"omprised of 234 real privacy policies from the fund industry. Our empirical results indicate that our approach detected 45 of the total of 47 incompleteness issues in the 24 privacy policies it was applied to. Over these policies, the approach had eight f"&amp;"alse positives. The approach thus has a precision of 85% and recall of 96% over our case study. © 2020 IEEE.")</f>
        <v>Privacy policies are critical for helping individuals make informed decisions about their personal data. In Europe, privacy policies are subject to compliance with the General Data Protection Regulation (GDPR). If done entirely manually, checking whether a given privacy policy complies with GDPR is both time-consuming and error-prone. Automated support for this task is thus advantageous. At the moment, there is an evident lack of such support on the market. In this paper, we tackle an important dimension of GDPR compliance checking for privacy policies. Specifically, we provide automated support for checking whether the content of a given privacy policy is complete according to the provisions stipulated by GDPR. To do so, we present: (1) a conceptual model to characterize the information content envisaged by GDPR for privacy policies, (2) an AI-Assisted approach for classifying the information content in GDPR privacy policies and subsequently checking how well the classified content meets the completeness criteria of interest; and (3) an evaluation of our approach through a case study over 24 unseen privacy policies. For classification, we leverage a combination of Natural Language Processing and supervised Machine Learning. Our experimental material is comprised of 234 real privacy policies from the fund industry. Our empirical results indicate that our approach detected 45 of the total of 47 incompleteness issues in the 24 privacy policies it was applied to. Over these policies, the approach had eight false positives. The approach thus has a precision of 85% and recall of 96% over our case study. © 2020 IEEE.</v>
      </c>
      <c r="H1032" s="7" t="str">
        <f>IFERROR(__xludf.DUMMYFUNCTION("""COMPUTED_VALUE"""),"Case Study Research; Legal Compliance; Machine Learning (ML); Natural Language Processing (NLP); Privacy Policies; The General Data Protection Regulation (GDPR)")</f>
        <v>Case Study Research; Legal Compliance; Machine Learning (ML); Natural Language Processing (NLP); Privacy Policies; The General Data Protection Regulation (GDPR)</v>
      </c>
      <c r="I1032" s="10" t="b">
        <v>0</v>
      </c>
      <c r="J1032" s="10" t="b">
        <v>0</v>
      </c>
      <c r="K1032" s="10" t="b">
        <v>0</v>
      </c>
      <c r="L1032" s="10" t="b">
        <v>0</v>
      </c>
      <c r="M1032" s="10" t="b">
        <v>0</v>
      </c>
      <c r="N1032" s="10" t="b">
        <v>0</v>
      </c>
      <c r="O1032" s="11" t="b">
        <f t="shared" si="1"/>
        <v>0</v>
      </c>
      <c r="P1032" s="16" t="b">
        <v>0</v>
      </c>
      <c r="Q1032" s="7"/>
    </row>
    <row r="1033">
      <c r="A1033" s="5" t="b">
        <v>1</v>
      </c>
      <c r="B1033" s="5" t="s">
        <v>1079</v>
      </c>
      <c r="C1033" s="7" t="str">
        <f>IFERROR(__xludf.DUMMYFUNCTION("""COMPUTED_VALUE"""),"10.1109/RE48521.2020.00026")</f>
        <v>10.1109/RE48521.2020.00026</v>
      </c>
      <c r="D1033" s="7" t="str">
        <f>IFERROR(__xludf.DUMMYFUNCTION("""COMPUTED_VALUE"""),"Sainani A.; Anish P.R.; Joshi V.; Ghaisas S.")</f>
        <v>Sainani A.; Anish P.R.; Joshi V.; Ghaisas S.</v>
      </c>
      <c r="E1033" s="7" t="str">
        <f>IFERROR(__xludf.DUMMYFUNCTION("""COMPUTED_VALUE"""),"Extracting and Classifying Requirements from Software Engineering Contracts")</f>
        <v>Extracting and Classifying Requirements from Software Engineering Contracts</v>
      </c>
      <c r="F1033" s="7" t="str">
        <f>IFERROR(__xludf.DUMMYFUNCTION("""COMPUTED_VALUE"""),"RE")</f>
        <v>RE</v>
      </c>
      <c r="G1033" s="7" t="str">
        <f>IFERROR(__xludf.DUMMYFUNCTION("""COMPUTED_VALUE"""),"In this paper, we present our work on extracting and classifying requirements from large software engineering contracts. Typically, the process of requirements elicitation begins after a contractual agreement is signed by all participants. Our interaction"&amp;"s with the legal compliance team in a large vendor organization reveal that business contracts can help in the identification of high-level requirements relevant to the success of software engineering projects. We posit that requirements engineering as a "&amp;"discipline has an even wider scope than software engineering of which it is traditionally considered to be a sub-discipline. This is because software engineering-specific requirements are but a part of the success story of any large project. The requireme"&amp;"nts that emerge from contracts are obligatory in nature, whether or not they pertain to core software development. Therefore, it is important that these are extracted and classified for the benefit of software engineers and other stakeholders responsible "&amp;"for a project. We discuss the results of an exploratory study and a range of experiments from the use of regular expressions to Bidirectional Encoder Representations from Transformers for automating the extraction and classification of requirements from s"&amp;"oftware engineering contracts. With Bidirectional Encoder Representations from Transformers, we obtained a high f-score of greater than eighty four percent for classification of requirements. © 2020 IEEE.")</f>
        <v>In this paper, we present our work on extracting and classifying requirements from large software engineering contracts. Typically, the process of requirements elicitation begins after a contractual agreement is signed by all participants. Our interactions with the legal compliance team in a large vendor organization reveal that business contracts can help in the identification of high-level requirements relevant to the success of software engineering projects. We posit that requirements engineering as a discipline has an even wider scope than software engineering of which it is traditionally considered to be a sub-discipline. This is because software engineering-specific requirements are but a part of the success story of any large project. The requirements that emerge from contracts are obligatory in nature, whether or not they pertain to core software development. Therefore, it is important that these are extracted and classified for the benefit of software engineers and other stakeholders responsible for a project. We discuss the results of an exploratory study and a range of experiments from the use of regular expressions to Bidirectional Encoder Representations from Transformers for automating the extraction and classification of requirements from software engineering contracts. With Bidirectional Encoder Representations from Transformers, we obtained a high f-score of greater than eighty four percent for classification of requirements. © 2020 IEEE.</v>
      </c>
      <c r="H1033" s="7" t="str">
        <f>IFERROR(__xludf.DUMMYFUNCTION("""COMPUTED_VALUE"""),"classification; deep learning; extraction; requirements; Software engineering contracts")</f>
        <v>classification; deep learning; extraction; requirements; Software engineering contracts</v>
      </c>
      <c r="I1033" s="10" t="b">
        <v>0</v>
      </c>
      <c r="J1033" s="10" t="b">
        <v>0</v>
      </c>
      <c r="K1033" s="10" t="b">
        <v>0</v>
      </c>
      <c r="L1033" s="10" t="b">
        <v>0</v>
      </c>
      <c r="M1033" s="10" t="b">
        <v>0</v>
      </c>
      <c r="N1033" s="10" t="b">
        <v>0</v>
      </c>
      <c r="O1033" s="11" t="b">
        <f t="shared" si="1"/>
        <v>0</v>
      </c>
      <c r="P1033" s="16" t="b">
        <v>0</v>
      </c>
      <c r="Q1033" s="7"/>
    </row>
    <row r="1034">
      <c r="A1034" s="5" t="b">
        <v>1</v>
      </c>
      <c r="B1034" s="5" t="s">
        <v>1080</v>
      </c>
      <c r="C1034" s="7" t="str">
        <f>IFERROR(__xludf.DUMMYFUNCTION("""COMPUTED_VALUE"""),"10.1109/RE.2012.6345795")</f>
        <v>10.1109/RE.2012.6345795</v>
      </c>
      <c r="D1034" s="7" t="str">
        <f>IFERROR(__xludf.DUMMYFUNCTION("""COMPUTED_VALUE"""),"Yang H.; De Roeck A.; Gervasi V.; Willis A.; Nuseibeh B.")</f>
        <v>Yang H.; De Roeck A.; Gervasi V.; Willis A.; Nuseibeh B.</v>
      </c>
      <c r="E1034" s="7" t="str">
        <f>IFERROR(__xludf.DUMMYFUNCTION("""COMPUTED_VALUE"""),"Speculative requirements: Automatic detection of uncertainty in natural language requirements")</f>
        <v>Speculative requirements: Automatic detection of uncertainty in natural language requirements</v>
      </c>
      <c r="F1034" s="7" t="str">
        <f>IFERROR(__xludf.DUMMYFUNCTION("""COMPUTED_VALUE"""),"RE")</f>
        <v>RE</v>
      </c>
      <c r="G1034" s="7" t="str">
        <f>IFERROR(__xludf.DUMMYFUNCTION("""COMPUTED_VALUE"""),"Stakeholders frequently use speculative language when they need to convey their requirements with some degree of uncertainty. Due to the intrinsic vagueness of speculative language, speculative requirements risk being misunderstood, and related uncertaint"&amp;"y overlooked, and may benefit from careful treatment in the requirements engineering process. In this paper, we present a linguistically-oriented approach to automatic detection of uncertainty in natural language (NL) requirements. Our approach comprises "&amp;"two stages. First we identify speculative sentences by applying a machine learning algorithm called Conditional Random Fields (CRFs) to identify uncertainty cues. The algorithm exploits a rich set of lexical and syntactic features extracted from requireme"&amp;"nts sentences. Second, we try to determine the scope of uncertainty. We use a rule-based approach that draws on a set of hand-crafted linguistic heuristics to determine the uncertainty scope with the help of dependency structures present in the sentence p"&amp;"arse tree. We report on a series of experiments we conducted to evaluate the performance and usefulness of our system. © 2012 IEEE.")</f>
        <v>Stakeholders frequently use speculative language when they need to convey their requirements with some degree of uncertainty. Due to the intrinsic vagueness of speculative language, speculative requirements risk being misunderstood, and related uncertainty overlooked, and may benefit from careful treatment in the requirements engineering process. In this paper, we present a linguistically-oriented approach to automatic detection of uncertainty in natural language (NL) requirements. Our approach comprises two stages. First we identify speculative sentences by applying a machine learning algorithm called Conditional Random Fields (CRFs) to identify uncertainty cues. The algorithm exploits a rich set of lexical and syntactic features extracted from requirements sentences. Second, we try to determine the scope of uncertainty. We use a rule-based approach that draws on a set of hand-crafted linguistic heuristics to determine the uncertainty scope with the help of dependency structures present in the sentence parse tree. We report on a series of experiments we conducted to evaluate the performance and usefulness of our system. © 2012 IEEE.</v>
      </c>
      <c r="H1034" s="7" t="str">
        <f>IFERROR(__xludf.DUMMYFUNCTION("""COMPUTED_VALUE"""),"machine learning; natural language requirements; rule-based approach; speculative requirements; Uncertainty; uncertainty cues; uncertainty scopes")</f>
        <v>machine learning; natural language requirements; rule-based approach; speculative requirements; Uncertainty; uncertainty cues; uncertainty scopes</v>
      </c>
      <c r="I1034" s="10" t="b">
        <v>0</v>
      </c>
      <c r="J1034" s="10" t="b">
        <v>0</v>
      </c>
      <c r="K1034" s="10" t="b">
        <v>0</v>
      </c>
      <c r="L1034" s="10" t="b">
        <v>0</v>
      </c>
      <c r="M1034" s="10" t="b">
        <v>0</v>
      </c>
      <c r="N1034" s="10" t="b">
        <v>0</v>
      </c>
      <c r="O1034" s="11" t="b">
        <f t="shared" si="1"/>
        <v>0</v>
      </c>
      <c r="P1034" s="16" t="b">
        <v>0</v>
      </c>
      <c r="Q1034" s="7"/>
    </row>
    <row r="1035">
      <c r="A1035" s="5" t="b">
        <v>1</v>
      </c>
      <c r="B1035" s="5" t="s">
        <v>1081</v>
      </c>
      <c r="C1035" s="7" t="str">
        <f>IFERROR(__xludf.DUMMYFUNCTION("""COMPUTED_VALUE"""),"10.1109/RE.2015.7320461")</f>
        <v>10.1109/RE.2015.7320461</v>
      </c>
      <c r="D1035" s="7" t="str">
        <f>IFERROR(__xludf.DUMMYFUNCTION("""COMPUTED_VALUE"""),"Cleland-Huang J.; Rahimi M.; Mirakhorli M.")</f>
        <v>Cleland-Huang J.; Rahimi M.; Mirakhorli M.</v>
      </c>
      <c r="E1035" s="7" t="str">
        <f>IFERROR(__xludf.DUMMYFUNCTION("""COMPUTED_VALUE"""),"Ready-Set-Transfer! Technology transfer in the requirements engineering domain")</f>
        <v>Ready-Set-Transfer! Technology transfer in the requirements engineering domain</v>
      </c>
      <c r="F1035" s="7" t="str">
        <f>IFERROR(__xludf.DUMMYFUNCTION("""COMPUTED_VALUE"""),"RE")</f>
        <v>RE</v>
      </c>
      <c r="G1035" s="7" t="str">
        <f>IFERROR(__xludf.DUMMYFUNCTION("""COMPUTED_VALUE"""),"Research projects tend to evolve through multiple phases of incubation and experimentation, before maturing to levels of full industry adoption. Practice has shown that successful research solutions often take over 20 years to achieve full technology tran"&amp;"sfer. However, many projects never leave the incubation phase either because the new technique fails to perform well, or because researchers lack the knowledge, skills, or time to transition the idea to practice. A healthy research community could be expe"&amp;"cted to produce a steady stream of innovative solutions that positively impact industrial practice. To achieve these goals, we need ongoing, rigorous, and mutually beneficial conversations between academics and practitioners. Such exchanges are a desirabl"&amp;"e part of the research process, and will help the requirements engineering community to integrate technology transfer plans into the ongoing research plans. In this interactive panel, teams of researchers, representing different requirements engineering r"&amp;"esearch areas, will present their research solutions to a panel of seasoned industrial practitioners. The practitioners provide insightful feedback that can help with the transition to practice. While Ready-Set-Transfer is presented as an interactive game"&amp;"-show, it has the serious goal of fostering collaboration and conversations between practitioners and researchers in the requirements engineering community. © 2015 IEEE.")</f>
        <v>Research projects tend to evolve through multiple phases of incubation and experimentation, before maturing to levels of full industry adoption. Practice has shown that successful research solutions often take over 20 years to achieve full technology transfer. However, many projects never leave the incubation phase either because the new technique fails to perform well, or because researchers lack the knowledge, skills, or time to transition the idea to practice. A healthy research community could be expected to produce a steady stream of innovative solutions that positively impact industrial practice. To achieve these goals, we need ongoing, rigorous, and mutually beneficial conversations between academics and practitioners. Such exchanges are a desirable part of the research process, and will help the requirements engineering community to integrate technology transfer plans into the ongoing research plans. In this interactive panel, teams of researchers, representing different requirements engineering research areas, will present their research solutions to a panel of seasoned industrial practitioners. The practitioners provide insightful feedback that can help with the transition to practice. While Ready-Set-Transfer is presented as an interactive game-show, it has the serious goal of fostering collaboration and conversations between practitioners and researchers in the requirements engineering community. © 2015 IEEE.</v>
      </c>
      <c r="H1035" s="7"/>
      <c r="I1035" s="10" t="b">
        <v>0</v>
      </c>
      <c r="J1035" s="10" t="b">
        <v>0</v>
      </c>
      <c r="K1035" s="10" t="b">
        <v>0</v>
      </c>
      <c r="L1035" s="10" t="b">
        <v>0</v>
      </c>
      <c r="M1035" s="10" t="b">
        <v>0</v>
      </c>
      <c r="N1035" s="10" t="b">
        <v>0</v>
      </c>
      <c r="O1035" s="11" t="b">
        <f t="shared" si="1"/>
        <v>0</v>
      </c>
      <c r="P1035" s="16" t="b">
        <v>0</v>
      </c>
      <c r="Q1035" s="7"/>
    </row>
    <row r="1036">
      <c r="A1036" s="5" t="b">
        <v>1</v>
      </c>
      <c r="B1036" s="5" t="s">
        <v>1082</v>
      </c>
      <c r="C1036" s="7" t="str">
        <f>IFERROR(__xludf.DUMMYFUNCTION("""COMPUTED_VALUE"""),"10.1109/RE.2019.00035")</f>
        <v>10.1109/RE.2019.00035</v>
      </c>
      <c r="D1036" s="7" t="str">
        <f>IFERROR(__xludf.DUMMYFUNCTION("""COMPUTED_VALUE"""),"Mezghani M.; Kang J.; Kang E.-B.; Sèdes F.")</f>
        <v>Mezghani M.; Kang J.; Kang E.-B.; Sèdes F.</v>
      </c>
      <c r="E1036" s="7" t="str">
        <f>IFERROR(__xludf.DUMMYFUNCTION("""COMPUTED_VALUE"""),"Clustering for traceability managing in system specifications")</f>
        <v>Clustering for traceability managing in system specifications</v>
      </c>
      <c r="F1036" s="7" t="str">
        <f>IFERROR(__xludf.DUMMYFUNCTION("""COMPUTED_VALUE"""),"RE")</f>
        <v>RE</v>
      </c>
      <c r="G1036" s="7" t="str">
        <f>IFERROR(__xludf.DUMMYFUNCTION("""COMPUTED_VALUE"""),"System specifications are generally organized according to several documents hierarchies levels linked in order to represent the traceability information. Requirements engineering experts verify manually the links between each specification which allows t"&amp;"o generate a traceability matrix. The purpose of this paper is to automatize the generation of the traceability matrix since it is a time consuming and costly task. We propose an artificial intelligence based approach to deal with this problem through a c"&amp;"lustering approach. This latter is an unsupervised algorithm that doesn't need any prior knowledge on the language neither the domain of the specifications. Our approach generates duplicates and clusters containing linked requirements. We experiment our a"&amp;"pproach in an aeronautic domain and a space domain. We obtain better results for high level specifications especially with a pre-processing. © 2019 IEEE.")</f>
        <v>System specifications are generally organized according to several documents hierarchies levels linked in order to represent the traceability information. Requirements engineering experts verify manually the links between each specification which allows to generate a traceability matrix. The purpose of this paper is to automatize the generation of the traceability matrix since it is a time consuming and costly task. We propose an artificial intelligence based approach to deal with this problem through a clustering approach. This latter is an unsupervised algorithm that doesn't need any prior knowledge on the language neither the domain of the specifications. Our approach generates duplicates and clusters containing linked requirements. We experiment our approach in an aeronautic domain and a space domain. We obtain better results for high level specifications especially with a pre-processing. © 2019 IEEE.</v>
      </c>
      <c r="H1036" s="7" t="str">
        <f>IFERROR(__xludf.DUMMYFUNCTION("""COMPUTED_VALUE"""),"Clustering; Documents hierarchies; Requirements engineering; System specifications documents; Traceability")</f>
        <v>Clustering; Documents hierarchies; Requirements engineering; System specifications documents; Traceability</v>
      </c>
      <c r="I1036" s="10" t="b">
        <v>0</v>
      </c>
      <c r="J1036" s="10" t="b">
        <v>0</v>
      </c>
      <c r="K1036" s="10" t="b">
        <v>0</v>
      </c>
      <c r="L1036" s="10" t="b">
        <v>0</v>
      </c>
      <c r="M1036" s="10" t="b">
        <v>0</v>
      </c>
      <c r="N1036" s="10" t="b">
        <v>0</v>
      </c>
      <c r="O1036" s="11" t="b">
        <f t="shared" si="1"/>
        <v>0</v>
      </c>
      <c r="P1036" s="16" t="b">
        <v>0</v>
      </c>
      <c r="Q1036" s="7"/>
    </row>
    <row r="1037">
      <c r="A1037" s="5" t="b">
        <v>1</v>
      </c>
      <c r="B1037" s="5" t="s">
        <v>1083</v>
      </c>
      <c r="C1037" s="7" t="str">
        <f>IFERROR(__xludf.DUMMYFUNCTION("""COMPUTED_VALUE"""),"10.1109/RE.2013.6636715")</f>
        <v>10.1109/RE.2013.6636715</v>
      </c>
      <c r="D1037" s="7" t="str">
        <f>IFERROR(__xludf.DUMMYFUNCTION("""COMPUTED_VALUE"""),"Nakagawa H.; Ohsuga A.; Honiden S.")</f>
        <v>Nakagawa H.; Ohsuga A.; Honiden S.</v>
      </c>
      <c r="E1037" s="7" t="str">
        <f>IFERROR(__xludf.DUMMYFUNCTION("""COMPUTED_VALUE"""),"A goal model elaboration for localizing changes in software evolution")</f>
        <v>A goal model elaboration for localizing changes in software evolution</v>
      </c>
      <c r="F1037" s="7" t="str">
        <f>IFERROR(__xludf.DUMMYFUNCTION("""COMPUTED_VALUE"""),"RE")</f>
        <v>RE</v>
      </c>
      <c r="G1037" s="7" t="str">
        <f>IFERROR(__xludf.DUMMYFUNCTION("""COMPUTED_VALUE"""),"Software evolution is an essential activity that adapts existing software to changes in requirements. Localizing the impact of changes is one of the most efficient strategies for successful evolution. We exploit requirements descriptions in order to extra"&amp;"ct loosely coupled components and localize changes for evolution. We define a process of elaboration for the goal model that extracts a set of control loops from the requirements descriptions as components that constitute extensible systems. We regard con"&amp;"trol loops to be independent components that prevent the impact of a change from spreading outside them. To support the elaboration, we introduce two patterns: one to extract control loops from the goal model and another to detect possible conflicts betwe"&amp;"en control loops. We experimentally evaluated our approach in two types of software development and the results demonstrate that our elaboration technique helps us to analyze the impact of changes in the source code and prevent the complexity of the code "&amp;"from increasing. © 2013 IEEE.")</f>
        <v>Software evolution is an essential activity that adapts existing software to changes in requirements. Localizing the impact of changes is one of the most efficient strategies for successful evolution. We exploit requirements descriptions in order to extract loosely coupled components and localize changes for evolution. We define a process of elaboration for the goal model that extracts a set of control loops from the requirements descriptions as components that constitute extensible systems. We regard control loops to be independent components that prevent the impact of a change from spreading outside them. To support the elaboration, we introduce two patterns: one to extract control loops from the goal model and another to detect possible conflicts between control loops. We experimentally evaluated our approach in two types of software development and the results demonstrate that our elaboration technique helps us to analyze the impact of changes in the source code and prevent the complexity of the code from increasing. © 2013 IEEE.</v>
      </c>
      <c r="H1037" s="7" t="str">
        <f>IFERROR(__xludf.DUMMYFUNCTION("""COMPUTED_VALUE"""),"Control loops; Elaboration techniques; Goal modeling; Software evolution")</f>
        <v>Control loops; Elaboration techniques; Goal modeling; Software evolution</v>
      </c>
      <c r="I1037" s="10" t="b">
        <v>0</v>
      </c>
      <c r="J1037" s="10" t="b">
        <v>0</v>
      </c>
      <c r="K1037" s="10" t="b">
        <v>0</v>
      </c>
      <c r="L1037" s="10" t="b">
        <v>0</v>
      </c>
      <c r="M1037" s="10" t="b">
        <v>0</v>
      </c>
      <c r="N1037" s="10" t="b">
        <v>0</v>
      </c>
      <c r="O1037" s="11" t="b">
        <f t="shared" si="1"/>
        <v>0</v>
      </c>
      <c r="P1037" s="16" t="b">
        <v>0</v>
      </c>
      <c r="Q1037" s="7"/>
    </row>
    <row r="1038">
      <c r="A1038" s="5" t="b">
        <v>1</v>
      </c>
      <c r="B1038" s="5" t="s">
        <v>1084</v>
      </c>
      <c r="C1038" s="7" t="str">
        <f>IFERROR(__xludf.DUMMYFUNCTION("""COMPUTED_VALUE"""),"10.1109/RE.2017.82")</f>
        <v>10.1109/RE.2017.82</v>
      </c>
      <c r="D1038" s="7" t="str">
        <f>IFERROR(__xludf.DUMMYFUNCTION("""COMPUTED_VALUE"""),"Kurtanovic Z.; Maalej W.")</f>
        <v>Kurtanovic Z.; Maalej W.</v>
      </c>
      <c r="E1038" s="7" t="str">
        <f>IFERROR(__xludf.DUMMYFUNCTION("""COMPUTED_VALUE"""),"Automatically Classifying Functional and Non-functional Requirements Using Supervised Machine Learning")</f>
        <v>Automatically Classifying Functional and Non-functional Requirements Using Supervised Machine Learning</v>
      </c>
      <c r="F1038" s="7" t="str">
        <f>IFERROR(__xludf.DUMMYFUNCTION("""COMPUTED_VALUE"""),"RE")</f>
        <v>RE</v>
      </c>
      <c r="G1038" s="7" t="str">
        <f>IFERROR(__xludf.DUMMYFUNCTION("""COMPUTED_VALUE"""),"In this paper, we take up the second RE17 data challenge: The identification of requirements types using the 'Quality attributes (NFR)' dataset provided. We studied how accurately we can automatically classify requirements as functional (FR) and non-funct"&amp;"ional (NFR) in the dataset with supervised machine learning. Furthermore, we assessed how accurately we can identify various types of NFRs, in particular usability, security, operational, and performance requirements. We developed and evaluated a supervis"&amp;"ed machine learning approach employing meta-data, lexical, and syntactical features. We employed under-and over-sampling strategies to handle the imbalanced classes in the dataset and cross-validated the classifiers using precision, recall, and F1 metrics"&amp;" in a series of experiments based on the Support Vector Machine classifier algorithm. We achieve a precision and recall up to ~92% for automatically identifying FRs and NFRs. For the identification of specific NFRs, we achieve the highest precision and re"&amp;"call for security and performance NFRs with ~92% precision and ~90% recall. We discuss the most discriminating features of FRs and NFRs as well as the sampling strategies used with an additional dataset and their impact on the classification accuracy. © 2"&amp;"017 IEEE.")</f>
        <v>In this paper, we take up the second RE17 data challenge: The identification of requirements types using the 'Quality attributes (NFR)' dataset provided. We studied how accurately we can automatically classify requirements as functional (FR) and non-functional (NFR) in the dataset with supervised machine learning. Furthermore, we assessed how accurately we can identify various types of NFRs, in particular usability, security, operational, and performance requirements. We developed and evaluated a supervised machine learning approach employing meta-data, lexical, and syntactical features. We employed under-and over-sampling strategies to handle the imbalanced classes in the dataset and cross-validated the classifiers using precision, recall, and F1 metrics in a series of experiments based on the Support Vector Machine classifier algorithm. We achieve a precision and recall up to ~92% for automatically identifying FRs and NFRs. For the identification of specific NFRs, we achieve the highest precision and recall for security and performance NFRs with ~92% precision and ~90% recall. We discuss the most discriminating features of FRs and NFRs as well as the sampling strategies used with an additional dataset and their impact on the classification accuracy. © 2017 IEEE.</v>
      </c>
      <c r="H1038" s="7" t="str">
        <f>IFERROR(__xludf.DUMMYFUNCTION("""COMPUTED_VALUE"""),"Classification; Imbalanced Data; Machine Learning; Requirements")</f>
        <v>Classification; Imbalanced Data; Machine Learning; Requirements</v>
      </c>
      <c r="I1038" s="10" t="b">
        <v>0</v>
      </c>
      <c r="J1038" s="10" t="b">
        <v>0</v>
      </c>
      <c r="K1038" s="10" t="b">
        <v>0</v>
      </c>
      <c r="L1038" s="10" t="b">
        <v>0</v>
      </c>
      <c r="M1038" s="10" t="b">
        <v>0</v>
      </c>
      <c r="N1038" s="10" t="b">
        <v>0</v>
      </c>
      <c r="O1038" s="11" t="b">
        <f t="shared" si="1"/>
        <v>0</v>
      </c>
      <c r="P1038" s="16" t="b">
        <v>0</v>
      </c>
      <c r="Q1038" s="7"/>
    </row>
    <row r="1039">
      <c r="A1039" s="5" t="b">
        <v>1</v>
      </c>
      <c r="B1039" s="5" t="s">
        <v>1085</v>
      </c>
      <c r="C1039" s="7" t="str">
        <f>IFERROR(__xludf.DUMMYFUNCTION("""COMPUTED_VALUE"""),"10.1109/RE57278.2023.00025")</f>
        <v>10.1109/RE57278.2023.00025</v>
      </c>
      <c r="D1039" s="7" t="str">
        <f>IFERROR(__xludf.DUMMYFUNCTION("""COMPUTED_VALUE"""),"Jain C.; Anish P.R.; Singh A.; Ghaisas S.")</f>
        <v>Jain C.; Anish P.R.; Singh A.; Ghaisas S.</v>
      </c>
      <c r="E1039" s="7" t="str">
        <f>IFERROR(__xludf.DUMMYFUNCTION("""COMPUTED_VALUE"""),"A Transformer-based Approach for Abstractive Summarization of Requirements from Obligations in Software Engineering Contracts")</f>
        <v>A Transformer-based Approach for Abstractive Summarization of Requirements from Obligations in Software Engineering Contracts</v>
      </c>
      <c r="F1039" s="7" t="str">
        <f>IFERROR(__xludf.DUMMYFUNCTION("""COMPUTED_VALUE"""),"RE")</f>
        <v>RE</v>
      </c>
      <c r="G1039" s="7" t="str">
        <f>IFERROR(__xludf.DUMMYFUNCTION("""COMPUTED_VALUE"""),"Software Engineering (SE) contracts are a valuable source of software requirements. Seed requirements derived from SE contracts can provide a starting point to the Requirements Engineering (RE) phase. To extract such a seed however, a correct interpretati"&amp;"on of contracts text is crucial. A major challenge with contracts text interpretation is that the text is lengthy, convoluted, and it incorporates a complex Legalese. If a summary of the high-level requirements from obligations present in SE contracts is "&amp;"available to the requirement analysts in a language that is comprehensible to them, they can use this seed requirements knowledge to ask the right questions to the stakeholders. In this paper, we propose an approach for summarizing the requirements presen"&amp;"t in obligations in a language comprehensible to requirement analysts. We use the principles of Prompt Engineering to prompt GPT-3 to generate summaries for training Natural Language Generation (NLG) models for generating SE-specific summaries. Experiment"&amp;"s using NLG models such as BART, GPT-2, T5, and Pegasus indicate that Pegasus generates the most accurate summaries with the highest ROUGE score as compared to other models.  © 2023 IEEE.")</f>
        <v>Software Engineering (SE) contracts are a valuable source of software requirements. Seed requirements derived from SE contracts can provide a starting point to the Requirements Engineering (RE) phase. To extract such a seed however, a correct interpretation of contracts text is crucial. A major challenge with contracts text interpretation is that the text is lengthy, convoluted, and it incorporates a complex Legalese. If a summary of the high-level requirements from obligations present in SE contracts is available to the requirement analysts in a language that is comprehensible to them, they can use this seed requirements knowledge to ask the right questions to the stakeholders. In this paper, we propose an approach for summarizing the requirements present in obligations in a language comprehensible to requirement analysts. We use the principles of Prompt Engineering to prompt GPT-3 to generate summaries for training Natural Language Generation (NLG) models for generating SE-specific summaries. Experiments using NLG models such as BART, GPT-2, T5, and Pegasus indicate that Pegasus generates the most accurate summaries with the highest ROUGE score as compared to other models.  © 2023 IEEE.</v>
      </c>
      <c r="H1039" s="7" t="str">
        <f>IFERROR(__xludf.DUMMYFUNCTION("""COMPUTED_VALUE"""),"Abstractive Summarization; Large Language Models; Prompt Engineering; Requirements Engineering; Software Engineering Contracts; Software Requirements")</f>
        <v>Abstractive Summarization; Large Language Models; Prompt Engineering; Requirements Engineering; Software Engineering Contracts; Software Requirements</v>
      </c>
      <c r="I1039" s="10" t="b">
        <v>0</v>
      </c>
      <c r="J1039" s="10" t="b">
        <v>0</v>
      </c>
      <c r="K1039" s="10" t="b">
        <v>0</v>
      </c>
      <c r="L1039" s="10" t="b">
        <v>0</v>
      </c>
      <c r="M1039" s="10" t="b">
        <v>0</v>
      </c>
      <c r="N1039" s="10" t="b">
        <v>0</v>
      </c>
      <c r="O1039" s="11" t="b">
        <f t="shared" si="1"/>
        <v>0</v>
      </c>
      <c r="P1039" s="16" t="b">
        <v>0</v>
      </c>
      <c r="Q1039" s="7"/>
    </row>
    <row r="1040">
      <c r="A1040" s="5" t="b">
        <v>1</v>
      </c>
      <c r="B1040" s="5" t="s">
        <v>1086</v>
      </c>
      <c r="C1040" s="7" t="str">
        <f>IFERROR(__xludf.DUMMYFUNCTION("""COMPUTED_VALUE"""),"10.1109/RE57278.2023.00045")</f>
        <v>10.1109/RE57278.2023.00045</v>
      </c>
      <c r="D1040" s="7" t="str">
        <f>IFERROR(__xludf.DUMMYFUNCTION("""COMPUTED_VALUE"""),"Fantechi A.; Gnesi S.; Passaro L.; Semini L.")</f>
        <v>Fantechi A.; Gnesi S.; Passaro L.; Semini L.</v>
      </c>
      <c r="E1040" s="7" t="str">
        <f>IFERROR(__xludf.DUMMYFUNCTION("""COMPUTED_VALUE"""),"Inconsistency Detection in Natural Language Requirements using ChatGPT: a Preliminary Evaluation")</f>
        <v>Inconsistency Detection in Natural Language Requirements using ChatGPT: a Preliminary Evaluation</v>
      </c>
      <c r="F1040" s="7" t="str">
        <f>IFERROR(__xludf.DUMMYFUNCTION("""COMPUTED_VALUE"""),"RE")</f>
        <v>RE</v>
      </c>
      <c r="G1040" s="7" t="str">
        <f>IFERROR(__xludf.DUMMYFUNCTION("""COMPUTED_VALUE"""),"With the rapid advancement of tools based on Artificial Intelligence, it is interesting to assess their usefulness in requirements engineering. In early experiments, we have seen that ChatGPT can detect inconsistency defects in natural language (NL) requi"&amp;"rements, that traditional NLP tools cannot identify or can identify with difficulties even after domain-focused training. This study is devoted to specifically measuring the performance of ChatGPT in finding inconsistency in requirements. Positive results"&amp;" in this respect could lead to the use of ChatGPT to complement existing requirements analysis tools to automatically detect this important quality criterion. For this purpose, we consider GPT-3.5, the Generative Pretrained Transformer language model deve"&amp;"loped by OpenAI. We evaluate its ability to detect inconsistency by comparing its predictions with those obtained from expert judgments by students with a proven knowledge of RE issues on a few example requirements documents.  © 2023 IEEE.")</f>
        <v>With the rapid advancement of tools based on Artificial Intelligence, it is interesting to assess their usefulness in requirements engineering. In early experiments, we have seen that ChatGPT can detect inconsistency defects in natural language (NL) requirements, that traditional NLP tools cannot identify or can identify with difficulties even after domain-focused training. This study is devoted to specifically measuring the performance of ChatGPT in finding inconsistency in requirements. Positive results in this respect could lead to the use of ChatGPT to complement existing requirements analysis tools to automatically detect this important quality criterion. For this purpose, we consider GPT-3.5, the Generative Pretrained Transformer language model developed by OpenAI. We evaluate its ability to detect inconsistency by comparing its predictions with those obtained from expert judgments by students with a proven knowledge of RE issues on a few example requirements documents.  © 2023 IEEE.</v>
      </c>
      <c r="H1040" s="7" t="str">
        <f>IFERROR(__xludf.DUMMYFUNCTION("""COMPUTED_VALUE"""),"ChatGPT; Inconsistency Detection; Natural Language Requirements")</f>
        <v>ChatGPT; Inconsistency Detection; Natural Language Requirements</v>
      </c>
      <c r="I1040" s="10" t="b">
        <v>0</v>
      </c>
      <c r="J1040" s="10" t="b">
        <v>0</v>
      </c>
      <c r="K1040" s="10" t="b">
        <v>0</v>
      </c>
      <c r="L1040" s="10" t="b">
        <v>0</v>
      </c>
      <c r="M1040" s="10" t="b">
        <v>0</v>
      </c>
      <c r="N1040" s="10" t="b">
        <v>0</v>
      </c>
      <c r="O1040" s="11" t="b">
        <f t="shared" si="1"/>
        <v>0</v>
      </c>
      <c r="P1040" s="16" t="b">
        <v>0</v>
      </c>
      <c r="Q1040" s="7"/>
    </row>
    <row r="1041">
      <c r="A1041" s="5" t="b">
        <v>1</v>
      </c>
      <c r="B1041" s="5" t="s">
        <v>1087</v>
      </c>
      <c r="C1041" s="7" t="str">
        <f>IFERROR(__xludf.DUMMYFUNCTION("""COMPUTED_VALUE"""),"10.1109/RE.2017.29")</f>
        <v>10.1109/RE.2017.29</v>
      </c>
      <c r="D1041" s="7" t="str">
        <f>IFERROR(__xludf.DUMMYFUNCTION("""COMPUTED_VALUE"""),"Ferrari A.; Spagnolo G.O.; Gnesi S.")</f>
        <v>Ferrari A.; Spagnolo G.O.; Gnesi S.</v>
      </c>
      <c r="E1041" s="7" t="str">
        <f>IFERROR(__xludf.DUMMYFUNCTION("""COMPUTED_VALUE"""),"PURE: A Dataset of Public Requirements Documents")</f>
        <v>PURE: A Dataset of Public Requirements Documents</v>
      </c>
      <c r="F1041" s="7" t="str">
        <f>IFERROR(__xludf.DUMMYFUNCTION("""COMPUTED_VALUE"""),"RE")</f>
        <v>RE</v>
      </c>
      <c r="G1041" s="7" t="str">
        <f>IFERROR(__xludf.DUMMYFUNCTION("""COMPUTED_VALUE"""),"This paper presents PURE (PUblic REquirements dataset), a dataset of 79 publicly available natural language requirements documents collected from the Web. The dataset includes 34,268 sentences and can be used for natural language processing tasks that are"&amp;" typical in requirements engineering, such as model synthesis, abstraction identification and document structure assessment. It can be further annotated to work as a benchmark for other tasks, such as ambiguity detection, requirements categorisation and i"&amp;"dentification of equivalent re-quirements. In the paper, we present the dataset and we compare its language with generic English texts, showing the peculiarities of the requirements jargon, made of a restricted vocabulary of domain-specific acronyms and w"&amp;"ords, and long sentences. We also present the common XML format to which we have manually ported a subset of the documents, with the goal of facilitating replication of NLP experiments. © 2017 IEEE.")</f>
        <v>This paper presents PURE (PUblic REquirements dataset), a dataset of 79 publicly available natural language requirements documents collected from the Web. The dataset includes 34,268 sentences and can be used for natural language processing tasks that are typical in requirements engineering, such as model synthesis, abstraction identification and document structure assessment. It can be further annotated to work as a benchmark for other tasks, such as ambiguity detection, requirements categorisation and identification of equivalent re-quirements. In the paper, we present the dataset and we compare its language with generic English texts, showing the peculiarities of the requirements jargon, made of a restricted vocabulary of domain-specific acronyms and words, and long sentences. We also present the common XML format to which we have manually ported a subset of the documents, with the goal of facilitating replication of NLP experiments. © 2017 IEEE.</v>
      </c>
      <c r="H1041" s="7" t="str">
        <f>IFERROR(__xludf.DUMMYFUNCTION("""COMPUTED_VALUE"""),"Empirical Software Engineering; Empirical Studies; Model Synthesis; Natural Language Requirements; NLP; NLP Tasks; Public Requirements; PURE; Requirements Abstraction; Requirements Ambiguity Detection; Requirements Categorisation; Requirements Dataset; XM"&amp;"L")</f>
        <v>Empirical Software Engineering; Empirical Studies; Model Synthesis; Natural Language Requirements; NLP; NLP Tasks; Public Requirements; PURE; Requirements Abstraction; Requirements Ambiguity Detection; Requirements Categorisation; Requirements Dataset; XML</v>
      </c>
      <c r="I1041" s="10" t="b">
        <v>0</v>
      </c>
      <c r="J1041" s="10" t="b">
        <v>0</v>
      </c>
      <c r="K1041" s="10" t="b">
        <v>0</v>
      </c>
      <c r="L1041" s="10" t="b">
        <v>0</v>
      </c>
      <c r="M1041" s="10" t="b">
        <v>0</v>
      </c>
      <c r="N1041" s="10" t="b">
        <v>0</v>
      </c>
      <c r="O1041" s="11" t="b">
        <f t="shared" si="1"/>
        <v>0</v>
      </c>
      <c r="P1041" s="16" t="b">
        <v>0</v>
      </c>
      <c r="Q1041" s="7"/>
    </row>
    <row r="1042">
      <c r="A1042" s="5" t="b">
        <v>1</v>
      </c>
      <c r="B1042" s="5" t="s">
        <v>1088</v>
      </c>
      <c r="C1042" s="7" t="str">
        <f>IFERROR(__xludf.DUMMYFUNCTION("""COMPUTED_VALUE"""),"10.1109/RE.2012.6345796")</f>
        <v>10.1109/RE.2012.6345796</v>
      </c>
      <c r="D1042" s="7" t="str">
        <f>IFERROR(__xludf.DUMMYFUNCTION("""COMPUTED_VALUE"""),"Fu L.; Peng X.; Yu Y.; Mylopoulos J.; Zhao W.")</f>
        <v>Fu L.; Peng X.; Yu Y.; Mylopoulos J.; Zhao W.</v>
      </c>
      <c r="E1042" s="7" t="str">
        <f>IFERROR(__xludf.DUMMYFUNCTION("""COMPUTED_VALUE"""),"Stateful requirements monitoring for self-repairing socio-technical systems")</f>
        <v>Stateful requirements monitoring for self-repairing socio-technical systems</v>
      </c>
      <c r="F1042" s="7" t="str">
        <f>IFERROR(__xludf.DUMMYFUNCTION("""COMPUTED_VALUE"""),"RE")</f>
        <v>RE</v>
      </c>
      <c r="G1042" s="7" t="str">
        <f>IFERROR(__xludf.DUMMYFUNCTION("""COMPUTED_VALUE"""),"Socio-technical systems consist of human, hardware and software components that work in tandem to fulfill stakeholder requirements. By their very nature, such systems operate under uncertainty as components fail, humans act in unpredictable ways, and the "&amp;"environment of the system changes. Self-repair refers to the ability of such systems to restore fulfillment of their requirements by relying on monitoring, reasoning, and diagnosing on the current state of individual requirements. Self-repair is complicat"&amp;"ed by the multi-agent nature of socio-technical systems, which demands that requirements monitoring and self-repair be done in a decentralized fashion. In this paper, we propose a stateful requirements monitoring approach by maintaining an instance of a s"&amp;"tate machine for each requirement, represented as a goal, with runtime monitoring and compensation capabilities. By managing the interactions between the state machines, our approach supports hierarchical goal reasoning in both upward and downward directi"&amp;"ons. We have implemented a customizable Java framework that supports experimentation by simulating a socio-technical system. Results from our experiments suggest effective and precise support for a wide range of self-repairing decisions in a socio-technic"&amp;"al setting. © 2012 IEEE.")</f>
        <v>Socio-technical systems consist of human, hardware and software components that work in tandem to fulfill stakeholder requirements. By their very nature, such systems operate under uncertainty as components fail, humans act in unpredictable ways, and the environment of the system changes. Self-repair refers to the ability of such systems to restore fulfillment of their requirements by relying on monitoring, reasoning, and diagnosing on the current state of individual requirements. Self-repair is complicated by the multi-agent nature of socio-technical systems, which demands that requirements monitoring and self-repair be done in a decentralized fashion. In this paper, we propose a stateful requirements monitoring approach by maintaining an instance of a state machine for each requirement, represented as a goal, with runtime monitoring and compensation capabilities. By managing the interactions between the state machines, our approach supports hierarchical goal reasoning in both upward and downward directions. We have implemented a customizable Java framework that supports experimentation by simulating a socio-technical system. Results from our experiments suggest effective and precise support for a wide range of self-repairing decisions in a socio-technical setting. © 2012 IEEE.</v>
      </c>
      <c r="H1042" s="7" t="str">
        <f>IFERROR(__xludf.DUMMYFUNCTION("""COMPUTED_VALUE"""),"goal models; requirements monitoring; self-repair")</f>
        <v>goal models; requirements monitoring; self-repair</v>
      </c>
      <c r="I1042" s="10" t="b">
        <v>0</v>
      </c>
      <c r="J1042" s="10" t="b">
        <v>0</v>
      </c>
      <c r="K1042" s="10" t="b">
        <v>0</v>
      </c>
      <c r="L1042" s="10" t="b">
        <v>0</v>
      </c>
      <c r="M1042" s="10" t="b">
        <v>0</v>
      </c>
      <c r="N1042" s="10" t="b">
        <v>0</v>
      </c>
      <c r="O1042" s="11" t="b">
        <f t="shared" si="1"/>
        <v>0</v>
      </c>
      <c r="P1042" s="16" t="b">
        <v>0</v>
      </c>
      <c r="Q1042" s="7"/>
    </row>
    <row r="1043">
      <c r="A1043" s="5" t="b">
        <v>1</v>
      </c>
      <c r="B1043" s="5" t="s">
        <v>1089</v>
      </c>
      <c r="C1043" s="7" t="str">
        <f>IFERROR(__xludf.DUMMYFUNCTION("""COMPUTED_VALUE"""),"10.1109/RE57278.2023.00056")</f>
        <v>10.1109/RE57278.2023.00056</v>
      </c>
      <c r="D1043" s="7" t="str">
        <f>IFERROR(__xludf.DUMMYFUNCTION("""COMPUTED_VALUE"""),"Hasso H.; Grosser K.; Aymaz I.; Geppert H.; Jurjens J.")</f>
        <v>Hasso H.; Grosser K.; Aymaz I.; Geppert H.; Jurjens J.</v>
      </c>
      <c r="E1043" s="7" t="str">
        <f>IFERROR(__xludf.DUMMYFUNCTION("""COMPUTED_VALUE"""),"ILLOD Replication Package: An Open-Source Framework for Abbreviation-Expansion Pair Detection and Term Consolidation in Requirements")</f>
        <v>ILLOD Replication Package: An Open-Source Framework for Abbreviation-Expansion Pair Detection and Term Consolidation in Requirements</v>
      </c>
      <c r="F1043" s="7" t="str">
        <f>IFERROR(__xludf.DUMMYFUNCTION("""COMPUTED_VALUE"""),"RE")</f>
        <v>RE</v>
      </c>
      <c r="G1043" s="7" t="str">
        <f>IFERROR(__xludf.DUMMYFUNCTION("""COMPUTED_VALUE"""),"ILLOD is a tool for detecting abbreviation-expansion pairs (AEPs) in requirement sets. It utilizes syntactic features such as Initial Letters, term Lengths, Order, and Distribution of characters to determine if a term is a potential long form to a given a"&amp;"bbreviation. The artifact bundles all source code and data resources to replicate evaluation results presented for ILLOD in two research papers published at the REFSQ2022 Conference and in the Information and Software Technology (IST) journal. In addition"&amp;", ILLOD can be used to detect AEPs, perform abbreviation detection, and the input data-set can be used for further research in requirements engineering or other related fields. The repository is organized into different directories containing data, Python"&amp;" sources, and notebooks for experiments and evaluations. Detailed instructions are provided to load and use the tool on a local system, and the results generated by ILLOD are stored in output files. The tool demonstrates its effectiveness in detecting AEP"&amp;"s and consolidating glossary terms, and the evaluation results provide insights into the performance of different classifiers. The artifact repository is a valuable resource for researchers and practitioners in the field of requirements engineering and re"&amp;"lated areas.  © 2023 IEEE.")</f>
        <v>ILLOD is a tool for detecting abbreviation-expansion pairs (AEPs) in requirement sets. It utilizes syntactic features such as Initial Letters, term Lengths, Order, and Distribution of characters to determine if a term is a potential long form to a given abbreviation. The artifact bundles all source code and data resources to replicate evaluation results presented for ILLOD in two research papers published at the REFSQ2022 Conference and in the Information and Software Technology (IST) journal. In addition, ILLOD can be used to detect AEPs, perform abbreviation detection, and the input data-set can be used for further research in requirements engineering or other related fields. The repository is organized into different directories containing data, Python sources, and notebooks for experiments and evaluations. Detailed instructions are provided to load and use the tool on a local system, and the results generated by ILLOD are stored in output files. The tool demonstrates its effectiveness in detecting AEPs and consolidating glossary terms, and the evaluation results provide insights into the performance of different classifiers. The artifact repository is a valuable resource for researchers and practitioners in the field of requirements engineering and related areas.  © 2023 IEEE.</v>
      </c>
      <c r="H1043" s="7" t="str">
        <f>IFERROR(__xludf.DUMMYFUNCTION("""COMPUTED_VALUE"""),"Abbreviation Data-Set; Abbreviation-Expansion Pair Detection; Glossary Term Extraction; Requirement Data-Set; Requirements Engineering; Synonym Detection")</f>
        <v>Abbreviation Data-Set; Abbreviation-Expansion Pair Detection; Glossary Term Extraction; Requirement Data-Set; Requirements Engineering; Synonym Detection</v>
      </c>
      <c r="I1043" s="10" t="b">
        <v>0</v>
      </c>
      <c r="J1043" s="10" t="b">
        <v>0</v>
      </c>
      <c r="K1043" s="10" t="b">
        <v>0</v>
      </c>
      <c r="L1043" s="10" t="b">
        <v>0</v>
      </c>
      <c r="M1043" s="10" t="b">
        <v>0</v>
      </c>
      <c r="N1043" s="10" t="b">
        <v>0</v>
      </c>
      <c r="O1043" s="11" t="b">
        <f t="shared" si="1"/>
        <v>0</v>
      </c>
      <c r="P1043" s="16" t="b">
        <v>0</v>
      </c>
      <c r="Q1043" s="7"/>
    </row>
    <row r="1044">
      <c r="A1044" s="5" t="b">
        <v>1</v>
      </c>
      <c r="B1044" s="5" t="s">
        <v>1090</v>
      </c>
      <c r="C1044" s="7"/>
      <c r="D1044" s="7"/>
      <c r="E1044" s="7" t="str">
        <f>IFERROR(__xludf.DUMMYFUNCTION("""COMPUTED_VALUE"""),"Proceedings - 2018 IEEE 26th International Requirements Engineering Conference, RE 2018")</f>
        <v>Proceedings - 2018 IEEE 26th International Requirements Engineering Conference, RE 2018</v>
      </c>
      <c r="F1044" s="7" t="str">
        <f>IFERROR(__xludf.DUMMYFUNCTION("""COMPUTED_VALUE"""),"RE")</f>
        <v>RE</v>
      </c>
      <c r="G1044" s="7" t="str">
        <f>IFERROR(__xludf.DUMMYFUNCTION("""COMPUTED_VALUE"""),"The proceedings contain 69 papers. The topics discussed include: the next release problem revisited: a new avenue for goal models; the manager perspective on requirements impact on automotive systems development speed; a qualitative study on using GuideGe"&amp;"n to keep requirements and acceptance tests aligned; enhancing automated requirements traceability by resolving polysemy; vetting automatically generated trace links: what information is useful to human analysts?; modeling user concerns in the app store: "&amp;"a case study on the rise and fall of Yik Yak; customer rating reactions can be predicted purely using app features; catalog of invisibility requirements for UbiComp and IoT applications; app review analysis via active learning: reducing supervision effort"&amp;" without compromising classification accuracy; learning from mistakes: an empirical study of elicitation interviews performed by novices; efficiency and effectiveness of requirements elicitation techniques for children; on the impact of semantic transpare"&amp;"ncy on understanding and reviewing social goal models; an experimental comparison of two navigation techniques for requirements modeling tools; towards development of complete and conflict-free requirements; requirements engineering for consensus-oriented"&amp;" technical specifications; integrating requirements specification and model-based testing in agile development; and assessment of safety processes in requirements engineering.")</f>
        <v>The proceedings contain 69 papers. The topics discussed include: the next release problem revisited: a new avenue for goal models; the manager perspective on requirements impact on automotive systems development speed; a qualitative study on using GuideGen to keep requirements and acceptance tests aligned; enhancing automated requirements traceability by resolving polysemy; vetting automatically generated trace links: what information is useful to human analysts?; modeling user concerns in the app store: a case study on the rise and fall of Yik Yak; customer rating reactions can be predicted purely using app features; catalog of invisibility requirements for UbiComp and IoT applications; app review analysis via active learning: reducing supervision effort without compromising classification accuracy; learning from mistakes: an empirical study of elicitation interviews performed by novices; efficiency and effectiveness of requirements elicitation techniques for children; on the impact of semantic transparency on understanding and reviewing social goal models; an experimental comparison of two navigation techniques for requirements modeling tools; towards development of complete and conflict-free requirements; requirements engineering for consensus-oriented technical specifications; integrating requirements specification and model-based testing in agile development; and assessment of safety processes in requirements engineering.</v>
      </c>
      <c r="H1044" s="7"/>
      <c r="I1044" s="10" t="b">
        <v>0</v>
      </c>
      <c r="J1044" s="10" t="b">
        <v>0</v>
      </c>
      <c r="K1044" s="10" t="b">
        <v>0</v>
      </c>
      <c r="L1044" s="10" t="b">
        <v>0</v>
      </c>
      <c r="M1044" s="10" t="b">
        <v>0</v>
      </c>
      <c r="N1044" s="10" t="b">
        <v>0</v>
      </c>
      <c r="O1044" s="11" t="b">
        <f t="shared" si="1"/>
        <v>0</v>
      </c>
      <c r="P1044" s="16" t="b">
        <v>0</v>
      </c>
      <c r="Q1044" s="7"/>
    </row>
    <row r="1045">
      <c r="A1045" s="5" t="b">
        <v>1</v>
      </c>
      <c r="B1045" s="5" t="s">
        <v>1091</v>
      </c>
      <c r="C1045" s="7" t="str">
        <f>IFERROR(__xludf.DUMMYFUNCTION("""COMPUTED_VALUE"""),"10.1109/RE.2016.51")</f>
        <v>10.1109/RE.2016.51</v>
      </c>
      <c r="D1045" s="7" t="str">
        <f>IFERROR(__xludf.DUMMYFUNCTION("""COMPUTED_VALUE"""),"Santos M.; Gralha C.; Goulão M.; Araújo J.; Moreira A.; Cambeiro J.")</f>
        <v>Santos M.; Gralha C.; Goulão M.; Araújo J.; Moreira A.; Cambeiro J.</v>
      </c>
      <c r="E1045" s="7" t="str">
        <f>IFERROR(__xludf.DUMMYFUNCTION("""COMPUTED_VALUE"""),"What is the Impact of Bad Layout in the Understandability of Social Goal Models?")</f>
        <v>What is the Impact of Bad Layout in the Understandability of Social Goal Models?</v>
      </c>
      <c r="F1045" s="7" t="str">
        <f>IFERROR(__xludf.DUMMYFUNCTION("""COMPUTED_VALUE"""),"RE")</f>
        <v>RE</v>
      </c>
      <c r="G1045" s="7" t="str">
        <f>IFERROR(__xludf.DUMMYFUNCTION("""COMPUTED_VALUE"""),"The i∗ community has published guidelines, including model layout guidelines, for the construction of models. Our goal is to evaluate the effect of the layout guidelines on the i∗ novice stakeholders' ability to understand and review i∗ models. We perform"&amp;"ed a quasi-experiment where participants were given two understanding and two reviewing tasks. Both tasks involved a model with a bad layout and another model following the i∗ layout guidelines. We evaluated the impact of layouts by combining the success "&amp;"level in those tasks and the required effort to accomplish them. Effort was assessed using time, perceived complexity (with NASA TLX), and eye-tracking data. Participants were more successful in understanding than in reviewing tasks. However, we found no "&amp;"statistically significant difference in the success, time taken, or perceived complexity, between tasks conducted with models with a bad layout and models with a good layout. Most participants had little to no prior knowledge in i∗, making them more repre"&amp;"sentative of stakeholders with no requirements engineering expertise. They were able to understand the models fairly well after a short tutorial, but struggled when reviewing models. In the end, adherence to the existing i∗ layout guidelines did not signi"&amp;"ficantly impact i∗ model understanding and reviewing performance. © 2016 IEEE.")</f>
        <v>The i∗ community has published guidelines, including model layout guidelines, for the construction of models. Our goal is to evaluate the effect of the layout guidelines on the i∗ novice stakeholders' ability to understand and review i∗ models. We performed a quasi-experiment where participants were given two understanding and two reviewing tasks. Both tasks involved a model with a bad layout and another model following the i∗ layout guidelines. We evaluated the impact of layouts by combining the success level in those tasks and the required effort to accomplish them. Effort was assessed using time, perceived complexity (with NASA TLX), and eye-tracking data. Participants were more successful in understanding than in reviewing tasks. However, we found no statistically significant difference in the success, time taken, or perceived complexity, between tasks conducted with models with a bad layout and models with a good layout. Most participants had little to no prior knowledge in i∗, making them more representative of stakeholders with no requirements engineering expertise. They were able to understand the models fairly well after a short tutorial, but struggled when reviewing models. In the end, adherence to the existing i∗ layout guidelines did not significantly impact i∗ model understanding and reviewing performance. © 2016 IEEE.</v>
      </c>
      <c r="H1045" s="7" t="str">
        <f>IFERROR(__xludf.DUMMYFUNCTION("""COMPUTED_VALUE"""),"complexity; diagram layout; eye-tracking; i∗; social goal models")</f>
        <v>complexity; diagram layout; eye-tracking; i∗; social goal models</v>
      </c>
      <c r="I1045" s="9" t="b">
        <v>1</v>
      </c>
      <c r="J1045" s="9" t="b">
        <v>1</v>
      </c>
      <c r="K1045" s="9" t="b">
        <v>1</v>
      </c>
      <c r="L1045" s="10" t="b">
        <v>0</v>
      </c>
      <c r="M1045" s="10" t="b">
        <v>0</v>
      </c>
      <c r="N1045" s="10" t="b">
        <v>0</v>
      </c>
      <c r="O1045" s="11" t="b">
        <f t="shared" si="1"/>
        <v>1</v>
      </c>
      <c r="P1045" s="16" t="b">
        <v>0</v>
      </c>
      <c r="Q1045" s="7"/>
    </row>
    <row r="1046">
      <c r="A1046" s="5" t="b">
        <v>1</v>
      </c>
      <c r="B1046" s="5" t="s">
        <v>1092</v>
      </c>
      <c r="C1046" s="7" t="str">
        <f>IFERROR(__xludf.DUMMYFUNCTION("""COMPUTED_VALUE"""),"10.1109/RE.2006.31")</f>
        <v>10.1109/RE.2006.31</v>
      </c>
      <c r="D1046" s="7" t="str">
        <f>IFERROR(__xludf.DUMMYFUNCTION("""COMPUTED_VALUE"""),"Chantree F.; Nuseibeh B.; De Roeck A.; Willis A.")</f>
        <v>Chantree F.; Nuseibeh B.; De Roeck A.; Willis A.</v>
      </c>
      <c r="E1046" s="7" t="str">
        <f>IFERROR(__xludf.DUMMYFUNCTION("""COMPUTED_VALUE"""),"Identifying nocuous ambiguities in natural language requirements")</f>
        <v>Identifying nocuous ambiguities in natural language requirements</v>
      </c>
      <c r="F1046" s="7" t="str">
        <f>IFERROR(__xludf.DUMMYFUNCTION("""COMPUTED_VALUE"""),"RE")</f>
        <v>RE</v>
      </c>
      <c r="G1046" s="7" t="str">
        <f>IFERROR(__xludf.DUMMYFUNCTION("""COMPUTED_VALUE"""),"We present a novel technique that automatically alerts authors of requirements to the presence of potentially dangerous ambiguities. We first establish the notion of nocuous ambiguities, which are those that are likely to lead to misunderstandings. We tes"&amp;"t our approach on coordination ambiguities, which occur when words such as and and or are used. Our starting point is a dataset of ambiguous phrases from a requirements corpus and associated human judgements about their interpretation. We then use heurist"&amp;"ics, based largely on word distribution information, to automatically replicate these judgements. The heuristics eliminate ambiguities which people interpret easily, leaving the nocuous ones to be analysed and rewritten by hand. We report on a series of e"&amp;"xperiments that evaluate our heuristics' performance against the human judgements. Many of our heuristics achieve high precision, and recall is greatly increased when they are used in combination. © 2006 IEEE.")</f>
        <v>We present a novel technique that automatically alerts authors of requirements to the presence of potentially dangerous ambiguities. We first establish the notion of nocuous ambiguities, which are those that are likely to lead to misunderstandings. We test our approach on coordination ambiguities, which occur when words such as and and or are used. Our starting point is a dataset of ambiguous phrases from a requirements corpus and associated human judgements about their interpretation. We then use heuristics, based largely on word distribution information, to automatically replicate these judgements. The heuristics eliminate ambiguities which people interpret easily, leaving the nocuous ones to be analysed and rewritten by hand. We report on a series of experiments that evaluate our heuristics' performance against the human judgements. Many of our heuristics achieve high precision, and recall is greatly increased when they are used in combination. © 2006 IEEE.</v>
      </c>
      <c r="H1046" s="7"/>
      <c r="I1046" s="10" t="b">
        <v>0</v>
      </c>
      <c r="J1046" s="10" t="b">
        <v>0</v>
      </c>
      <c r="K1046" s="10" t="b">
        <v>0</v>
      </c>
      <c r="L1046" s="10" t="b">
        <v>0</v>
      </c>
      <c r="M1046" s="10" t="b">
        <v>0</v>
      </c>
      <c r="N1046" s="10" t="b">
        <v>0</v>
      </c>
      <c r="O1046" s="11" t="b">
        <f t="shared" si="1"/>
        <v>0</v>
      </c>
      <c r="P1046" s="16" t="b">
        <v>0</v>
      </c>
      <c r="Q1046" s="7"/>
    </row>
    <row r="1047">
      <c r="A1047" s="5" t="b">
        <v>1</v>
      </c>
      <c r="B1047" s="5" t="s">
        <v>1093</v>
      </c>
      <c r="C1047" s="7" t="str">
        <f>IFERROR(__xludf.DUMMYFUNCTION("""COMPUTED_VALUE"""),"10.1109/RE.2019.00045")</f>
        <v>10.1109/RE.2019.00045</v>
      </c>
      <c r="D1047" s="7" t="str">
        <f>IFERROR(__xludf.DUMMYFUNCTION("""COMPUTED_VALUE"""),"Rietz T.; Maedche A.")</f>
        <v>Rietz T.; Maedche A.</v>
      </c>
      <c r="E1047" s="7" t="str">
        <f>IFERROR(__xludf.DUMMYFUNCTION("""COMPUTED_VALUE"""),"LadderBot: A requirements self-elicitation system")</f>
        <v>LadderBot: A requirements self-elicitation system</v>
      </c>
      <c r="F1047" s="7" t="str">
        <f>IFERROR(__xludf.DUMMYFUNCTION("""COMPUTED_VALUE"""),"RE")</f>
        <v>RE</v>
      </c>
      <c r="G1047" s="7" t="str">
        <f>IFERROR(__xludf.DUMMYFUNCTION("""COMPUTED_VALUE"""),"[Context] Digital transformation impacts an ever-increasing amount of everyone's business and private life. It is imperative to incorporate user requirements in the development process to design successful information systems (IS). Hence, requirements eli"&amp;"citation (RE) is increasingly performed by users that are novices at contributing requirements to IS development projects. [Objective] We need to develop RE systems that are capable of assisting a wide audience of users in communicating their needs and re"&amp;"quirements. Prominent methods, such as elicitation interviews, are challenging to apply in such a context, as time and location constraints limit potential audiences. [Research Method] We present the prototypical self-elicitation system 'LadderBot'. A con"&amp;"versational agent (CA) enables end-users to articulate needs and requirements on the grounds of the laddering method. The CA mimics a human (expert) interviewer's capability to rephrase questions and provide assistance in the process. An experimental stud"&amp;"y is proposed to evaluate LadderBot against an established questionnaire-based laddering approach. [Contribution] This work-in-progress introduces the chatbot LadderBot as a tool to guide novice users during requirements self-elicitation using the ladderi"&amp;"ng technique. Furthermore, we present the design of an experimental study and outline the next steps and a vision for the future. © 2019 IEEE.")</f>
        <v>[Context] Digital transformation impacts an ever-increasing amount of everyone's business and private life. It is imperative to incorporate user requirements in the development process to design successful information systems (IS). Hence, requirements elicitation (RE) is increasingly performed by users that are novices at contributing requirements to IS development projects. [Objective] We need to develop RE systems that are capable of assisting a wide audience of users in communicating their needs and requirements. Prominent methods, such as elicitation interviews, are challenging to apply in such a context, as time and location constraints limit potential audiences. [Research Method] We present the prototypical self-elicitation system 'LadderBot'. A conversational agent (CA) enables end-users to articulate needs and requirements on the grounds of the laddering method. The CA mimics a human (expert) interviewer's capability to rephrase questions and provide assistance in the process. An experimental study is proposed to evaluate LadderBot against an established questionnaire-based laddering approach. [Contribution] This work-in-progress introduces the chatbot LadderBot as a tool to guide novice users during requirements self-elicitation using the laddering technique. Furthermore, we present the design of an experimental study and outline the next steps and a vision for the future. © 2019 IEEE.</v>
      </c>
      <c r="H1047" s="7" t="str">
        <f>IFERROR(__xludf.DUMMYFUNCTION("""COMPUTED_VALUE"""),"Conversational Agent; Laddering; Requirements Elicitation; Self-Elicitation; User; Wide Audience")</f>
        <v>Conversational Agent; Laddering; Requirements Elicitation; Self-Elicitation; User; Wide Audience</v>
      </c>
      <c r="I1047" s="10" t="b">
        <v>0</v>
      </c>
      <c r="J1047" s="10" t="b">
        <v>0</v>
      </c>
      <c r="K1047" s="10" t="b">
        <v>0</v>
      </c>
      <c r="L1047" s="10" t="b">
        <v>0</v>
      </c>
      <c r="M1047" s="10" t="b">
        <v>0</v>
      </c>
      <c r="N1047" s="10" t="b">
        <v>0</v>
      </c>
      <c r="O1047" s="11" t="b">
        <f t="shared" si="1"/>
        <v>0</v>
      </c>
      <c r="P1047" s="16" t="b">
        <v>0</v>
      </c>
      <c r="Q1047" s="7"/>
    </row>
    <row r="1048">
      <c r="A1048" s="5" t="b">
        <v>1</v>
      </c>
      <c r="B1048" s="5" t="s">
        <v>1094</v>
      </c>
      <c r="C1048" s="7" t="str">
        <f>IFERROR(__xludf.DUMMYFUNCTION("""COMPUTED_VALUE"""),"10.1109/RE57278.2023.00019")</f>
        <v>10.1109/RE57278.2023.00019</v>
      </c>
      <c r="D1048" s="7" t="str">
        <f>IFERROR(__xludf.DUMMYFUNCTION("""COMPUTED_VALUE"""),"Das S.; Deb N.; Cortesi A.; Chaki N.")</f>
        <v>Das S.; Deb N.; Cortesi A.; Chaki N.</v>
      </c>
      <c r="E1048" s="7" t="str">
        <f>IFERROR(__xludf.DUMMYFUNCTION("""COMPUTED_VALUE"""),"Zero-shot Learning for Named Entity Recognition in Software Specification Documents")</f>
        <v>Zero-shot Learning for Named Entity Recognition in Software Specification Documents</v>
      </c>
      <c r="F1048" s="7" t="str">
        <f>IFERROR(__xludf.DUMMYFUNCTION("""COMPUTED_VALUE"""),"RE")</f>
        <v>RE</v>
      </c>
      <c r="G1048" s="7" t="str">
        <f>IFERROR(__xludf.DUMMYFUNCTION("""COMPUTED_VALUE"""),"Named entity recognition (NER) is a natural language processing task that has been used in Requirements Engineering for the identification of entities such as actors, actions, operators, resources, events, GUI elements, hardware, APIs, and others. NER mig"&amp;"ht be particularly useful for extracting key information from Software Requirements Specification documents, which provide a blueprint for software development. However, a common challenge in this domain is the lack of annotated data. In this article, we "&amp;"propose and analyze two zero-shot approaches for NER in the requirements engineering domain. These are found to be particularly effective in situations where labeled data is scarce or non-existent. The first approach is a template-based zero-shot learning"&amp;" mechanism that uses the prompt engineering approach and achieves 93% accuracy according to our experimental results. The second solution takes an orthogonal approach by transforming the entity recognition problem into a question-answering task which resu"&amp;"lts in 98% accuracy. Both zero-shot NER approaches introduced in this work perform better than the existing state-of-the-art solutions in the requirements engineering domain.  © 2023 IEEE.")</f>
        <v>Named entity recognition (NER) is a natural language processing task that has been used in Requirements Engineering for the identification of entities such as actors, actions, operators, resources, events, GUI elements, hardware, APIs, and others. NER might be particularly useful for extracting key information from Software Requirements Specification documents, which provide a blueprint for software development. However, a common challenge in this domain is the lack of annotated data. In this article, we propose and analyze two zero-shot approaches for NER in the requirements engineering domain. These are found to be particularly effective in situations where labeled data is scarce or non-existent. The first approach is a template-based zero-shot learning mechanism that uses the prompt engineering approach and achieves 93% accuracy according to our experimental results. The second solution takes an orthogonal approach by transforming the entity recognition problem into a question-answering task which results in 98% accuracy. Both zero-shot NER approaches introduced in this work perform better than the existing state-of-the-art solutions in the requirements engineering domain.  © 2023 IEEE.</v>
      </c>
      <c r="H1048" s="7" t="str">
        <f>IFERROR(__xludf.DUMMYFUNCTION("""COMPUTED_VALUE"""),"Named entity recognition; Natural Language Inference; Prompt Engineering; Zero-shot Learning")</f>
        <v>Named entity recognition; Natural Language Inference; Prompt Engineering; Zero-shot Learning</v>
      </c>
      <c r="I1048" s="10" t="b">
        <v>0</v>
      </c>
      <c r="J1048" s="10" t="b">
        <v>0</v>
      </c>
      <c r="K1048" s="10" t="b">
        <v>0</v>
      </c>
      <c r="L1048" s="10" t="b">
        <v>0</v>
      </c>
      <c r="M1048" s="10" t="b">
        <v>0</v>
      </c>
      <c r="N1048" s="10" t="b">
        <v>0</v>
      </c>
      <c r="O1048" s="11" t="b">
        <f t="shared" si="1"/>
        <v>0</v>
      </c>
      <c r="P1048" s="16" t="b">
        <v>0</v>
      </c>
      <c r="Q1048" s="7"/>
    </row>
    <row r="1049">
      <c r="A1049" s="5" t="b">
        <v>1</v>
      </c>
      <c r="B1049" s="5" t="s">
        <v>1095</v>
      </c>
      <c r="C1049" s="7" t="str">
        <f>IFERROR(__xludf.DUMMYFUNCTION("""COMPUTED_VALUE"""),"10.1109/RE.2013.6636717")</f>
        <v>10.1109/RE.2013.6636717</v>
      </c>
      <c r="D1049" s="7" t="str">
        <f>IFERROR(__xludf.DUMMYFUNCTION("""COMPUTED_VALUE"""),"Zarghami A.; Vriezekolk E.; Eslami M.Z.; Van Sinderen M.; Wieringa R.")</f>
        <v>Zarghami A.; Vriezekolk E.; Eslami M.Z.; Van Sinderen M.; Wieringa R.</v>
      </c>
      <c r="E1049" s="7" t="str">
        <f>IFERROR(__xludf.DUMMYFUNCTION("""COMPUTED_VALUE"""),"Assumption-based risk identification method (ARM) in dynamic service provisioning")</f>
        <v>Assumption-based risk identification method (ARM) in dynamic service provisioning</v>
      </c>
      <c r="F1049" s="7" t="str">
        <f>IFERROR(__xludf.DUMMYFUNCTION("""COMPUTED_VALUE"""),"RE")</f>
        <v>RE</v>
      </c>
      <c r="G1049" s="7" t="str">
        <f>IFERROR(__xludf.DUMMYFUNCTION("""COMPUTED_VALUE"""),"In this paper we consider service-oriented applications composed of component services provided by different, economically independent service providers. As in all composite applications, the component services are composed and configured to meet requirem"&amp;"ents for the composite application. However, in a field experiment of composite service-oriented applications wef found that, although the services as actually delivered by the service providers meet their requirements, there is still a mismatch across se"&amp;"rvice providers due to unstated assumptions, and that this mismatch causes an incorrect composite application to be delivered to end-users. Identifying and analyzing these initially unstated assumptions turns requirements engineering for service-oriented "&amp;"applications into risk analysis. In this paper, we describe a field experiment with an experimental service-oriented homecare system, in which unexpected behavior of the system turned up unstated assumptions about the contributing service providers. We th"&amp;"en present an assumptions-driven risk identification method that can help identifying these risks, and we show how we applied this method in the second iteration of the field experiment. The method adapts some techniques from problem frame diagrams to ide"&amp;"ntify relevant assumptions on service providers. The method is informal, and takes the 'view from nowhere' in that it does not result in a specification of the component services, but for every component service delivers a set of assumptions that the serv"&amp;"ice must satisfy in order to contribute to the overall system requirements. We end the paper with a discussion of generalizability of this method. © 2013 IEEE.")</f>
        <v>In this paper we consider service-oriented applications composed of component services provided by different, economically independent service providers. As in all composite applications, the component services are composed and configured to meet requirements for the composite application. However, in a field experiment of composite service-oriented applications wef found that, although the services as actually delivered by the service providers meet their requirements, there is still a mismatch across service providers due to unstated assumptions, and that this mismatch causes an incorrect composite application to be delivered to end-users. Identifying and analyzing these initially unstated assumptions turns requirements engineering for service-oriented applications into risk analysis. In this paper, we describe a field experiment with an experimental service-oriented homecare system, in which unexpected behavior of the system turned up unstated assumptions about the contributing service providers. We then present an assumptions-driven risk identification method that can help identifying these risks, and we show how we applied this method in the second iteration of the field experiment. The method adapts some techniques from problem frame diagrams to identify relevant assumptions on service providers. The method is informal, and takes the 'view from nowhere' in that it does not result in a specification of the component services, but for every component service delivers a set of assumptions that the service must satisfy in order to contribute to the overall system requirements. We end the paper with a discussion of generalizability of this method. © 2013 IEEE.</v>
      </c>
      <c r="H1049" s="7" t="str">
        <f>IFERROR(__xludf.DUMMYFUNCTION("""COMPUTED_VALUE"""),"Composite applications; Dynamic service provisioning; Homecare systems; Risks Requirements engineering")</f>
        <v>Composite applications; Dynamic service provisioning; Homecare systems; Risks Requirements engineering</v>
      </c>
      <c r="I1049" s="10" t="b">
        <v>0</v>
      </c>
      <c r="J1049" s="10" t="b">
        <v>0</v>
      </c>
      <c r="K1049" s="10" t="b">
        <v>0</v>
      </c>
      <c r="L1049" s="10" t="b">
        <v>0</v>
      </c>
      <c r="M1049" s="10" t="b">
        <v>0</v>
      </c>
      <c r="N1049" s="10" t="b">
        <v>0</v>
      </c>
      <c r="O1049" s="11" t="b">
        <f t="shared" si="1"/>
        <v>0</v>
      </c>
      <c r="P1049" s="16" t="b">
        <v>0</v>
      </c>
      <c r="Q1049" s="7"/>
    </row>
    <row r="1050">
      <c r="A1050" s="5" t="b">
        <v>1</v>
      </c>
      <c r="B1050" s="5" t="s">
        <v>1096</v>
      </c>
      <c r="C1050" s="7"/>
      <c r="D1050" s="7"/>
      <c r="E1050" s="7" t="str">
        <f>IFERROR(__xludf.DUMMYFUNCTION("""COMPUTED_VALUE"""),"Proceedings of the 2010 18th IEEE International Requirements Engineering Conference, RE2010")</f>
        <v>Proceedings of the 2010 18th IEEE International Requirements Engineering Conference, RE2010</v>
      </c>
      <c r="F1050" s="7" t="str">
        <f>IFERROR(__xludf.DUMMYFUNCTION("""COMPUTED_VALUE"""),"RE")</f>
        <v>RE</v>
      </c>
      <c r="G1050" s="7" t="str">
        <f>IFERROR(__xludf.DUMMYFUNCTION("""COMPUTED_VALUE"""),"The proceedings contain 61 papers. The topics discussed include: application of swarm techniques to requirements engineering: requirements tracing; effort and quality of recovering requirements-to-code traces: two exploratory experiments; automated requir"&amp;"ements traceability: the study of human analysts; domain engineering with event-B: some lessons we learned; persuading software development teams to document inspections: success factors and challenges in practice; creating safety requirements traceabilit"&amp;"y for assuring and recertifying legacy safety-critical systems; requirements determination is unstoppable: an experience report; why requirements engineering fails: a survey report from china; manufacturer-supplier requirements synchronization using excha"&amp;"nge containers and multi-level systems; and enhancing customer partnership through requirements framework.")</f>
        <v>The proceedings contain 61 papers. The topics discussed include: application of swarm techniques to requirements engineering: requirements tracing; effort and quality of recovering requirements-to-code traces: two exploratory experiments; automated requirements traceability: the study of human analysts; domain engineering with event-B: some lessons we learned; persuading software development teams to document inspections: success factors and challenges in practice; creating safety requirements traceability for assuring and recertifying legacy safety-critical systems; requirements determination is unstoppable: an experience report; why requirements engineering fails: a survey report from china; manufacturer-supplier requirements synchronization using exchange containers and multi-level systems; and enhancing customer partnership through requirements framework.</v>
      </c>
      <c r="H1050" s="7"/>
      <c r="I1050" s="10" t="b">
        <v>0</v>
      </c>
      <c r="J1050" s="10" t="b">
        <v>0</v>
      </c>
      <c r="K1050" s="10" t="b">
        <v>0</v>
      </c>
      <c r="L1050" s="10" t="b">
        <v>0</v>
      </c>
      <c r="M1050" s="10" t="b">
        <v>0</v>
      </c>
      <c r="N1050" s="10" t="b">
        <v>0</v>
      </c>
      <c r="O1050" s="11" t="b">
        <f t="shared" si="1"/>
        <v>0</v>
      </c>
      <c r="P1050" s="16" t="b">
        <v>0</v>
      </c>
      <c r="Q1050" s="7"/>
    </row>
    <row r="1051">
      <c r="A1051" s="5" t="b">
        <v>1</v>
      </c>
      <c r="B1051" s="5" t="s">
        <v>1097</v>
      </c>
      <c r="C1051" s="7" t="str">
        <f>IFERROR(__xludf.DUMMYFUNCTION("""COMPUTED_VALUE"""),"10.1109/RE57278.2023.00022")</f>
        <v>10.1109/RE57278.2023.00022</v>
      </c>
      <c r="D1051" s="7" t="str">
        <f>IFERROR(__xludf.DUMMYFUNCTION("""COMPUTED_VALUE"""),"Gudaparthi H.; Niu N.; Wang B.; Bhowmik T.; Liu H.; Zhang J.; Savolainen J.; Horton G.; Crowe S.; Scherz T.; Haitz L.")</f>
        <v>Gudaparthi H.; Niu N.; Wang B.; Bhowmik T.; Liu H.; Zhang J.; Savolainen J.; Horton G.; Crowe S.; Scherz T.; Haitz L.</v>
      </c>
      <c r="E1051" s="7" t="str">
        <f>IFERROR(__xludf.DUMMYFUNCTION("""COMPUTED_VALUE"""),"Prompting Creative Requirements via Traceable and Adversarial Examples in Deep Learning")</f>
        <v>Prompting Creative Requirements via Traceable and Adversarial Examples in Deep Learning</v>
      </c>
      <c r="F1051" s="7" t="str">
        <f>IFERROR(__xludf.DUMMYFUNCTION("""COMPUTED_VALUE"""),"RE")</f>
        <v>RE</v>
      </c>
      <c r="G1051" s="7" t="str">
        <f>IFERROR(__xludf.DUMMYFUNCTION("""COMPUTED_VALUE"""),"Creativity focuses on the generation of novel and useful ideas. In this paper, we propose an approach to automatically generating creative requirements candidates via the adversarial examples resulted from applying small changes (perturbations) to the ori"&amp;"ginal requirements descriptions. We present an architecture where the perturbator and the classifier positively influence each other. Meanwhile, we ensure that each adversarial example is uniquely traceable to an existing feature of the software, instrume"&amp;"nting explainability. Our experimental evaluation of six datasets shows that around 20% adversarial shift rate is achievable. In addition, a human subject study demonstrates our results are more clear, novel, and useful than the requirements candidates ou"&amp;"tputted from a state-of-the-art machine learning method. To connect the creative requirements closer with software development, we collaborate with a software development team and show how our results can support behavior-driven development for a web app "&amp;"built by the team.  © 2023 IEEE.")</f>
        <v>Creativity focuses on the generation of novel and useful ideas. In this paper, we propose an approach to automatically generating creative requirements candidates via the adversarial examples resulted from applying small changes (perturbations) to the original requirements descriptions. We present an architecture where the perturbator and the classifier positively influence each other. Meanwhile, we ensure that each adversarial example is uniquely traceable to an existing feature of the software, instrumenting explainability. Our experimental evaluation of six datasets shows that around 20% adversarial shift rate is achievable. In addition, a human subject study demonstrates our results are more clear, novel, and useful than the requirements candidates outputted from a state-of-the-art machine learning method. To connect the creative requirements closer with software development, we collaborate with a software development team and show how our results can support behavior-driven development for a web app built by the team.  © 2023 IEEE.</v>
      </c>
      <c r="H1051" s="7" t="str">
        <f>IFERROR(__xludf.DUMMYFUNCTION("""COMPUTED_VALUE"""),"adversarial examples; automated requirements generation; creative requirements; deep learning")</f>
        <v>adversarial examples; automated requirements generation; creative requirements; deep learning</v>
      </c>
      <c r="I1051" s="10" t="b">
        <v>0</v>
      </c>
      <c r="J1051" s="10" t="b">
        <v>0</v>
      </c>
      <c r="K1051" s="10" t="b">
        <v>0</v>
      </c>
      <c r="L1051" s="10" t="b">
        <v>0</v>
      </c>
      <c r="M1051" s="10" t="b">
        <v>0</v>
      </c>
      <c r="N1051" s="10" t="b">
        <v>0</v>
      </c>
      <c r="O1051" s="11" t="b">
        <f t="shared" si="1"/>
        <v>0</v>
      </c>
      <c r="P1051" s="16" t="b">
        <v>0</v>
      </c>
      <c r="Q1051" s="7"/>
    </row>
    <row r="1052">
      <c r="A1052" s="5" t="b">
        <v>1</v>
      </c>
      <c r="B1052" s="5" t="s">
        <v>1098</v>
      </c>
      <c r="C1052" s="7" t="str">
        <f>IFERROR(__xludf.DUMMYFUNCTION("""COMPUTED_VALUE"""),"10.1109/RE.2013.6636744")</f>
        <v>10.1109/RE.2013.6636744</v>
      </c>
      <c r="D1052" s="7" t="str">
        <f>IFERROR(__xludf.DUMMYFUNCTION("""COMPUTED_VALUE"""),"Cleland-Huang J.; Czauderna A.; Hayes J.H.")</f>
        <v>Cleland-Huang J.; Czauderna A.; Hayes J.H.</v>
      </c>
      <c r="E1052" s="7" t="str">
        <f>IFERROR(__xludf.DUMMYFUNCTION("""COMPUTED_VALUE"""),"Using tracelab to design, execute, and baseline empirical requirements engineering experiments")</f>
        <v>Using tracelab to design, execute, and baseline empirical requirements engineering experiments</v>
      </c>
      <c r="F1052" s="7" t="str">
        <f>IFERROR(__xludf.DUMMYFUNCTION("""COMPUTED_VALUE"""),"RE")</f>
        <v>RE</v>
      </c>
      <c r="G1052" s="7" t="str">
        <f>IFERROR(__xludf.DUMMYFUNCTION("""COMPUTED_VALUE"""),"As Requirements Engineering research continues to grow into a mature and rigorous discipline, an increasing focus is placed on the need for sound evaluation techniques that compare the benefits of a new solution against existing ones. In this tool demonst"&amp;"ration we introduce TraceLab, an instrumented environment for modeling, executing, and comparatively evaluating experimental results. While initially developed for the Software Traceability domain, TraceLab provides a framework which can be populated with"&amp;" experiments, datasets, and reusable components for almost any empirical software engineering domain. In this demo we present examples from the Requirements Engineering domain. © 2013 IEEE.")</f>
        <v>As Requirements Engineering research continues to grow into a mature and rigorous discipline, an increasing focus is placed on the need for sound evaluation techniques that compare the benefits of a new solution against existing ones. In this tool demonstration we introduce TraceLab, an instrumented environment for modeling, executing, and comparatively evaluating experimental results. While initially developed for the Software Traceability domain, TraceLab provides a framework which can be populated with experiments, datasets, and reusable components for almost any empirical software engineering domain. In this demo we present examples from the Requirements Engineering domain. © 2013 IEEE.</v>
      </c>
      <c r="H1052" s="7" t="str">
        <f>IFERROR(__xludf.DUMMYFUNCTION("""COMPUTED_VALUE"""),"Empirical Software Engineering; Requirements; TraceLab")</f>
        <v>Empirical Software Engineering; Requirements; TraceLab</v>
      </c>
      <c r="I1052" s="10" t="b">
        <v>0</v>
      </c>
      <c r="J1052" s="10" t="b">
        <v>0</v>
      </c>
      <c r="K1052" s="10" t="b">
        <v>0</v>
      </c>
      <c r="L1052" s="10" t="b">
        <v>0</v>
      </c>
      <c r="M1052" s="10" t="b">
        <v>0</v>
      </c>
      <c r="N1052" s="10" t="b">
        <v>0</v>
      </c>
      <c r="O1052" s="11" t="b">
        <f t="shared" si="1"/>
        <v>0</v>
      </c>
      <c r="P1052" s="16" t="b">
        <v>0</v>
      </c>
      <c r="Q1052" s="7"/>
    </row>
    <row r="1053">
      <c r="A1053" s="5" t="b">
        <v>1</v>
      </c>
      <c r="B1053" s="5" t="s">
        <v>1099</v>
      </c>
      <c r="C1053" s="7" t="str">
        <f>IFERROR(__xludf.DUMMYFUNCTION("""COMPUTED_VALUE"""),"10.1109/RE57278.2023.00046")</f>
        <v>10.1109/RE57278.2023.00046</v>
      </c>
      <c r="D1053" s="7" t="str">
        <f>IFERROR(__xludf.DUMMYFUNCTION("""COMPUTED_VALUE"""),"Baresi L.; Criscuolo C.; Ghezzi C.")</f>
        <v>Baresi L.; Criscuolo C.; Ghezzi C.</v>
      </c>
      <c r="E1053" s="7" t="str">
        <f>IFERROR(__xludf.DUMMYFUNCTION("""COMPUTED_VALUE"""),"Understanding Fairness Requirements for ML-based Software")</f>
        <v>Understanding Fairness Requirements for ML-based Software</v>
      </c>
      <c r="F1053" s="7" t="str">
        <f>IFERROR(__xludf.DUMMYFUNCTION("""COMPUTED_VALUE"""),"RE")</f>
        <v>RE</v>
      </c>
      <c r="G1053" s="7" t="str">
        <f>IFERROR(__xludf.DUMMYFUNCTION("""COMPUTED_VALUE"""),"Today's technologies are becoming more and more pervasive and advanced software systems can replace human beings in many different tasks. This is especially true in the case of automated decision-making systems based on machine learning (ML). Important et"&amp;"hical implications arise when such decision systems are used in sensitive contexts (e.g., justice or loans). The elicitation of these implications, that is, of the ethical requirements behind ML-based systems is a new challenge we must address to avoid so"&amp;"cietal risks. This is particularly urgent for fairness since this notion lacks a precise and commonly accepted definition, thus hampering its assessment. This paper aims to give a comprehensive definition of fairness, present a unified taxonomy of alterna"&amp;"tive interpretations, define a new decision tree that can guide the choice of the correct interpretation, and carry out a preliminary assessment with experiments in a real-world context.  © 2023 IEEE.")</f>
        <v>Today's technologies are becoming more and more pervasive and advanced software systems can replace human beings in many different tasks. This is especially true in the case of automated decision-making systems based on machine learning (ML). Important ethical implications arise when such decision systems are used in sensitive contexts (e.g., justice or loans). The elicitation of these implications, that is, of the ethical requirements behind ML-based systems is a new challenge we must address to avoid societal risks. This is particularly urgent for fairness since this notion lacks a precise and commonly accepted definition, thus hampering its assessment. This paper aims to give a comprehensive definition of fairness, present a unified taxonomy of alternative interpretations, define a new decision tree that can guide the choice of the correct interpretation, and carry out a preliminary assessment with experiments in a real-world context.  © 2023 IEEE.</v>
      </c>
      <c r="H1053" s="7" t="str">
        <f>IFERROR(__xludf.DUMMYFUNCTION("""COMPUTED_VALUE"""),"Fairness; Machine Learning; Non-functional Requirements")</f>
        <v>Fairness; Machine Learning; Non-functional Requirements</v>
      </c>
      <c r="I1053" s="10" t="b">
        <v>0</v>
      </c>
      <c r="J1053" s="10" t="b">
        <v>0</v>
      </c>
      <c r="K1053" s="10" t="b">
        <v>0</v>
      </c>
      <c r="L1053" s="10" t="b">
        <v>0</v>
      </c>
      <c r="M1053" s="10" t="b">
        <v>0</v>
      </c>
      <c r="N1053" s="10" t="b">
        <v>0</v>
      </c>
      <c r="O1053" s="11" t="b">
        <f t="shared" si="1"/>
        <v>0</v>
      </c>
      <c r="P1053" s="16" t="b">
        <v>0</v>
      </c>
      <c r="Q1053" s="7"/>
    </row>
    <row r="1054">
      <c r="A1054" s="5" t="b">
        <v>1</v>
      </c>
      <c r="B1054" s="5" t="s">
        <v>1100</v>
      </c>
      <c r="C1054" s="7" t="str">
        <f>IFERROR(__xludf.DUMMYFUNCTION("""COMPUTED_VALUE"""),"10.1109/RE.2019.00067")</f>
        <v>10.1109/RE.2019.00067</v>
      </c>
      <c r="D1054" s="7" t="str">
        <f>IFERROR(__xludf.DUMMYFUNCTION("""COMPUTED_VALUE"""),"Yang Y.; Ke W.; Li X.")</f>
        <v>Yang Y.; Ke W.; Li X.</v>
      </c>
      <c r="E1054" s="7" t="str">
        <f>IFERROR(__xludf.DUMMYFUNCTION("""COMPUTED_VALUE"""),"RM2PT: Requirements validation through automatic prototyping")</f>
        <v>RM2PT: Requirements validation through automatic prototyping</v>
      </c>
      <c r="F1054" s="7" t="str">
        <f>IFERROR(__xludf.DUMMYFUNCTION("""COMPUTED_VALUE"""),"RE")</f>
        <v>RE</v>
      </c>
      <c r="G1054" s="7" t="str">
        <f>IFERROR(__xludf.DUMMYFUNCTION("""COMPUTED_VALUE"""),"Prototyping is an effective and efficient way of requirements validation to avoid introducing errors in the early stage of software development. Our previous work presents a tool RM2PT to automatically generate prototypes from requirements models. The sta"&amp;"keholders can easily check whether the requirements reflect their real needs by investigating the executions of use cases in the generated prototypes. However, the conflict and contradictory of the requirements are hard to be discovered. In this paper, we"&amp;" enhance RM2PT by introducing consistency checking and state observations in the generated prototypes. Requirements inconsistency can be automatically detected and further fixed through carefully analyzing the contracts of system operations and system sta"&amp;"te observations. We have conducted four case studies with over 50 use cases. The experimental result shows that 107 requirements inconsistency are founded in requirements validations. Overall, the result is satisfiable, and the enhanced RM2PT can be furth"&amp;"er applied to the software industry for requirements validation. The tool can be downloaded at http://rm2pt.mydreamy.net and a demo video casting its features is at https://youtu.be/Y7GNa57WGfA. © 2019 IEEE.")</f>
        <v>Prototyping is an effective and efficient way of requirements validation to avoid introducing errors in the early stage of software development. Our previous work presents a tool RM2PT to automatically generate prototypes from requirements models. The stakeholders can easily check whether the requirements reflect their real needs by investigating the executions of use cases in the generated prototypes. However, the conflict and contradictory of the requirements are hard to be discovered. In this paper, we enhance RM2PT by introducing consistency checking and state observations in the generated prototypes. Requirements inconsistency can be automatically detected and further fixed through carefully analyzing the contracts of system operations and system state observations. We have conducted four case studies with over 50 use cases. The experimental result shows that 107 requirements inconsistency are founded in requirements validations. Overall, the result is satisfiable, and the enhanced RM2PT can be further applied to the software industry for requirements validation. The tool can be downloaded at http://rm2pt.mydreamy.net and a demo video casting its features is at https://youtu.be/Y7GNa57WGfA. © 2019 IEEE.</v>
      </c>
      <c r="H1054" s="7" t="str">
        <f>IFERROR(__xludf.DUMMYFUNCTION("""COMPUTED_VALUE"""),"Consistency Checking; Prototype; Prototyping; Requirements; Requirements Validation")</f>
        <v>Consistency Checking; Prototype; Prototyping; Requirements; Requirements Validation</v>
      </c>
      <c r="I1054" s="10" t="b">
        <v>0</v>
      </c>
      <c r="J1054" s="10" t="b">
        <v>0</v>
      </c>
      <c r="K1054" s="10" t="b">
        <v>0</v>
      </c>
      <c r="L1054" s="10" t="b">
        <v>0</v>
      </c>
      <c r="M1054" s="10" t="b">
        <v>0</v>
      </c>
      <c r="N1054" s="10" t="b">
        <v>0</v>
      </c>
      <c r="O1054" s="11" t="b">
        <f t="shared" si="1"/>
        <v>0</v>
      </c>
      <c r="P1054" s="16" t="b">
        <v>0</v>
      </c>
      <c r="Q1054" s="7"/>
    </row>
    <row r="1055">
      <c r="A1055" s="5" t="b">
        <v>1</v>
      </c>
      <c r="B1055" s="5" t="s">
        <v>1101</v>
      </c>
      <c r="C1055" s="7" t="str">
        <f>IFERROR(__xludf.DUMMYFUNCTION("""COMPUTED_VALUE"""),"10.1109/RE.2009.46")</f>
        <v>10.1109/RE.2009.46</v>
      </c>
      <c r="D1055" s="7" t="str">
        <f>IFERROR(__xludf.DUMMYFUNCTION("""COMPUTED_VALUE"""),"Breaux T.D.")</f>
        <v>Breaux T.D.</v>
      </c>
      <c r="E1055" s="7" t="str">
        <f>IFERROR(__xludf.DUMMYFUNCTION("""COMPUTED_VALUE"""),"Exercising due diligence in legal requirements acquisition: A tool-supported, frame-based approach")</f>
        <v>Exercising due diligence in legal requirements acquisition: A tool-supported, frame-based approach</v>
      </c>
      <c r="F1055" s="7" t="str">
        <f>IFERROR(__xludf.DUMMYFUNCTION("""COMPUTED_VALUE"""),"RE")</f>
        <v>RE</v>
      </c>
      <c r="G1055" s="7" t="str">
        <f>IFERROR(__xludf.DUMMYFUNCTION("""COMPUTED_VALUE"""),"Government laws and organizational policies introduce critical legal requirements that govern information systems. Unlike traditional requirements elicited from stakeholders, legal requirements have unique characteristics that software engineers must addr"&amp;"ess to ensure that their systems are demonstrably compliant with relevant laws and policies. This paper presents important terminology for developing legally compliant software systems and a methodology consisting of procedures and models for acquiring, r"&amp;"epresenting and analyzing phenomena in legal documents, which constitute rich sources of legal requirements. Based on a grounded theory, the method has been validated through a mixed-methods approach consisting of multiple, descriptive case studies. This "&amp;"paper presents a human subject experiment that tests a fundamental part of the theory to understand the efficacy of multiple users applying the method to a sample regulation text. © 2009 IEEE.")</f>
        <v>Government laws and organizational policies introduce critical legal requirements that govern information systems. Unlike traditional requirements elicited from stakeholders, legal requirements have unique characteristics that software engineers must address to ensure that their systems are demonstrably compliant with relevant laws and policies. This paper presents important terminology for developing legally compliant software systems and a methodology consisting of procedures and models for acquiring, representing and analyzing phenomena in legal documents, which constitute rich sources of legal requirements. Based on a grounded theory, the method has been validated through a mixed-methods approach consisting of multiple, descriptive case studies. This paper presents a human subject experiment that tests a fundamental part of the theory to understand the efficacy of multiple users applying the method to a sample regulation text. © 2009 IEEE.</v>
      </c>
      <c r="H1055" s="7"/>
      <c r="I1055" s="10" t="b">
        <v>0</v>
      </c>
      <c r="J1055" s="10" t="b">
        <v>0</v>
      </c>
      <c r="K1055" s="10" t="b">
        <v>0</v>
      </c>
      <c r="L1055" s="10" t="b">
        <v>0</v>
      </c>
      <c r="M1055" s="10" t="b">
        <v>0</v>
      </c>
      <c r="N1055" s="10" t="b">
        <v>0</v>
      </c>
      <c r="O1055" s="11" t="b">
        <f t="shared" si="1"/>
        <v>0</v>
      </c>
      <c r="P1055" s="16" t="b">
        <v>0</v>
      </c>
      <c r="Q1055" s="7"/>
    </row>
    <row r="1056">
      <c r="A1056" s="5" t="b">
        <v>1</v>
      </c>
      <c r="B1056" s="5" t="s">
        <v>1102</v>
      </c>
      <c r="C1056" s="7" t="str">
        <f>IFERROR(__xludf.DUMMYFUNCTION("""COMPUTED_VALUE"""),"10.1109/RE.2019.00016")</f>
        <v>10.1109/RE.2019.00016</v>
      </c>
      <c r="D1056" s="7" t="str">
        <f>IFERROR(__xludf.DUMMYFUNCTION("""COMPUTED_VALUE"""),"Winkler J.P.; Grönberg J.; Vogelsang A.")</f>
        <v>Winkler J.P.; Grönberg J.; Vogelsang A.</v>
      </c>
      <c r="E1056" s="7" t="str">
        <f>IFERROR(__xludf.DUMMYFUNCTION("""COMPUTED_VALUE"""),"Optimizing for recall in automatic requirements classification: An empirical study")</f>
        <v>Optimizing for recall in automatic requirements classification: An empirical study</v>
      </c>
      <c r="F1056" s="7" t="str">
        <f>IFERROR(__xludf.DUMMYFUNCTION("""COMPUTED_VALUE"""),"RE")</f>
        <v>RE</v>
      </c>
      <c r="G1056" s="7" t="str">
        <f>IFERROR(__xludf.DUMMYFUNCTION("""COMPUTED_VALUE"""),"Using Machine Learning to solve requirements engineering problems can be a tricky task. Even though certain algorithms have exceptional performance, their recall is usually below 100%. One key aspect in the implementation of machine learning tools is the "&amp;"balance between recall and precision. Tools that do not find all correct answers may be considered useless. However, some tasks are very complicated and even requirements engineers struggle to solve them perfectly. If a tool achieves performance comparabl"&amp;"e to a trained engineer while reducing her workload considerably, it is considered to be useful. One such task is the classification of specification content elements into requirements and non-requirements. In this paper, we analyze this specific requirem"&amp;"ents classification problem and assess the importance of recall by performing an empirical study. We compared two groups of students who performed this task with and without tool support, respectively. We use the results to compute an estimate of f for th"&amp;"e Ff score, allowing us to choose the optimal balance between precision and recall. Furthermore, we use the results to assess the practical time savings realized by the approach. By using the tool, users may not be able to find all defects in a document, "&amp;"however, they will be able to find close to all of them in a fraction of the time necessary. This demonstrates the practical usefulness of our approach and machine learning tools in general. © 2019 IEEE.")</f>
        <v>Using Machine Learning to solve requirements engineering problems can be a tricky task. Even though certain algorithms have exceptional performance, their recall is usually below 100%. One key aspect in the implementation of machine learning tools is the balance between recall and precision. Tools that do not find all correct answers may be considered useless. However, some tasks are very complicated and even requirements engineers struggle to solve them perfectly. If a tool achieves performance comparable to a trained engineer while reducing her workload considerably, it is considered to be useful. One such task is the classification of specification content elements into requirements and non-requirements. In this paper, we analyze this specific requirements classification problem and assess the importance of recall by performing an empirical study. We compared two groups of students who performed this task with and without tool support, respectively. We use the results to compute an estimate of f for the Ff score, allowing us to choose the optimal balance between precision and recall. Furthermore, we use the results to assess the practical time savings realized by the approach. By using the tool, users may not be able to find all defects in a document, however, they will be able to find close to all of them in a fraction of the time necessary. This demonstrates the practical usefulness of our approach and machine learning tools in general. © 2019 IEEE.</v>
      </c>
      <c r="H1056" s="7" t="str">
        <f>IFERROR(__xludf.DUMMYFUNCTION("""COMPUTED_VALUE"""),"Automation; Controlled-experiment; Empirical-research; Machine-learning")</f>
        <v>Automation; Controlled-experiment; Empirical-research; Machine-learning</v>
      </c>
      <c r="I1056" s="9" t="b">
        <v>1</v>
      </c>
      <c r="J1056" s="9" t="b">
        <v>1</v>
      </c>
      <c r="K1056" s="10" t="b">
        <v>0</v>
      </c>
      <c r="L1056" s="10" t="b">
        <v>0</v>
      </c>
      <c r="M1056" s="10" t="b">
        <v>0</v>
      </c>
      <c r="N1056" s="10" t="b">
        <v>0</v>
      </c>
      <c r="O1056" s="11" t="b">
        <f t="shared" si="1"/>
        <v>0</v>
      </c>
      <c r="P1056" s="16" t="b">
        <v>0</v>
      </c>
      <c r="Q1056" s="7"/>
    </row>
    <row r="1057">
      <c r="A1057" s="5" t="b">
        <v>1</v>
      </c>
      <c r="B1057" s="5" t="s">
        <v>1103</v>
      </c>
      <c r="C1057" s="7" t="str">
        <f>IFERROR(__xludf.DUMMYFUNCTION("""COMPUTED_VALUE"""),"10.1109/RE.2018.00-53")</f>
        <v>10.1109/RE.2018.00-53</v>
      </c>
      <c r="D1057" s="7" t="str">
        <f>IFERROR(__xludf.DUMMYFUNCTION("""COMPUTED_VALUE"""),"Wang W.; Niu N.; Liu H.; Niu Z.")</f>
        <v>Wang W.; Niu N.; Liu H.; Niu Z.</v>
      </c>
      <c r="E1057" s="7" t="str">
        <f>IFERROR(__xludf.DUMMYFUNCTION("""COMPUTED_VALUE"""),"Enhancing automated requirements traceability by resolving polysemy")</f>
        <v>Enhancing automated requirements traceability by resolving polysemy</v>
      </c>
      <c r="F1057" s="7" t="str">
        <f>IFERROR(__xludf.DUMMYFUNCTION("""COMPUTED_VALUE"""),"RE")</f>
        <v>RE</v>
      </c>
      <c r="G1057" s="7" t="str">
        <f>IFERROR(__xludf.DUMMYFUNCTION("""COMPUTED_VALUE"""),"Requirements traceability provides critical support throughout all phases of software engineering. Automated tracing based on information retrieval (IR) reduces the effort required to perform a manual trace. Unfortunately, IR-based trace recovery suffers "&amp;"from low precision due to polysemy, which refers to the coexistence of multiple meanings for a term appearing in different requirements. Latent semantic indexing (LSI) has been introduced as a method to tackle polysemy, as well as synonymy. However, littl"&amp;"e is known about the scope and significance of polysemous terms in requirements tracing. While quantifying the effect, we present a novel method based on artificial neural networks (ANN) to enhance the capability of automatically resolving polysemous term"&amp;"s. The core idea is to build an ANN model which leverages a term's highest-scoring coreferences in different requirements to learn whether this term has the same meaning in those requirements. Experimental results based on 2 benchmark datasets and 6 long-"&amp;"lived open-source software projects show that our approach outperforms LSI on identifying polysemous terms and hence increasing the precision of automated tracing. © 2018 IEEE.")</f>
        <v>Requirements traceability provides critical support throughout all phases of software engineering. Automated tracing based on information retrieval (IR) reduces the effort required to perform a manual trace. Unfortunately, IR-based trace recovery suffers from low precision due to polysemy, which refers to the coexistence of multiple meanings for a term appearing in different requirements. Latent semantic indexing (LSI) has been introduced as a method to tackle polysemy, as well as synonymy. However, little is known about the scope and significance of polysemous terms in requirements tracing. While quantifying the effect, we present a novel method based on artificial neural networks (ANN) to enhance the capability of automatically resolving polysemous terms. The core idea is to build an ANN model which leverages a term's highest-scoring coreferences in different requirements to learn whether this term has the same meaning in those requirements. Experimental results based on 2 benchmark datasets and 6 long-lived open-source software projects show that our approach outperforms LSI on identifying polysemous terms and hence increasing the precision of automated tracing. © 2018 IEEE.</v>
      </c>
      <c r="H1057" s="7" t="str">
        <f>IFERROR(__xludf.DUMMYFUNCTION("""COMPUTED_VALUE"""),"Automated require ments tracing; Polysemy analysis; Requirements traceability; Term coreference")</f>
        <v>Automated require ments tracing; Polysemy analysis; Requirements traceability; Term coreference</v>
      </c>
      <c r="I1057" s="10" t="b">
        <v>0</v>
      </c>
      <c r="J1057" s="10" t="b">
        <v>0</v>
      </c>
      <c r="K1057" s="10" t="b">
        <v>0</v>
      </c>
      <c r="L1057" s="10" t="b">
        <v>0</v>
      </c>
      <c r="M1057" s="10" t="b">
        <v>0</v>
      </c>
      <c r="N1057" s="10" t="b">
        <v>0</v>
      </c>
      <c r="O1057" s="11" t="b">
        <f t="shared" si="1"/>
        <v>0</v>
      </c>
      <c r="P1057" s="16" t="b">
        <v>0</v>
      </c>
      <c r="Q1057" s="7"/>
    </row>
    <row r="1058">
      <c r="A1058" s="5" t="b">
        <v>1</v>
      </c>
      <c r="B1058" s="5" t="s">
        <v>1104</v>
      </c>
      <c r="C1058" s="7" t="str">
        <f>IFERROR(__xludf.DUMMYFUNCTION("""COMPUTED_VALUE"""),"10.1109/RE.2019.00027")</f>
        <v>10.1109/RE.2019.00027</v>
      </c>
      <c r="D1058" s="7" t="str">
        <f>IFERROR(__xludf.DUMMYFUNCTION("""COMPUTED_VALUE"""),"Gralha C.; Goulão M.; Araújo J.")</f>
        <v>Gralha C.; Goulão M.; Araújo J.</v>
      </c>
      <c r="E1058" s="7" t="str">
        <f>IFERROR(__xludf.DUMMYFUNCTION("""COMPUTED_VALUE"""),"Analysing gender differences in building social goal models: A quasi-experiment")</f>
        <v>Analysing gender differences in building social goal models: A quasi-experiment</v>
      </c>
      <c r="F1058" s="7" t="str">
        <f>IFERROR(__xludf.DUMMYFUNCTION("""COMPUTED_VALUE"""),"RE")</f>
        <v>RE</v>
      </c>
      <c r="G1058" s="7" t="str">
        <f>IFERROR(__xludf.DUMMYFUNCTION("""COMPUTED_VALUE"""),"Context: Recent research has shown gender differences in problem-solving, and gender biases in how software supports it. GenderMag has 5 problem-solving facets related to gender-inclusiveness: motivation for using the software, information processing styl"&amp;"e, computer self-efficacy, attitude towards risk, and ways of learning new technology. Some facet values are more frequent in women, others in men. The role these facets may play when building social goal models is largely unexplored. Objectives: We evalu"&amp;"ated the impact of different levels of GenderMag facets on creating and modifying iStar 2.0 models. Methods: We performed a quasi-experiment. We characterised 100 participants according to each GenderMag facet. Participants performed creation and modifica"&amp;"tion tasks on iStar 2.0. We measured their accuracy, speed, and ease, using metrics of task success, time, and effort, collected with eye-tracking, EEG and EDA sensors, and participants' feedback. Results: Although participants with facet levels frequentl"&amp;"y seen in women had lower perceived performance and speed, their accuracy was higher. We also observed some statistically significant differences in visual effort, mental effort, and stress. Conclusions: Participants with a comprehensive information proce"&amp;"ssing style and a more conservative attitude towards risk (characteristics more frequently seen in women) solved the tasks with a lower speed but higher accuracy. © 2019 IEEE.")</f>
        <v>Context: Recent research has shown gender differences in problem-solving, and gender biases in how software supports it. GenderMag has 5 problem-solving facets related to gender-inclusiveness: motivation for using the software, information processing style, computer self-efficacy, attitude towards risk, and ways of learning new technology. Some facet values are more frequent in women, others in men. The role these facets may play when building social goal models is largely unexplored. Objectives: We evaluated the impact of different levels of GenderMag facets on creating and modifying iStar 2.0 models. Methods: We performed a quasi-experiment. We characterised 100 participants according to each GenderMag facet. Participants performed creation and modification tasks on iStar 2.0. We measured their accuracy, speed, and ease, using metrics of task success, time, and effort, collected with eye-tracking, EEG and EDA sensors, and participants' feedback. Results: Although participants with facet levels frequently seen in women had lower perceived performance and speed, their accuracy was higher. We also observed some statistically significant differences in visual effort, mental effort, and stress. Conclusions: Participants with a comprehensive information processing style and a more conservative attitude towards risk (characteristics more frequently seen in women) solved the tasks with a lower speed but higher accuracy. © 2019 IEEE.</v>
      </c>
      <c r="H1058" s="7" t="str">
        <f>IFERROR(__xludf.DUMMYFUNCTION("""COMPUTED_VALUE"""),"Biometrics; Gender; IStar 2.0; Social goal models")</f>
        <v>Biometrics; Gender; IStar 2.0; Social goal models</v>
      </c>
      <c r="I1058" s="9" t="b">
        <v>1</v>
      </c>
      <c r="J1058" s="9" t="b">
        <v>1</v>
      </c>
      <c r="K1058" s="10" t="b">
        <v>0</v>
      </c>
      <c r="L1058" s="10" t="b">
        <v>0</v>
      </c>
      <c r="M1058" s="10" t="b">
        <v>0</v>
      </c>
      <c r="N1058" s="10" t="b">
        <v>0</v>
      </c>
      <c r="O1058" s="11" t="b">
        <f t="shared" si="1"/>
        <v>0</v>
      </c>
      <c r="P1058" s="16" t="b">
        <v>0</v>
      </c>
      <c r="Q1058" s="7"/>
    </row>
    <row r="1059">
      <c r="A1059" s="5" t="b">
        <v>1</v>
      </c>
      <c r="B1059" s="5" t="s">
        <v>1105</v>
      </c>
      <c r="C1059" s="7" t="str">
        <f>IFERROR(__xludf.DUMMYFUNCTION("""COMPUTED_VALUE"""),"10.1109/RE.2013.6636703")</f>
        <v>10.1109/RE.2013.6636703</v>
      </c>
      <c r="D1059" s="7" t="str">
        <f>IFERROR(__xludf.DUMMYFUNCTION("""COMPUTED_VALUE"""),"Mahmoud A.; Niu N.")</f>
        <v>Mahmoud A.; Niu N.</v>
      </c>
      <c r="E1059" s="7" t="str">
        <f>IFERROR(__xludf.DUMMYFUNCTION("""COMPUTED_VALUE"""),"Supporting requirements traceability through refactoring")</f>
        <v>Supporting requirements traceability through refactoring</v>
      </c>
      <c r="F1059" s="7" t="str">
        <f>IFERROR(__xludf.DUMMYFUNCTION("""COMPUTED_VALUE"""),"RE")</f>
        <v>RE</v>
      </c>
      <c r="G1059" s="7" t="str">
        <f>IFERROR(__xludf.DUMMYFUNCTION("""COMPUTED_VALUE"""),"Modern traceability tools employ information retrieval (IR) methods to generate candidate traceability links. These methods track textual signs embedded in the system to establish relationships between software artifacts. However, as software systems evol"&amp;"ve, new and inconsistent terminology finds its way into the system's taxonomy, thus corrupting its lexical structure and distorting its traceability tracks. In this paper, we argue that the distorted lexical tracks of the system can be systematically re-e"&amp;"stablished through refactoring, a set of behavior-preserving transformations for keeping the system quality under control during evolution. To test this novel hypothesis, we investigate the effect of integrating various types of refactoring on the perform"&amp;"ance of requirements-to-code automated tracing methods. In particular, we identify the problems of missing, misplaced, and duplicated signs in software artifacts, and then examine to what extent refactorings that restore, move, and remove textual informat"&amp;"ion can overcome these problems respectively. We conduct our experimental analysis using three datasets from different application domains. Results show that restoring textual information in the system has a positive impact on tracing. In contrast, refact"&amp;"orings that remove redundant information impact tracing negatively. Refactorings that move information among the system modules are found to have no significant effect. Our findings address several issues related to code and requirements evolution, as wel"&amp;"l as refactoring as a mechanism to enhance the practicality of automated tracing tools. © 2013 IEEE.")</f>
        <v>Modern traceability tools employ information retrieval (IR) methods to generate candidate traceability links. These methods track textual signs embedded in the system to establish relationships between software artifacts. However, as software systems evolve, new and inconsistent terminology finds its way into the system's taxonomy, thus corrupting its lexical structure and distorting its traceability tracks. In this paper, we argue that the distorted lexical tracks of the system can be systematically re-established through refactoring, a set of behavior-preserving transformations for keeping the system quality under control during evolution. To test this novel hypothesis, we investigate the effect of integrating various types of refactoring on the performance of requirements-to-code automated tracing methods. In particular, we identify the problems of missing, misplaced, and duplicated signs in software artifacts, and then examine to what extent refactorings that restore, move, and remove textual information can overcome these problems respectively. We conduct our experimental analysis using three datasets from different application domains. Results show that restoring textual information in the system has a positive impact on tracing. In contrast, refactorings that remove redundant information impact tracing negatively. Refactorings that move information among the system modules are found to have no significant effect. Our findings address several issues related to code and requirements evolution, as well as refactoring as a mechanism to enhance the practicality of automated tracing tools. © 2013 IEEE.</v>
      </c>
      <c r="H1059" s="7" t="str">
        <f>IFERROR(__xludf.DUMMYFUNCTION("""COMPUTED_VALUE"""),"Information retrieval; Refactoring; Traceability")</f>
        <v>Information retrieval; Refactoring; Traceability</v>
      </c>
      <c r="I1059" s="10" t="b">
        <v>0</v>
      </c>
      <c r="J1059" s="10" t="b">
        <v>0</v>
      </c>
      <c r="K1059" s="10" t="b">
        <v>0</v>
      </c>
      <c r="L1059" s="10" t="b">
        <v>0</v>
      </c>
      <c r="M1059" s="10" t="b">
        <v>0</v>
      </c>
      <c r="N1059" s="10" t="b">
        <v>0</v>
      </c>
      <c r="O1059" s="11" t="b">
        <f t="shared" si="1"/>
        <v>0</v>
      </c>
      <c r="P1059" s="16" t="b">
        <v>0</v>
      </c>
      <c r="Q1059" s="7"/>
    </row>
    <row r="1060">
      <c r="A1060" s="5" t="b">
        <v>1</v>
      </c>
      <c r="B1060" s="5" t="s">
        <v>1106</v>
      </c>
      <c r="C1060" s="7" t="str">
        <f>IFERROR(__xludf.DUMMYFUNCTION("""COMPUTED_VALUE"""),"10.1109/REW53955.2021.00012")</f>
        <v>10.1109/REW53955.2021.00012</v>
      </c>
      <c r="D1060" s="7" t="str">
        <f>IFERROR(__xludf.DUMMYFUNCTION("""COMPUTED_VALUE"""),"Jahan M.; Abad Z.S.H.; Far B.")</f>
        <v>Jahan M.; Abad Z.S.H.; Far B.</v>
      </c>
      <c r="E1060" s="7" t="str">
        <f>IFERROR(__xludf.DUMMYFUNCTION("""COMPUTED_VALUE"""),"Generating Sequence Diagram from Natural Language Requirements")</f>
        <v>Generating Sequence Diagram from Natural Language Requirements</v>
      </c>
      <c r="F1060" s="7" t="str">
        <f>IFERROR(__xludf.DUMMYFUNCTION("""COMPUTED_VALUE"""),"RE")</f>
        <v>RE</v>
      </c>
      <c r="G1060" s="7" t="str">
        <f>IFERROR(__xludf.DUMMYFUNCTION("""COMPUTED_VALUE"""),"Model-driven requirements engineering is gaining enormous popularity in recent years. Unified Modeling Language (UML) is widely used in the software industry for specifying, visualizing, constructing, and documenting the software systems artifacts. UML mo"&amp;"dels are helpful tools for portraying the structure and behavior of a software system. However, generating UML models like Sequence Diagrams from requirements documents often expressed in unstructured natural language, is time consuming and tedious. In th"&amp;"is paper, we present an automated approach towards generating behavioral models as UML sequence diagrams from textual use cases written in natural language. The approach uses different Natural Language Processing (NLP) techniques combined with some rule b"&amp;"ased decision approaches to identify problem level objects and interactions. Additionally, different quality metrics are defined to assess the validity of generated sequence diagrams in terms of expected behaviour from a given use case. The criteria we es"&amp;"tablished to assess the quality of analysis sequence diagrams can be applied to similar experiments. We evaluate our approach using different case studies concerning correctness and completeness of the generated sequence diagrams using those metrics. In m"&amp;"ost situations, we attained an average accuracy factor of over 85% and average completeness of over 90%, which is encouraging.  © 2021 IEEE.")</f>
        <v>Model-driven requirements engineering is gaining enormous popularity in recent years. Unified Modeling Language (UML) is widely used in the software industry for specifying, visualizing, constructing, and documenting the software systems artifacts. UML models are helpful tools for portraying the structure and behavior of a software system. However, generating UML models like Sequence Diagrams from requirements documents often expressed in unstructured natural language, is time consuming and tedious. In this paper, we present an automated approach towards generating behavioral models as UML sequence diagrams from textual use cases written in natural language. The approach uses different Natural Language Processing (NLP) techniques combined with some rule based decision approaches to identify problem level objects and interactions. Additionally, different quality metrics are defined to assess the validity of generated sequence diagrams in terms of expected behaviour from a given use case. The criteria we established to assess the quality of analysis sequence diagrams can be applied to similar experiments. We evaluate our approach using different case studies concerning correctness and completeness of the generated sequence diagrams using those metrics. In most situations, we attained an average accuracy factor of over 85% and average completeness of over 90%, which is encouraging.  © 2021 IEEE.</v>
      </c>
      <c r="H1060" s="7" t="str">
        <f>IFERROR(__xludf.DUMMYFUNCTION("""COMPUTED_VALUE"""),"Natural Language Processing; Requirement Engineering; Sequence Diagram; UML model.; Use Case Scenario")</f>
        <v>Natural Language Processing; Requirement Engineering; Sequence Diagram; UML model.; Use Case Scenario</v>
      </c>
      <c r="I1060" s="10" t="b">
        <v>0</v>
      </c>
      <c r="J1060" s="10" t="b">
        <v>0</v>
      </c>
      <c r="K1060" s="10" t="b">
        <v>0</v>
      </c>
      <c r="L1060" s="10" t="b">
        <v>0</v>
      </c>
      <c r="M1060" s="10" t="b">
        <v>0</v>
      </c>
      <c r="N1060" s="10" t="b">
        <v>0</v>
      </c>
      <c r="O1060" s="11" t="b">
        <f t="shared" si="1"/>
        <v>0</v>
      </c>
      <c r="P1060" s="16" t="b">
        <v>0</v>
      </c>
      <c r="Q1060" s="7"/>
    </row>
    <row r="1061">
      <c r="A1061" s="5" t="b">
        <v>1</v>
      </c>
      <c r="B1061" s="5" t="s">
        <v>1107</v>
      </c>
      <c r="C1061" s="7" t="str">
        <f>IFERROR(__xludf.DUMMYFUNCTION("""COMPUTED_VALUE"""),"10.1109/RE48521.2020.00044")</f>
        <v>10.1109/RE48521.2020.00044</v>
      </c>
      <c r="D1061" s="7" t="str">
        <f>IFERROR(__xludf.DUMMYFUNCTION("""COMPUTED_VALUE"""),"Saini R.; Mussbacher G.; Guo J.L.C.; Kienzle J.")</f>
        <v>Saini R.; Mussbacher G.; Guo J.L.C.; Kienzle J.</v>
      </c>
      <c r="E1061" s="7" t="str">
        <f>IFERROR(__xludf.DUMMYFUNCTION("""COMPUTED_VALUE"""),"Towards Queryable and Traceable Domain Models")</f>
        <v>Towards Queryable and Traceable Domain Models</v>
      </c>
      <c r="F1061" s="7" t="str">
        <f>IFERROR(__xludf.DUMMYFUNCTION("""COMPUTED_VALUE"""),"RE")</f>
        <v>RE</v>
      </c>
      <c r="G1061" s="7" t="str">
        <f>IFERROR(__xludf.DUMMYFUNCTION("""COMPUTED_VALUE"""),"Model-Driven Software Engineering encompasses various modelling formalisms for supporting software development. One such formalism is domain modelling which bridges the gap between requirements expressed in natural language and analyzable and more concise"&amp;" domain models expressed in class diagrams. Due to the lack of modelling skills among novice modellers and time constraints in industrial projects, it is often not possible to build an accurate domain model manually. To address this challenge, we aim to d"&amp;"evelop an approach to extract domain models from problem descriptions written in natural language by combining rules based on natural language processing with machine learning. As a first step, we report on an automated and tool-supported approach with an"&amp;" accuracy of extracted domain models higher than existing approaches. In addition, the approach generates trace links for each model element of a domain model. The trace links enable novice modellers to execute queries on the extracted domain models to ga"&amp;"in insights into the modelling decisions taken for improving their modelling skills. Furthermore, to evaluate our approach, we propose a novel comparison metric and discuss our experimental design. Finally, we present a research agenda detailing research "&amp;"directions and discuss corresponding challenges. © 2020 IEEE.")</f>
        <v>Model-Driven Software Engineering encompasses various modelling formalisms for supporting software development. One such formalism is domain modelling which bridges the gap between requirements expressed in natural language and analyzable and more concise domain models expressed in class diagrams. Due to the lack of modelling skills among novice modellers and time constraints in industrial projects, it is often not possible to build an accurate domain model manually. To address this challenge, we aim to develop an approach to extract domain models from problem descriptions written in natural language by combining rules based on natural language processing with machine learning. As a first step, we report on an automated and tool-supported approach with an accuracy of extracted domain models higher than existing approaches. In addition, the approach generates trace links for each model element of a domain model. The trace links enable novice modellers to execute queries on the extracted domain models to gain insights into the modelling decisions taken for improving their modelling skills. Furthermore, to evaluate our approach, we propose a novel comparison metric and discuss our experimental design. Finally, we present a research agenda detailing research directions and discuss corresponding challenges. © 2020 IEEE.</v>
      </c>
      <c r="H1061" s="7" t="str">
        <f>IFERROR(__xludf.DUMMYFUNCTION("""COMPUTED_VALUE"""),"Domain Model; Machine Learning; Modelling Bot; NLP; Requirements Engineering; Trace Links")</f>
        <v>Domain Model; Machine Learning; Modelling Bot; NLP; Requirements Engineering; Trace Links</v>
      </c>
      <c r="I1061" s="10" t="b">
        <v>0</v>
      </c>
      <c r="J1061" s="10" t="b">
        <v>0</v>
      </c>
      <c r="K1061" s="10" t="b">
        <v>0</v>
      </c>
      <c r="L1061" s="10" t="b">
        <v>0</v>
      </c>
      <c r="M1061" s="10" t="b">
        <v>0</v>
      </c>
      <c r="N1061" s="10" t="b">
        <v>0</v>
      </c>
      <c r="O1061" s="11" t="b">
        <f t="shared" si="1"/>
        <v>0</v>
      </c>
      <c r="P1061" s="16" t="b">
        <v>0</v>
      </c>
      <c r="Q1061" s="7"/>
    </row>
    <row r="1062">
      <c r="A1062" s="5" t="b">
        <v>1</v>
      </c>
      <c r="B1062" s="5" t="s">
        <v>1108</v>
      </c>
      <c r="C1062" s="7" t="str">
        <f>IFERROR(__xludf.DUMMYFUNCTION("""COMPUTED_VALUE"""),"10.1109/RE.2015.7320442")</f>
        <v>10.1109/RE.2015.7320442</v>
      </c>
      <c r="D1062" s="7" t="str">
        <f>IFERROR(__xludf.DUMMYFUNCTION("""COMPUTED_VALUE"""),"Kuriakose J.; Parsons J.")</f>
        <v>Kuriakose J.; Parsons J.</v>
      </c>
      <c r="E1062" s="7" t="str">
        <f>IFERROR(__xludf.DUMMYFUNCTION("""COMPUTED_VALUE"""),"An enhanced requirements gathering interface for open source software development environments")</f>
        <v>An enhanced requirements gathering interface for open source software development environments</v>
      </c>
      <c r="F1062" s="7" t="str">
        <f>IFERROR(__xludf.DUMMYFUNCTION("""COMPUTED_VALUE"""),"RE")</f>
        <v>RE</v>
      </c>
      <c r="G1062" s="7" t="str">
        <f>IFERROR(__xludf.DUMMYFUNCTION("""COMPUTED_VALUE"""),"In this paper, we propose an enhancement to requirements gathering interface used in open source software (OSS) development environments. Specifically we propose embedding currently used interface with reusable requirement patterns. We propose this enhanc"&amp;"ement based on the result we obtained from an experiment on the availability of requirement patterns during requirements generation in OSS development. © 2015 IEEE.")</f>
        <v>In this paper, we propose an enhancement to requirements gathering interface used in open source software (OSS) development environments. Specifically we propose embedding currently used interface with reusable requirement patterns. We propose this enhancement based on the result we obtained from an experiment on the availability of requirement patterns during requirements generation in OSS development. © 2015 IEEE.</v>
      </c>
      <c r="H1062" s="7" t="str">
        <f>IFERROR(__xludf.DUMMYFUNCTION("""COMPUTED_VALUE"""),"OSS development; requirements generation; requirements patterns")</f>
        <v>OSS development; requirements generation; requirements patterns</v>
      </c>
      <c r="I1062" s="10" t="b">
        <v>0</v>
      </c>
      <c r="J1062" s="10" t="b">
        <v>0</v>
      </c>
      <c r="K1062" s="10" t="b">
        <v>0</v>
      </c>
      <c r="L1062" s="10" t="b">
        <v>0</v>
      </c>
      <c r="M1062" s="10" t="b">
        <v>0</v>
      </c>
      <c r="N1062" s="10" t="b">
        <v>0</v>
      </c>
      <c r="O1062" s="11" t="b">
        <f t="shared" si="1"/>
        <v>0</v>
      </c>
      <c r="P1062" s="16" t="b">
        <v>0</v>
      </c>
      <c r="Q1062" s="7"/>
    </row>
    <row r="1063">
      <c r="A1063" s="5" t="b">
        <v>1</v>
      </c>
      <c r="B1063" s="5" t="s">
        <v>1109</v>
      </c>
      <c r="C1063" s="7" t="str">
        <f>IFERROR(__xludf.DUMMYFUNCTION("""COMPUTED_VALUE"""),"10.1109/RE.2014.6912258")</f>
        <v>10.1109/RE.2014.6912258</v>
      </c>
      <c r="D1063" s="7" t="str">
        <f>IFERROR(__xludf.DUMMYFUNCTION("""COMPUTED_VALUE"""),"Breaux T.D.; Schaub F.")</f>
        <v>Breaux T.D.; Schaub F.</v>
      </c>
      <c r="E1063" s="7" t="str">
        <f>IFERROR(__xludf.DUMMYFUNCTION("""COMPUTED_VALUE"""),"Scaling requirements extraction to the crowd: Experiments with privacy policies")</f>
        <v>Scaling requirements extraction to the crowd: Experiments with privacy policies</v>
      </c>
      <c r="F1063" s="7" t="str">
        <f>IFERROR(__xludf.DUMMYFUNCTION("""COMPUTED_VALUE"""),"RE")</f>
        <v>RE</v>
      </c>
      <c r="G1063" s="7" t="str">
        <f>IFERROR(__xludf.DUMMYFUNCTION("""COMPUTED_VALUE"""),"Natural language text sources have increasingly been used to develop new methods and tools for extracting and analyzing requirements. To validate these new approaches, researchers rely on a small number of trained experts to perform a labor-intensive manu"&amp;"al analysis of the text. The time and resources needed to conduct manual extraction, however, has limited the size of case studies and thus the generalizability of results. To begin to address this issue, we conducted three experiments to evaluate crowdso"&amp;"urcing a manual requirements extraction task to a larger number of untrained workers. In these experiments, we carefully balance worker payment and overall cost, as well as worker training and data quality to study the feasibility of distributing requirem"&amp;"ents extraction to the crowd. The task consists of extracting descriptions of data collection, sharing and usage requirements from privacy policies. We present results from two pilot studies and a third experiment to justify applying a task decomposition "&amp;"approach to requirements extraction. Our contributions include the task decomposition workflow and three metrics for measuring worker performance. The final evaluation shows a 60% reduction in the cost of manual extraction with a 16% increase in extractio"&amp;"n coverage. © 2014 IEEE.")</f>
        <v>Natural language text sources have increasingly been used to develop new methods and tools for extracting and analyzing requirements. To validate these new approaches, researchers rely on a small number of trained experts to perform a labor-intensive manual analysis of the text. The time and resources needed to conduct manual extraction, however, has limited the size of case studies and thus the generalizability of results. To begin to address this issue, we conducted three experiments to evaluate crowdsourcing a manual requirements extraction task to a larger number of untrained workers. In these experiments, we carefully balance worker payment and overall cost, as well as worker training and data quality to study the feasibility of distributing requirements extraction to the crowd. The task consists of extracting descriptions of data collection, sharing and usage requirements from privacy policies. We present results from two pilot studies and a third experiment to justify applying a task decomposition approach to requirements extraction. Our contributions include the task decomposition workflow and three metrics for measuring worker performance. The final evaluation shows a 60% reduction in the cost of manual extraction with a 16% increase in extraction coverage. © 2014 IEEE.</v>
      </c>
      <c r="H1063" s="7" t="str">
        <f>IFERROR(__xludf.DUMMYFUNCTION("""COMPUTED_VALUE"""),"crowdsourcing; natural language; requirements extraction")</f>
        <v>crowdsourcing; natural language; requirements extraction</v>
      </c>
      <c r="I1063" s="9" t="b">
        <v>0</v>
      </c>
      <c r="J1063" s="9" t="b">
        <v>1</v>
      </c>
      <c r="K1063" s="9" t="b">
        <v>1</v>
      </c>
      <c r="L1063" s="10" t="b">
        <v>0</v>
      </c>
      <c r="M1063" s="10" t="b">
        <v>0</v>
      </c>
      <c r="N1063" s="10" t="b">
        <v>0</v>
      </c>
      <c r="O1063" s="11" t="b">
        <f t="shared" si="1"/>
        <v>0</v>
      </c>
      <c r="P1063" s="12" t="b">
        <v>0</v>
      </c>
      <c r="Q1063" s="13" t="s">
        <v>1110</v>
      </c>
    </row>
    <row r="1064">
      <c r="A1064" s="5" t="b">
        <v>1</v>
      </c>
      <c r="B1064" s="5" t="s">
        <v>1111</v>
      </c>
      <c r="C1064" s="7" t="str">
        <f>IFERROR(__xludf.DUMMYFUNCTION("""COMPUTED_VALUE"""),"10.1109/RE.2011.6051650")</f>
        <v>10.1109/RE.2011.6051650</v>
      </c>
      <c r="D1064" s="7" t="str">
        <f>IFERROR(__xludf.DUMMYFUNCTION("""COMPUTED_VALUE"""),"Chen B.; Peng X.; Yu Y.; Zhao W.")</f>
        <v>Chen B.; Peng X.; Yu Y.; Zhao W.</v>
      </c>
      <c r="E1064" s="7" t="str">
        <f>IFERROR(__xludf.DUMMYFUNCTION("""COMPUTED_VALUE"""),"Are your sites down? Requirements-driven self-tuning for the survivability of web systems")</f>
        <v>Are your sites down? Requirements-driven self-tuning for the survivability of web systems</v>
      </c>
      <c r="F1064" s="7" t="str">
        <f>IFERROR(__xludf.DUMMYFUNCTION("""COMPUTED_VALUE"""),"RE")</f>
        <v>RE</v>
      </c>
      <c r="G1064" s="7" t="str">
        <f>IFERROR(__xludf.DUMMYFUNCTION("""COMPUTED_VALUE"""),"Running in a highly uncertain and greatly complex environment, Web systems cannot always provide full set of services with optimal quality, especially when work loads are high or subsystem failures are frequent. Hence, it is significant to continuously ma"&amp;"intain a high satisfaction level of survivability, hereafter survivability assurance, while relaxing or sacrificing certain quality or functional requirements that are not crucial to the survival of the entire system. After giving a value-based interpreta"&amp;"tion to survivability assurance to facilitate a quantitative analysis, we propose a requirements-driven self-tuning method for the survivability assurance of Web systems. Maintaining an enriched and live goal model, our method adapts to runtime tradeoff d"&amp;"ecisions made by our PID (proportional-integral-derivative) controller and goal-oriented reasoner for both quality and functional requirements. The goal-based configuration plans produced by the reasoner is carried out on the live goal model, and then map"&amp;"ped into system architectural configurations. Experiments on an online shopping system are conducted to validate the effectiveness of the proposed method. © 2011 IEEE.")</f>
        <v>Running in a highly uncertain and greatly complex environment, Web systems cannot always provide full set of services with optimal quality, especially when work loads are high or subsystem failures are frequent. Hence, it is significant to continuously maintain a high satisfaction level of survivability, hereafter survivability assurance, while relaxing or sacrificing certain quality or functional requirements that are not crucial to the survival of the entire system. After giving a value-based interpretation to survivability assurance to facilitate a quantitative analysis, we propose a requirements-driven self-tuning method for the survivability assurance of Web systems. Maintaining an enriched and live goal model, our method adapts to runtime tradeoff decisions made by our PID (proportional-integral-derivative) controller and goal-oriented reasoner for both quality and functional requirements. The goal-based configuration plans produced by the reasoner is carried out on the live goal model, and then mapped into system architectural configurations. Experiments on an online shopping system are conducted to validate the effectiveness of the proposed method. © 2011 IEEE.</v>
      </c>
      <c r="H1064" s="7" t="str">
        <f>IFERROR(__xludf.DUMMYFUNCTION("""COMPUTED_VALUE"""),"earned business value; goal-oriented reasoning; self-tuning; survivability assurance")</f>
        <v>earned business value; goal-oriented reasoning; self-tuning; survivability assurance</v>
      </c>
      <c r="I1064" s="10" t="b">
        <v>0</v>
      </c>
      <c r="J1064" s="10" t="b">
        <v>0</v>
      </c>
      <c r="K1064" s="10" t="b">
        <v>0</v>
      </c>
      <c r="L1064" s="10" t="b">
        <v>0</v>
      </c>
      <c r="M1064" s="10" t="b">
        <v>0</v>
      </c>
      <c r="N1064" s="10" t="b">
        <v>0</v>
      </c>
      <c r="O1064" s="11" t="b">
        <f t="shared" si="1"/>
        <v>0</v>
      </c>
      <c r="P1064" s="16" t="b">
        <v>0</v>
      </c>
      <c r="Q1064" s="7"/>
    </row>
    <row r="1065">
      <c r="A1065" s="5" t="b">
        <v>1</v>
      </c>
      <c r="B1065" s="5" t="s">
        <v>1112</v>
      </c>
      <c r="C1065" s="7" t="str">
        <f>IFERROR(__xludf.DUMMYFUNCTION("""COMPUTED_VALUE"""),"10.1109/REW53955.2021.00054")</f>
        <v>10.1109/REW53955.2021.00054</v>
      </c>
      <c r="D1065" s="7" t="str">
        <f>IFERROR(__xludf.DUMMYFUNCTION("""COMPUTED_VALUE"""),"Nagel L.; Shi J.; Busch M.")</f>
        <v>Nagel L.; Shi J.; Busch M.</v>
      </c>
      <c r="E1065" s="7" t="str">
        <f>IFERROR(__xludf.DUMMYFUNCTION("""COMPUTED_VALUE"""),"Viewing Vision Videos Online: Opportunities for Distributed Stakeholders")</f>
        <v>Viewing Vision Videos Online: Opportunities for Distributed Stakeholders</v>
      </c>
      <c r="F1065" s="7" t="str">
        <f>IFERROR(__xludf.DUMMYFUNCTION("""COMPUTED_VALUE"""),"RE")</f>
        <v>RE</v>
      </c>
      <c r="G1065" s="7" t="str">
        <f>IFERROR(__xludf.DUMMYFUNCTION("""COMPUTED_VALUE"""),"Creating shared understanding between stakeholders is essential for the success of software projects. Conflicting requirements originating from misaligned mental models can hinder the development process. The use of videos to present abstract system visio"&amp;"ns is one approach to counteract this problem. These videos are usually shown in in-person meetings. However, face-to-face meetings are not suited to every situation and every stakeholder, for example due to scheduling constraints. Methods for the use of "&amp;"vision videos in online settings are necessary. Furthermore, methods enabling an asynchronous use of vision videos are needed for cases when conjoined meetings are impossible even in an online setting.In this paper, we compare synchronous and asynchronous"&amp;" viewings of vision videos in online settings. The two methods are piloted in a preliminary experiment. The results show a difference in the amount of arguments regarding the presented visions. On average, participants who took part in asynchronous meetin"&amp;"gs stated more arguments. Our results point to multiple advantages and disadvantages as well as use cases for each type. For example, a synchronous meeting could be chosen when all involved stakeholders can attend the appointment to discuss the vision and"&amp;" to quickly resolve ambiguities. An asynchronous meeting could be held if a joint meeting is not feasible due to time constraints. We also discuss how our findings can be applied to the elicitation of requirements from a crowd of stakeholders.  © 2021 IEE"&amp;"E.")</f>
        <v>Creating shared understanding between stakeholders is essential for the success of software projects. Conflicting requirements originating from misaligned mental models can hinder the development process. The use of videos to present abstract system visions is one approach to counteract this problem. These videos are usually shown in in-person meetings. However, face-to-face meetings are not suited to every situation and every stakeholder, for example due to scheduling constraints. Methods for the use of vision videos in online settings are necessary. Furthermore, methods enabling an asynchronous use of vision videos are needed for cases when conjoined meetings are impossible even in an online setting.In this paper, we compare synchronous and asynchronous viewings of vision videos in online settings. The two methods are piloted in a preliminary experiment. The results show a difference in the amount of arguments regarding the presented visions. On average, participants who took part in asynchronous meetings stated more arguments. Our results point to multiple advantages and disadvantages as well as use cases for each type. For example, a synchronous meeting could be chosen when all involved stakeholders can attend the appointment to discuss the vision and to quickly resolve ambiguities. An asynchronous meeting could be held if a joint meeting is not feasible due to time constraints. We also discuss how our findings can be applied to the elicitation of requirements from a crowd of stakeholders.  © 2021 IEEE.</v>
      </c>
      <c r="H1065" s="7" t="str">
        <f>IFERROR(__xludf.DUMMYFUNCTION("""COMPUTED_VALUE"""),"crowdRE; online; requirements engineering; video; vision")</f>
        <v>crowdRE; online; requirements engineering; video; vision</v>
      </c>
      <c r="I1065" s="9" t="b">
        <v>1</v>
      </c>
      <c r="J1065" s="9" t="b">
        <v>1</v>
      </c>
      <c r="K1065" s="9" t="b">
        <v>1</v>
      </c>
      <c r="L1065" s="10" t="b">
        <v>0</v>
      </c>
      <c r="M1065" s="10" t="b">
        <v>0</v>
      </c>
      <c r="N1065" s="10" t="b">
        <v>0</v>
      </c>
      <c r="O1065" s="11" t="b">
        <f t="shared" si="1"/>
        <v>1</v>
      </c>
      <c r="P1065" s="12" t="b">
        <v>0</v>
      </c>
      <c r="Q1065" s="13"/>
    </row>
    <row r="1066">
      <c r="A1066" s="5" t="b">
        <v>1</v>
      </c>
      <c r="B1066" s="5" t="s">
        <v>1113</v>
      </c>
      <c r="C1066" s="7" t="str">
        <f>IFERROR(__xludf.DUMMYFUNCTION("""COMPUTED_VALUE"""),"10.1109/RE.2006.65")</f>
        <v>10.1109/RE.2006.65</v>
      </c>
      <c r="D1066" s="7" t="str">
        <f>IFERROR(__xludf.DUMMYFUNCTION("""COMPUTED_VALUE"""),"Cleland-Huang J.; Settimi R.; Zou X.; Sole P.")</f>
        <v>Cleland-Huang J.; Settimi R.; Zou X.; Sole P.</v>
      </c>
      <c r="E1066" s="7" t="str">
        <f>IFERROR(__xludf.DUMMYFUNCTION("""COMPUTED_VALUE"""),"The detection and classification of non-functional requirements with application to early aspects")</f>
        <v>The detection and classification of non-functional requirements with application to early aspects</v>
      </c>
      <c r="F1066" s="7" t="str">
        <f>IFERROR(__xludf.DUMMYFUNCTION("""COMPUTED_VALUE"""),"RE")</f>
        <v>RE</v>
      </c>
      <c r="G1066" s="7" t="str">
        <f>IFERROR(__xludf.DUMMYFUNCTION("""COMPUTED_VALUE"""),"This paper introduces an information retrieval based approach for automating the detection and classification of non-functional requirements (NFRs). Early detection of NFRs is useful because it enables system level constraints to be considered and incorpo"&amp;"rated into early architectural designs as opposed to being refactored in at a later time. Candidate NFRs can be detected in both structured and unstructured documents, including requirements specifications that contain scattered and non-categorized NFRs, "&amp;"and freeform documents such as meeting minutes, interview notes, and memos containing stakeholder comments documenting their NFR related needs. This paper describes the classification algorithm and then evaluates its effectiveness in an experiment based o"&amp;"n fifteen requirements specifications developed as term projects by MS students at DePaul University. An additional case study is also described in which the approach is used to classifying NFRs from a large free form requirements document obtained from S"&amp;"iemens Logistics and Automotive Organization. © 2006 IEEE.")</f>
        <v>This paper introduces an information retrieval based approach for automating the detection and classification of non-functional requirements (NFRs). Early detection of NFRs is useful because it enables system level constraints to be considered and incorporated into early architectural designs as opposed to being refactored in at a later time. Candidate NFRs can be detected in both structured and unstructured documents, including requirements specifications that contain scattered and non-categorized NFRs, and freeform documents such as meeting minutes, interview notes, and memos containing stakeholder comments documenting their NFR related needs. This paper describes the classification algorithm and then evaluates its effectiveness in an experiment based on fifteen requirements specifications developed as term projects by MS students at DePaul University. An additional case study is also described in which the approach is used to classifying NFRs from a large free form requirements document obtained from Siemens Logistics and Automotive Organization. © 2006 IEEE.</v>
      </c>
      <c r="H1066" s="7"/>
      <c r="I1066" s="10" t="b">
        <v>0</v>
      </c>
      <c r="J1066" s="10" t="b">
        <v>0</v>
      </c>
      <c r="K1066" s="10" t="b">
        <v>0</v>
      </c>
      <c r="L1066" s="10" t="b">
        <v>0</v>
      </c>
      <c r="M1066" s="10" t="b">
        <v>0</v>
      </c>
      <c r="N1066" s="10" t="b">
        <v>0</v>
      </c>
      <c r="O1066" s="11" t="b">
        <f t="shared" si="1"/>
        <v>0</v>
      </c>
      <c r="P1066" s="16" t="b">
        <v>0</v>
      </c>
      <c r="Q1066" s="7"/>
    </row>
    <row r="1067">
      <c r="A1067" s="5" t="b">
        <v>1</v>
      </c>
      <c r="B1067" s="5" t="s">
        <v>1114</v>
      </c>
      <c r="C1067" s="7" t="str">
        <f>IFERROR(__xludf.DUMMYFUNCTION("""COMPUTED_VALUE"""),"10.1109/RE57278.2023.00023")</f>
        <v>10.1109/RE57278.2023.00023</v>
      </c>
      <c r="D1067" s="7" t="str">
        <f>IFERROR(__xludf.DUMMYFUNCTION("""COMPUTED_VALUE"""),"Baatartogtokh Y.; Foster I.; Grubb A.M.")</f>
        <v>Baatartogtokh Y.; Foster I.; Grubb A.M.</v>
      </c>
      <c r="E1067" s="7" t="str">
        <f>IFERROR(__xludf.DUMMYFUNCTION("""COMPUTED_VALUE"""),"An Experiment on the Effects of Using Color to Visualize Requirements Analysis Tasks")</f>
        <v>An Experiment on the Effects of Using Color to Visualize Requirements Analysis Tasks</v>
      </c>
      <c r="F1067" s="7" t="str">
        <f>IFERROR(__xludf.DUMMYFUNCTION("""COMPUTED_VALUE"""),"RE")</f>
        <v>RE</v>
      </c>
      <c r="G1067" s="7" t="str">
        <f>IFERROR(__xludf.DUMMYFUNCTION("""COMPUTED_VALUE"""),"Recent approaches have investigated assisting users in making early trade-off decisions when the future evolution of project elements is uncertain. These approaches have demon-strated promise in their analytical capabilities; yet, stakeholders have expres"&amp;"sed concerns about the readability of the models and resulting analysis, which builds upon Tropos. Tropos is based on formal semantics enabling automated analysis; however, this creates a problem of interpreting evidence pairs. The aim of our broader rese"&amp;"arch project is to improve the process of model comprehension and decision making by improving how analysts interpret and make decisions. We extend and evaluate a prior approach, called EVO, which uses color to visualize evidence pairs. In this scientific"&amp;" evaluation paper, we explore the effectiveness and usability of EVO. We conduct an experiment (n = 32) to measure any effect of using colors to represent evidence pairs. We find that with minimal training, untrained modelers were able to use the color vi"&amp;"sualization for decision making. The visualization significantly improves the speed of model comprehension and users found it helpful.  © 2023 IEEE.")</f>
        <v>Recent approaches have investigated assisting users in making early trade-off decisions when the future evolution of project elements is uncertain. These approaches have demon-strated promise in their analytical capabilities; yet, stakeholders have expressed concerns about the readability of the models and resulting analysis, which builds upon Tropos. Tropos is based on formal semantics enabling automated analysis; however, this creates a problem of interpreting evidence pairs. The aim of our broader research project is to improve the process of model comprehension and decision making by improving how analysts interpret and make decisions. We extend and evaluate a prior approach, called EVO, which uses color to visualize evidence pairs. In this scientific evaluation paper, we explore the effectiveness and usability of EVO. We conduct an experiment (n = 32) to measure any effect of using colors to represent evidence pairs. We find that with minimal training, untrained modelers were able to use the color visualization for decision making. The visualization significantly improves the speed of model comprehension and users found it helpful.  © 2023 IEEE.</v>
      </c>
      <c r="H1067" s="7"/>
      <c r="I1067" s="9" t="b">
        <v>1</v>
      </c>
      <c r="J1067" s="9" t="b">
        <v>1</v>
      </c>
      <c r="K1067" s="9" t="b">
        <v>1</v>
      </c>
      <c r="L1067" s="10" t="b">
        <v>0</v>
      </c>
      <c r="M1067" s="10" t="b">
        <v>0</v>
      </c>
      <c r="N1067" s="10" t="b">
        <v>0</v>
      </c>
      <c r="O1067" s="11" t="b">
        <f t="shared" si="1"/>
        <v>1</v>
      </c>
      <c r="P1067" s="16" t="b">
        <v>0</v>
      </c>
      <c r="Q1067" s="7"/>
    </row>
    <row r="1068">
      <c r="A1068" s="5" t="b">
        <v>1</v>
      </c>
      <c r="B1068" s="5" t="s">
        <v>1115</v>
      </c>
      <c r="C1068" s="7"/>
      <c r="D1068" s="7"/>
      <c r="E1068" s="7" t="str">
        <f>IFERROR(__xludf.DUMMYFUNCTION("""COMPUTED_VALUE"""),"Proceedings - 2017 IEEE 25th International Requirements Engineering Conference, RE 2017")</f>
        <v>Proceedings - 2017 IEEE 25th International Requirements Engineering Conference, RE 2017</v>
      </c>
      <c r="F1068" s="7" t="str">
        <f>IFERROR(__xludf.DUMMYFUNCTION("""COMPUTED_VALUE"""),"RE")</f>
        <v>RE</v>
      </c>
      <c r="G1068" s="7" t="str">
        <f>IFERROR(__xludf.DUMMYFUNCTION("""COMPUTED_VALUE"""),"The proceedings contain 81 papers. The topics discussed include: a little bird told me: mining tweets for requirements and software evolution; SAFE: a simple approach for feature extraction from app descriptions and app reviews; a framework for improving "&amp;"the verifiability of visual notation design grounded in the physics of notations; feedback gathering from an industrial point of view; users � the hidden software product quality experts?: a study on how app users report quality aspects in online reviews;"&amp;" what requirements knowledge do developers need to manage change in safety-critical systems?; datasets from fifteen years of automated requirements traceability research: current state, characteristics, and quality; safety-focused security requirements el"&amp;"icitation for medical device software; reinforcing security requirements with multifactor quality measurement; modeling and reasoning with changing intentions: an experiment; how much undocumented knowledge is there in agile software development?: case st"&amp;"udy on industrial project using issue tracking system and version control system; software requirements analyst profile: a descriptive study of Brazil and Mexico; improving the identification of hedonic quality in user requirements � a controlled experime"&amp;"nt; usability insights for requirements engineering tools: a user study with practitioners in aeronautics; a case study on evaluating the relevance of some rules for writing requirements through an online survey; and a formalization method to process stru"&amp;"ctured natural language to logic expressions to detect redundant specification and test statements.")</f>
        <v>The proceedings contain 81 papers. The topics discussed include: a little bird told me: mining tweets for requirements and software evolution; SAFE: a simple approach for feature extraction from app descriptions and app reviews; a framework for improving the verifiability of visual notation design grounded in the physics of notations; feedback gathering from an industrial point of view; users � the hidden software product quality experts?: a study on how app users report quality aspects in online reviews; what requirements knowledge do developers need to manage change in safety-critical systems?; datasets from fifteen years of automated requirements traceability research: current state, characteristics, and quality; safety-focused security requirements elicitation for medical device software; reinforcing security requirements with multifactor quality measurement; modeling and reasoning with changing intentions: an experiment; how much undocumented knowledge is there in agile software development?: case study on industrial project using issue tracking system and version control system; software requirements analyst profile: a descriptive study of Brazil and Mexico; improving the identification of hedonic quality in user requirements � a controlled experiment; usability insights for requirements engineering tools: a user study with practitioners in aeronautics; a case study on evaluating the relevance of some rules for writing requirements through an online survey; and a formalization method to process structured natural language to logic expressions to detect redundant specification and test statements.</v>
      </c>
      <c r="H1068" s="7"/>
      <c r="I1068" s="10" t="b">
        <v>0</v>
      </c>
      <c r="J1068" s="10" t="b">
        <v>0</v>
      </c>
      <c r="K1068" s="10" t="b">
        <v>0</v>
      </c>
      <c r="L1068" s="10" t="b">
        <v>0</v>
      </c>
      <c r="M1068" s="10" t="b">
        <v>0</v>
      </c>
      <c r="N1068" s="10" t="b">
        <v>0</v>
      </c>
      <c r="O1068" s="11" t="b">
        <f t="shared" si="1"/>
        <v>0</v>
      </c>
      <c r="P1068" s="16" t="b">
        <v>0</v>
      </c>
      <c r="Q1068" s="7"/>
    </row>
    <row r="1069">
      <c r="A1069" s="5" t="b">
        <v>1</v>
      </c>
      <c r="B1069" s="5" t="s">
        <v>1116</v>
      </c>
      <c r="C1069" s="7" t="str">
        <f>IFERROR(__xludf.DUMMYFUNCTION("""COMPUTED_VALUE"""),"10.1109/RE54965.2022.00019")</f>
        <v>10.1109/RE54965.2022.00019</v>
      </c>
      <c r="D1069" s="7" t="str">
        <f>IFERROR(__xludf.DUMMYFUNCTION("""COMPUTED_VALUE"""),"Chazette L.; Klos V.; Herzog F.; Schneider K.")</f>
        <v>Chazette L.; Klos V.; Herzog F.; Schneider K.</v>
      </c>
      <c r="E1069" s="7" t="str">
        <f>IFERROR(__xludf.DUMMYFUNCTION("""COMPUTED_VALUE"""),"Requirements on Explanations: A Quality Framework for Explainability")</f>
        <v>Requirements on Explanations: A Quality Framework for Explainability</v>
      </c>
      <c r="F1069" s="7" t="str">
        <f>IFERROR(__xludf.DUMMYFUNCTION("""COMPUTED_VALUE"""),"RE")</f>
        <v>RE</v>
      </c>
      <c r="G1069" s="7" t="str">
        <f>IFERROR(__xludf.DUMMYFUNCTION("""COMPUTED_VALUE"""),"Explainability has been acknowledged as a fundamental requirement for modern information systems. However, there are currently only few guidelines available to assist software professionals in dealing with this requirement and integrating it into systems."&amp;" More precisely, there is a lack of frameworks and guidelines that help to define and operationalize explainability requirements. To address this need, we present a quality framework that aggregates external dependencies, characteristics of explanations, "&amp;"and evaluation methods to facilitate the analysis, operationalization, and evaluation of explainability requirements. We conducted a literature study to construct the framework and demonstrated its applicability by using it as a guideline for incorporatin"&amp;"g explanations into an existing navigation system. Finally, we evaluated the quality and effect of the explanations through an experiment within our case study. Our results show that the quality framework is applicable and beneficial in an industrial cont"&amp;"ext and leads to the construction of explanations that increase usage frequency, system acceptance and user satisfaction.  © 2022 IEEE.")</f>
        <v>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v>
      </c>
      <c r="H1069" s="7" t="str">
        <f>IFERROR(__xludf.DUMMYFUNCTION("""COMPUTED_VALUE"""),"Case Study; Explainability; Explainable Systems; Explanations; NonFunctional Requirements; Quality Aspects")</f>
        <v>Case Study; Explainability; Explainable Systems; Explanations; NonFunctional Requirements; Quality Aspects</v>
      </c>
      <c r="I1069" s="9" t="b">
        <v>0</v>
      </c>
      <c r="J1069" s="9" t="b">
        <v>1</v>
      </c>
      <c r="K1069" s="9" t="b">
        <v>1</v>
      </c>
      <c r="L1069" s="10" t="b">
        <v>0</v>
      </c>
      <c r="M1069" s="10" t="b">
        <v>0</v>
      </c>
      <c r="N1069" s="10" t="b">
        <v>0</v>
      </c>
      <c r="O1069" s="11" t="b">
        <f t="shared" si="1"/>
        <v>0</v>
      </c>
      <c r="P1069" s="12" t="b">
        <v>0</v>
      </c>
      <c r="Q1069" s="13"/>
    </row>
    <row r="1070">
      <c r="A1070" s="5" t="b">
        <v>1</v>
      </c>
      <c r="B1070" s="5" t="s">
        <v>1117</v>
      </c>
      <c r="C1070" s="7" t="str">
        <f>IFERROR(__xludf.DUMMYFUNCTION("""COMPUTED_VALUE"""),"10.1109/RE.2016.20")</f>
        <v>10.1109/RE.2016.20</v>
      </c>
      <c r="D1070" s="7" t="str">
        <f>IFERROR(__xludf.DUMMYFUNCTION("""COMPUTED_VALUE"""),"Bhatia J.; Breaux T.D.; Reidenberg J.R.; Norton T.B.")</f>
        <v>Bhatia J.; Breaux T.D.; Reidenberg J.R.; Norton T.B.</v>
      </c>
      <c r="E1070" s="7" t="str">
        <f>IFERROR(__xludf.DUMMYFUNCTION("""COMPUTED_VALUE"""),"A Theory of Vagueness and Privacy Risk Perception")</f>
        <v>A Theory of Vagueness and Privacy Risk Perception</v>
      </c>
      <c r="F1070" s="7" t="str">
        <f>IFERROR(__xludf.DUMMYFUNCTION("""COMPUTED_VALUE"""),"RE")</f>
        <v>RE</v>
      </c>
      <c r="G1070" s="7" t="str">
        <f>IFERROR(__xludf.DUMMYFUNCTION("""COMPUTED_VALUE"""),"Ambiguity arises in requirements when astatement is unintentionally or otherwise incomplete, missing information, or when a word or phrase has morethan one possible meaning. For web-based and mobileinformation systems, ambiguity, and vagueness inparticula"&amp;"r, undermines the ability of organizations to aligntheir privacy policies with their data practices, which canconfuse or mislead users thus leading to an increase inprivacy risk. In this paper, we introduce a theory ofvagueness for privacy policy statemen"&amp;"ts based on ataxonomy of vague terms derived from an empiricalcontent analysis of 15 privacy policies. The taxonomy wasevaluated in a paired comparison experiment and resultswere analyzed using the Bradley-Terry model to yield arank order of vague terms i"&amp;"n both isolation andcomposition. The theory predicts how vague modifiers toinformation actions and information types can becomposed to increase or decrease overall vagueness. Wefurther provide empirical evidence based on factorialvignette surveys to show "&amp;"how increases in vagueness willdecrease users' acceptance of privacy risk and thusdecrease users' willingness to share personal information. © 2016 IEEE.")</f>
        <v>Ambiguity arises in requirements when astatement is unintentionally or otherwise incomplete, missing information, or when a word or phrase has morethan one possible meaning. For web-based and mobileinformation systems, ambiguity, and vagueness inparticular, undermines the ability of organizations to aligntheir privacy policies with their data practices, which canconfuse or mislead users thus leading to an increase inprivacy risk. In this paper, we introduce a theory ofvagueness for privacy policy statements based on ataxonomy of vague terms derived from an empiricalcontent analysis of 15 privacy policies. The taxonomy wasevaluated in a paired comparison experiment and resultswere analyzed using the Bradley-Terry model to yield arank order of vague terms in both isolation andcomposition. The theory predicts how vague modifiers toinformation actions and information types can becomposed to increase or decrease overall vagueness. Wefurther provide empirical evidence based on factorialvignette surveys to show how increases in vagueness willdecrease users' acceptance of privacy risk and thusdecrease users' willingness to share personal information. © 2016 IEEE.</v>
      </c>
      <c r="H1070" s="7" t="str">
        <f>IFERROR(__xludf.DUMMYFUNCTION("""COMPUTED_VALUE"""),"hedging; natural language processing; privacy; risk perception; vagueness")</f>
        <v>hedging; natural language processing; privacy; risk perception; vagueness</v>
      </c>
      <c r="I1070" s="10" t="b">
        <v>0</v>
      </c>
      <c r="J1070" s="10" t="b">
        <v>0</v>
      </c>
      <c r="K1070" s="10" t="b">
        <v>0</v>
      </c>
      <c r="L1070" s="10" t="b">
        <v>0</v>
      </c>
      <c r="M1070" s="10" t="b">
        <v>0</v>
      </c>
      <c r="N1070" s="10" t="b">
        <v>0</v>
      </c>
      <c r="O1070" s="11" t="b">
        <f t="shared" si="1"/>
        <v>0</v>
      </c>
      <c r="P1070" s="16" t="b">
        <v>0</v>
      </c>
      <c r="Q1070" s="7"/>
    </row>
    <row r="1071">
      <c r="A1071" s="5" t="b">
        <v>1</v>
      </c>
      <c r="B1071" s="5" t="s">
        <v>1118</v>
      </c>
      <c r="C1071" s="7" t="str">
        <f>IFERROR(__xludf.DUMMYFUNCTION("""COMPUTED_VALUE"""),"10.1109/RE.2015.7320404")</f>
        <v>10.1109/RE.2015.7320404</v>
      </c>
      <c r="D1071" s="7" t="str">
        <f>IFERROR(__xludf.DUMMYFUNCTION("""COMPUTED_VALUE"""),"Holm H.; Sommestad T.; Bengtsson J.")</f>
        <v>Holm H.; Sommestad T.; Bengtsson J.</v>
      </c>
      <c r="E1071" s="7" t="str">
        <f>IFERROR(__xludf.DUMMYFUNCTION("""COMPUTED_VALUE"""),"Requirements engineering: The quest for the dependent variable")</f>
        <v>Requirements engineering: The quest for the dependent variable</v>
      </c>
      <c r="F1071" s="7" t="str">
        <f>IFERROR(__xludf.DUMMYFUNCTION("""COMPUTED_VALUE"""),"RE")</f>
        <v>RE</v>
      </c>
      <c r="G1071" s="7" t="str">
        <f>IFERROR(__xludf.DUMMYFUNCTION("""COMPUTED_VALUE"""),"Requirements engineering is a vibrant and broad research area. It covers a range of activities with different objectives. By reviewing experiments previously included in systematic literature reviews, this paper provides an overview of the dependent varia"&amp;"bles used in experimental requirements engineering research. This paper also identifies the theoretical motivation for the use of these variables in the experiments. The results show that a wide range of different variables has been applied in experiments"&amp;" and operationalized through both subjective assessments (e.g., subjects' perceived utility of a technique) and objective measurements (e.g., the number of defects found in a requirements specification). The theoretical basis for these variables and opera"&amp;"tionalizations are unclear in most cases. Directions for theoretical work to identify suitable dependent variables are provided. © 2015 IEEE.")</f>
        <v>Requirements engineering is a vibrant and broad research area. It covers a range of activities with different objectives. By reviewing experiments previously included in systematic literature reviews, this paper provides an overview of the dependent variables used in experimental requirements engineering research. This paper also identifies the theoretical motivation for the use of these variables in the experiments. The results show that a wide range of different variables has been applied in experiments and operationalized through both subjective assessments (e.g., subjects' perceived utility of a technique) and objective measurements (e.g., the number of defects found in a requirements specification). The theoretical basis for these variables and operationalizations are unclear in most cases. Directions for theoretical work to identify suitable dependent variables are provided. © 2015 IEEE.</v>
      </c>
      <c r="H1071" s="7" t="str">
        <f>IFERROR(__xludf.DUMMYFUNCTION("""COMPUTED_VALUE"""),"dependent variables; experiments; frameworks; measurement; Requirements engineering; theory")</f>
        <v>dependent variables; experiments; frameworks; measurement; Requirements engineering; theory</v>
      </c>
      <c r="I1071" s="10" t="b">
        <v>0</v>
      </c>
      <c r="J1071" s="10" t="b">
        <v>0</v>
      </c>
      <c r="K1071" s="10" t="b">
        <v>0</v>
      </c>
      <c r="L1071" s="10" t="b">
        <v>0</v>
      </c>
      <c r="M1071" s="10" t="b">
        <v>0</v>
      </c>
      <c r="N1071" s="10" t="b">
        <v>0</v>
      </c>
      <c r="O1071" s="11" t="b">
        <f t="shared" si="1"/>
        <v>0</v>
      </c>
      <c r="P1071" s="16" t="b">
        <v>0</v>
      </c>
      <c r="Q1071" s="7"/>
    </row>
    <row r="1072">
      <c r="A1072" s="5" t="b">
        <v>1</v>
      </c>
      <c r="B1072" s="5" t="s">
        <v>1119</v>
      </c>
      <c r="C1072" s="7" t="str">
        <f>IFERROR(__xludf.DUMMYFUNCTION("""COMPUTED_VALUE"""),"10.1109/RE.2009.11")</f>
        <v>10.1109/RE.2009.11</v>
      </c>
      <c r="D1072" s="7" t="str">
        <f>IFERROR(__xludf.DUMMYFUNCTION("""COMPUTED_VALUE"""),"Carvallo J.P.; Franch X.")</f>
        <v>Carvallo J.P.; Franch X.</v>
      </c>
      <c r="E1072" s="7" t="str">
        <f>IFERROR(__xludf.DUMMYFUNCTION("""COMPUTED_VALUE"""),"On the use of requirements for driving call-for-tender processes for procuring coarse-grained OTS components")</f>
        <v>On the use of requirements for driving call-for-tender processes for procuring coarse-grained OTS components</v>
      </c>
      <c r="F1072" s="7" t="str">
        <f>IFERROR(__xludf.DUMMYFUNCTION("""COMPUTED_VALUE"""),"RE")</f>
        <v>RE</v>
      </c>
      <c r="G1072" s="7" t="str">
        <f>IFERROR(__xludf.DUMMYFUNCTION("""COMPUTED_VALUE"""),"Because of their complexity, software systems are currently built by integrating components of different nature into hybrid architectures, usually including some third party Off-The-Shelf (OTS) components. Several methods have been proposed to support OTS"&amp;" component selection. Most of them work by comparing requirements, incrementally gained though several iterations, and component descriptions. However, the iterative nature of these methods makes them practically unsuitable in some cases, particularly whe"&amp;"n conducting call-for-tender-based processes for selecting coarse-grained OTS components. In these cases, company goals need to be thoughtfully and systematically engineered to obtain a well structured set of requirements, which is to remain static during"&amp;" the entire procurement process and cannot be validated through hands-on experimentation. In this paper we report a case study in the selection of an ERP system for a telecommunications company using a call-for-tender process. We present the activities th"&amp;"at were undertaken to elicit, analyze and structure the requirements to be included in call-for-tender documents, and the evaluation of components based on the identification of mismatches between requirements and component capabilities. © 2009 IEEE.")</f>
        <v>Because of their complexity, software systems are currently built by integrating components of different nature into hybrid architectures, usually including some third party Off-The-Shelf (OTS) components. Several methods have been proposed to support OTS component selection. Most of them work by comparing requirements, incrementally gained though several iterations, and component descriptions. However, the iterative nature of these methods makes them practically unsuitable in some cases, particularly when conducting call-for-tender-based processes for selecting coarse-grained OTS components. In these cases, company goals need to be thoughtfully and systematically engineered to obtain a well structured set of requirements, which is to remain static during the entire procurement process and cannot be validated through hands-on experimentation. In this paper we report a case study in the selection of an ERP system for a telecommunications company using a call-for-tender process. We present the activities that were undertaken to elicit, analyze and structure the requirements to be included in call-for-tender documents, and the evaluation of components based on the identification of mismatches between requirements and component capabilities. © 2009 IEEE.</v>
      </c>
      <c r="H1072" s="7"/>
      <c r="I1072" s="10" t="b">
        <v>0</v>
      </c>
      <c r="J1072" s="10" t="b">
        <v>0</v>
      </c>
      <c r="K1072" s="10" t="b">
        <v>0</v>
      </c>
      <c r="L1072" s="10" t="b">
        <v>0</v>
      </c>
      <c r="M1072" s="10" t="b">
        <v>0</v>
      </c>
      <c r="N1072" s="10" t="b">
        <v>0</v>
      </c>
      <c r="O1072" s="11" t="b">
        <f t="shared" si="1"/>
        <v>0</v>
      </c>
      <c r="P1072" s="16" t="b">
        <v>0</v>
      </c>
      <c r="Q1072" s="7"/>
    </row>
    <row r="1073">
      <c r="A1073" s="5" t="b">
        <v>1</v>
      </c>
      <c r="B1073" s="5" t="s">
        <v>1120</v>
      </c>
      <c r="C1073" s="7" t="str">
        <f>IFERROR(__xludf.DUMMYFUNCTION("""COMPUTED_VALUE"""),"10.1109/RE51729.2021.00010")</f>
        <v>10.1109/RE51729.2021.00010</v>
      </c>
      <c r="D1073" s="7" t="str">
        <f>IFERROR(__xludf.DUMMYFUNCTION("""COMPUTED_VALUE"""),"Zhao Z.; Zhang L.; Lian X.")</f>
        <v>Zhao Z.; Zhang L.; Lian X.</v>
      </c>
      <c r="E1073" s="7" t="str">
        <f>IFERROR(__xludf.DUMMYFUNCTION("""COMPUTED_VALUE"""),"What can Open Domain Model Tell Us about the Missing Software Requirements: A Preliminary Study")</f>
        <v>What can Open Domain Model Tell Us about the Missing Software Requirements: A Preliminary Study</v>
      </c>
      <c r="F1073" s="7" t="str">
        <f>IFERROR(__xludf.DUMMYFUNCTION("""COMPUTED_VALUE"""),"RE")</f>
        <v>RE</v>
      </c>
      <c r="G1073" s="7" t="str">
        <f>IFERROR(__xludf.DUMMYFUNCTION("""COMPUTED_VALUE"""),"Completeness is one of the most important attributes of software requirement specification. Unfortunately, incompleteness is one of the most difficult violations to detect. Some approaches have been proposed to detect missing requirements based on the req"&amp;"uirement-oriented domain model. However, these kinds of models are actually lack for lots of domains. Fortunately, the domain models constructed for different purposes can usually be found online. This raises a question: whether or not these domain models"&amp;" are useful for finding the missing functional information in requirement specification? To explore this question, we design and conduct a preliminary study by computing the overlapping rate between the entities in domain models and the concepts of natura"&amp;"l language software requirements, and then digging into four regularities of the occurrence of these entities(concepts) based on two example domains. The usefulness of these regularities, especially the one based our proposed metric AHME (with 54% and 70%"&amp;" of F2 on the two domains), has been initially evaluated with an additional experiment.  © 2021 IEEE.")</f>
        <v>Completeness is one of the most important attributes of software requirement specification. Unfortunately, incompleteness is one of the most difficult violations to detect. Some approaches have been proposed to detect missing requirements based on the requirement-oriented domain model. However, these kinds of models are actually lack for lots of domains. Fortunately, the domain models constructed for different purposes can usually be found online. This raises a question: whether or not these domain models are useful for finding the missing functional information in requirement specification? To explore this question, we design and conduct a preliminary study by computing the overlapping rate between the entities in domain models and the concepts of natural language software requirements, and then digging into four regularities of the occurrence of these entities(concepts) based on two example domains. The usefulness of these regularities, especially the one based our proposed metric AHME (with 54% and 70% of F2 on the two domains), has been initially evaluated with an additional experiment.  © 2021 IEEE.</v>
      </c>
      <c r="H1073" s="7" t="str">
        <f>IFERROR(__xludf.DUMMYFUNCTION("""COMPUTED_VALUE"""),"Completeness validation; Domain model; Software requirements")</f>
        <v>Completeness validation; Domain model; Software requirements</v>
      </c>
      <c r="I1073" s="10" t="b">
        <v>0</v>
      </c>
      <c r="J1073" s="10" t="b">
        <v>0</v>
      </c>
      <c r="K1073" s="10" t="b">
        <v>0</v>
      </c>
      <c r="L1073" s="10" t="b">
        <v>0</v>
      </c>
      <c r="M1073" s="10" t="b">
        <v>0</v>
      </c>
      <c r="N1073" s="10" t="b">
        <v>0</v>
      </c>
      <c r="O1073" s="11" t="b">
        <f t="shared" si="1"/>
        <v>0</v>
      </c>
      <c r="P1073" s="16" t="b">
        <v>0</v>
      </c>
      <c r="Q1073" s="7"/>
    </row>
    <row r="1074">
      <c r="A1074" s="5" t="b">
        <v>1</v>
      </c>
      <c r="B1074" s="5" t="s">
        <v>1121</v>
      </c>
      <c r="C1074" s="7" t="str">
        <f>IFERROR(__xludf.DUMMYFUNCTION("""COMPUTED_VALUE"""),"10.1109/RE.2011.6051651")</f>
        <v>10.1109/RE.2011.6051651</v>
      </c>
      <c r="D1074" s="7" t="str">
        <f>IFERROR(__xludf.DUMMYFUNCTION("""COMPUTED_VALUE"""),"Sampath P.; Arora S.; Ramesh S.")</f>
        <v>Sampath P.; Arora S.; Ramesh S.</v>
      </c>
      <c r="E1074" s="7" t="str">
        <f>IFERROR(__xludf.DUMMYFUNCTION("""COMPUTED_VALUE"""),"Evolving specifications formally")</f>
        <v>Evolving specifications formally</v>
      </c>
      <c r="F1074" s="7" t="str">
        <f>IFERROR(__xludf.DUMMYFUNCTION("""COMPUTED_VALUE"""),"RE")</f>
        <v>RE</v>
      </c>
      <c r="G1074" s="7" t="str">
        <f>IFERROR(__xludf.DUMMYFUNCTION("""COMPUTED_VALUE"""),"This paper presents a formal specification and analysis method motivated by issues faced during early stages of requirements development for automotive features. At this early stage of development, only overall goals of features are understood, and there "&amp;"is a need to discover all possible scenarios of operation. We have developed a formalism - Structured Transition Systems (STS) - that facilitates the rapid evolution of specifications. STS supports multiple idioms of specification : transitions, state-dia"&amp;"grams, scenarios etc. It also supports constructs for hierarchical organization of a specification. We have further defined analyses that are useful for review and inspection of STS specifications. A distinctive feature of our method is the ability to use"&amp;" analysis results to refine and reinforce parts of the specification by importing analysis results into STS specifications. In practice, this leads to a feedback loop where requirements can be rapidly refined using analysis engines to drive the developmen"&amp;"t of requirements. We have experimented using our technique on a number of automotive case-studies, and we present some of our experiences with these case-studies. © 2011 IEEE.")</f>
        <v>This paper presents a formal specification and analysis method motivated by issues faced during early stages of requirements development for automotive features. At this early stage of development, only overall goals of features are understood, and there is a need to discover all possible scenarios of operation. We have developed a formalism - Structured Transition Systems (STS) - that facilitates the rapid evolution of specifications. STS supports multiple idioms of specification : transitions, state-diagrams, scenarios etc. It also supports constructs for hierarchical organization of a specification. We have further defined analyses that are useful for review and inspection of STS specifications. A distinctive feature of our method is the ability to use analysis results to refine and reinforce parts of the specification by importing analysis results into STS specifications. In practice, this leads to a feedback loop where requirements can be rapidly refined using analysis engines to drive the development of requirements. We have experimented using our technique on a number of automotive case-studies, and we present some of our experiences with these case-studies. © 2011 IEEE.</v>
      </c>
      <c r="H1074" s="7" t="str">
        <f>IFERROR(__xludf.DUMMYFUNCTION("""COMPUTED_VALUE"""),"formal analysis; specification language; state-machine")</f>
        <v>formal analysis; specification language; state-machine</v>
      </c>
      <c r="I1074" s="10" t="b">
        <v>0</v>
      </c>
      <c r="J1074" s="10" t="b">
        <v>0</v>
      </c>
      <c r="K1074" s="10" t="b">
        <v>0</v>
      </c>
      <c r="L1074" s="10" t="b">
        <v>0</v>
      </c>
      <c r="M1074" s="10" t="b">
        <v>0</v>
      </c>
      <c r="N1074" s="10" t="b">
        <v>0</v>
      </c>
      <c r="O1074" s="11" t="b">
        <f t="shared" si="1"/>
        <v>0</v>
      </c>
      <c r="P1074" s="16" t="b">
        <v>0</v>
      </c>
      <c r="Q1074" s="7"/>
    </row>
    <row r="1075">
      <c r="A1075" s="5" t="b">
        <v>1</v>
      </c>
      <c r="B1075" s="5" t="s">
        <v>1122</v>
      </c>
      <c r="C1075" s="7" t="str">
        <f>IFERROR(__xludf.DUMMYFUNCTION("""COMPUTED_VALUE"""),"10.1109/RE51729.2021.00026")</f>
        <v>10.1109/RE51729.2021.00026</v>
      </c>
      <c r="D1075" s="7" t="str">
        <f>IFERROR(__xludf.DUMMYFUNCTION("""COMPUTED_VALUE"""),"Gralha C.; Pereira R.; Goulao M.; Araujo J.")</f>
        <v>Gralha C.; Pereira R.; Goulao M.; Araujo J.</v>
      </c>
      <c r="E1075" s="7" t="str">
        <f>IFERROR(__xludf.DUMMYFUNCTION("""COMPUTED_VALUE"""),"On the impact of using different templates on creating and understanding user stories")</f>
        <v>On the impact of using different templates on creating and understanding user stories</v>
      </c>
      <c r="F1075" s="7" t="str">
        <f>IFERROR(__xludf.DUMMYFUNCTION("""COMPUTED_VALUE"""),"RE")</f>
        <v>RE</v>
      </c>
      <c r="G1075" s="7" t="str">
        <f>IFERROR(__xludf.DUMMYFUNCTION("""COMPUTED_VALUE"""),"Context: User stories are often used for elicitation and prioritisation of requirements. However, the lack of a widely adopted user story template, covering benefit and the usage (or not) of a persona, can affect user stories' quality, leading to ambiguit"&amp;"y, lack of completeness, or accidental complexity. Objectives: Our goal was to analyse the differences between 4 alternative user story templates when creating and understanding user stories. Methods: We conducted a quasi-experiment. We asked 41 participa"&amp;"nts to perform creation and understanding tasks with the user story templates. We measured their accuracy, using metrics of task success; their speed, with task duration; visual effort, collected with an eye-tracker; and participants' perceived effort, ev"&amp;"aluated with NASA-TLX. Results: Regarding the impact of the different templates in creating user stories, we observed statistically significant differences in some of the metrics for accuracy, speed and visual effort. For understanding user stories, we ob"&amp;"served small differences in terms of visual effort. Conclusions: Although some templates outperformed others in a few metrics, no template obtained the best overall result. As such, we found no compelling evidence that one template is ""better""than the o"&amp;"thers.  © 2021 IEEE.")</f>
        <v>Context: User stories are often used for elicitation and prioritisation of requirements. However, the lack of a widely adopted user story template, covering benefit and the usage (or not) of a persona, can affect user stories' quality, leading to ambiguity, lack of completeness, or accidental complexity. Objectives: Our goal was to analyse the differences between 4 alternative user story templates when creating and understanding user stories. Methods: We conducted a quasi-experiment. We asked 41 participants to perform creation and understanding tasks with the user story templates. We measured their accuracy, using metrics of task success; their speed, with task duration; visual effort, collected with an eye-tracker; and participants' perceived effort, evaluated with NASA-TLX. Results: Regarding the impact of the different templates in creating user stories, we observed statistically significant differences in some of the metrics for accuracy, speed and visual effort. For understanding user stories, we observed small differences in terms of visual effort. Conclusions: Although some templates outperformed others in a few metrics, no template obtained the best overall result. As such, we found no compelling evidence that one template is "better"than the others.  © 2021 IEEE.</v>
      </c>
      <c r="H1075" s="7" t="str">
        <f>IFERROR(__xludf.DUMMYFUNCTION("""COMPUTED_VALUE"""),"Empirical evaluation; Eye-tracking; User story templates")</f>
        <v>Empirical evaluation; Eye-tracking; User story templates</v>
      </c>
      <c r="I1075" s="9" t="b">
        <v>1</v>
      </c>
      <c r="J1075" s="9" t="b">
        <v>1</v>
      </c>
      <c r="K1075" s="9" t="b">
        <v>1</v>
      </c>
      <c r="L1075" s="10" t="b">
        <v>0</v>
      </c>
      <c r="M1075" s="10" t="b">
        <v>0</v>
      </c>
      <c r="N1075" s="9" t="b">
        <v>1</v>
      </c>
      <c r="O1075" s="11" t="b">
        <f t="shared" si="1"/>
        <v>0</v>
      </c>
      <c r="P1075" s="16" t="b">
        <v>0</v>
      </c>
      <c r="Q1075" s="13" t="s">
        <v>1123</v>
      </c>
    </row>
    <row r="1076">
      <c r="A1076" s="5" t="b">
        <v>1</v>
      </c>
      <c r="B1076" s="5" t="s">
        <v>1124</v>
      </c>
      <c r="C1076" s="7" t="str">
        <f>IFERROR(__xludf.DUMMYFUNCTION("""COMPUTED_VALUE"""),"10.1109/RE.2019.00020")</f>
        <v>10.1109/RE.2019.00020</v>
      </c>
      <c r="D1076" s="7" t="str">
        <f>IFERROR(__xludf.DUMMYFUNCTION("""COMPUTED_VALUE"""),"Villamizar H.; Anderlin Neto A.; Kalinowski M.; Garcia A.; Méndez D.")</f>
        <v>Villamizar H.; Anderlin Neto A.; Kalinowski M.; Garcia A.; Méndez D.</v>
      </c>
      <c r="E1076" s="7" t="str">
        <f>IFERROR(__xludf.DUMMYFUNCTION("""COMPUTED_VALUE"""),"An approach for reviewing security-related aspects in agile requirements specifications of web applications")</f>
        <v>An approach for reviewing security-related aspects in agile requirements specifications of web applications</v>
      </c>
      <c r="F1076" s="7" t="str">
        <f>IFERROR(__xludf.DUMMYFUNCTION("""COMPUTED_VALUE"""),"RE")</f>
        <v>RE</v>
      </c>
      <c r="G1076" s="7" t="str">
        <f>IFERROR(__xludf.DUMMYFUNCTION("""COMPUTED_VALUE"""),"Defects in requirements specifications can have severe consequences during the software development lifecycle. Some of them result in overall project failure due to incorrect or missing quality characteristics such as security. There are several concerns "&amp;"that make security difficult to deal with; for instance, (1) when stakeholders discuss general requirements in meetings, they are often unaware that they should also discuss security-related topics, and (2) they typically do not have enough expertise in s"&amp;"ecurity. This often leads to unspecified or ill-defined security-related aspects. These concerns become even more challenging in agile contexts, where lightweight documentation is typically involved. The goal of this paper is to design and evaluate an app"&amp;"roach for reviewing security-related aspects in agile requirements specifications of web applications. The approach considers user stories and security specifications as input and relates those user stories to security properties via Natural Language Proc"&amp;"essing. Based on the related security properties, our approach then identifies high-level security requirements from the Open Web Application Security Project to be verified and generates a reading technique to support reviewers in detecting defects. We e"&amp;"valuate our approach via two controlled experiment trials. We compare the effectiveness and efficiency of novice inspectors verifying security aspects in agile requirements using our approach against using the complete list of high-level security requirem"&amp;"ents. The (statistically significant) results indicate that using our approach has a positive impact (with large effect size) on the performance of inspectors in terms of effectiveness and efficiency. © 2019 IEEE.")</f>
        <v>Defects in requirements specifications can have severe consequences during the software development lifecycle. Some of them result in overall project failure due to incorrect or missing quality characteristics such as security. There are several concerns that make security difficult to deal with; for instance, (1) when stakeholders discuss general requirements in meetings, they are often unaware that they should also discuss security-related topics, and (2) they typically do not have enough expertise in security. This often leads to unspecified or ill-defined security-related aspects. These concerns become even more challenging in agile contexts, where lightweight documentation is typically involved. The goal of this paper is to design and evaluate an approach for reviewing security-related aspects in agile requirements specifications of web applications. The approach considers user stories and security specifications as input and relates those user stories to security properties via Natural Language Processing. Based on the related security properties, our approach then identifies high-level security requirements from the Open Web Application Security Project to be verified and generates a reading technique to support reviewers in detecting defects. We evaluate our approach via two controlled experiment trials. We compare the effectiveness and efficiency of novice inspectors verifying security aspects in agile requirements using our approach against using the complete list of high-level security requirements. The (statistically significant) results indicate that using our approach has a positive impact (with large effect size) on the performance of inspectors in terms of effectiveness and efficiency. © 2019 IEEE.</v>
      </c>
      <c r="H1076" s="7" t="str">
        <f>IFERROR(__xludf.DUMMYFUNCTION("""COMPUTED_VALUE"""),"Agile requirements; Requirements verification; Software inspection; Software security")</f>
        <v>Agile requirements; Requirements verification; Software inspection; Software security</v>
      </c>
      <c r="I1076" s="9" t="b">
        <v>1</v>
      </c>
      <c r="J1076" s="9" t="b">
        <v>1</v>
      </c>
      <c r="K1076" s="10" t="b">
        <v>0</v>
      </c>
      <c r="L1076" s="10" t="b">
        <v>0</v>
      </c>
      <c r="M1076" s="10" t="b">
        <v>0</v>
      </c>
      <c r="N1076" s="10" t="b">
        <v>0</v>
      </c>
      <c r="O1076" s="11" t="b">
        <f t="shared" si="1"/>
        <v>0</v>
      </c>
      <c r="P1076" s="16" t="b">
        <v>0</v>
      </c>
      <c r="Q1076" s="7"/>
    </row>
    <row r="1077">
      <c r="A1077" s="5" t="b">
        <v>1</v>
      </c>
      <c r="B1077" s="5" t="s">
        <v>1125</v>
      </c>
      <c r="C1077" s="7" t="str">
        <f>IFERROR(__xludf.DUMMYFUNCTION("""COMPUTED_VALUE"""),"10.1109/RE48521.2020.00046")</f>
        <v>10.1109/RE48521.2020.00046</v>
      </c>
      <c r="D1077" s="7" t="str">
        <f>IFERROR(__xludf.DUMMYFUNCTION("""COMPUTED_VALUE"""),"Ishikawa F.; Matsuno Y.")</f>
        <v>Ishikawa F.; Matsuno Y.</v>
      </c>
      <c r="E1077" s="7" t="str">
        <f>IFERROR(__xludf.DUMMYFUNCTION("""COMPUTED_VALUE"""),"Evidence-driven Requirements Engineering for Uncertainty of Machine Learning-based Systems")</f>
        <v>Evidence-driven Requirements Engineering for Uncertainty of Machine Learning-based Systems</v>
      </c>
      <c r="F1077" s="7" t="str">
        <f>IFERROR(__xludf.DUMMYFUNCTION("""COMPUTED_VALUE"""),"RE")</f>
        <v>RE</v>
      </c>
      <c r="G1077" s="7" t="str">
        <f>IFERROR(__xludf.DUMMYFUNCTION("""COMPUTED_VALUE"""),"Requirements engineering for machine learning (ML)-based systems involves unique difficulties. The core cause is the intrinsic uncertainty or unpredictability, not only in requirements and environments but also in implementation. In this paper, we discuss"&amp;" the impact of this type of uncertainty on requirements engineering methods such as goal-oriented requirements analysis (GORE). Many aspects in requirements analysis or prior decision making remain as hypotheses, which may be validated or invalidated with"&amp;" evidences from Proof-of Concept experiments, field tests, and operation. To deal with this point, we present principles of evidence-driven requirements engineering and instantiate them into a method that links GORE and ML operation (GORE-MLOps). © 2020 I"&amp;"EEE.")</f>
        <v>Requirements engineering for machine learning (ML)-based systems involves unique difficulties. The core cause is the intrinsic uncertainty or unpredictability, not only in requirements and environments but also in implementation. In this paper, we discuss the impact of this type of uncertainty on requirements engineering methods such as goal-oriented requirements analysis (GORE). Many aspects in requirements analysis or prior decision making remain as hypotheses, which may be validated or invalidated with evidences from Proof-of Concept experiments, field tests, and operation. To deal with this point, we present principles of evidence-driven requirements engineering and instantiate them into a method that links GORE and ML operation (GORE-MLOps). © 2020 IEEE.</v>
      </c>
      <c r="H1077" s="7" t="str">
        <f>IFERROR(__xludf.DUMMYFUNCTION("""COMPUTED_VALUE"""),"Arguments; Goal-Oriented Requirements Analysis; Machine Learning; Monitoring; Requirements Engineering; Uncertainty")</f>
        <v>Arguments; Goal-Oriented Requirements Analysis; Machine Learning; Monitoring; Requirements Engineering; Uncertainty</v>
      </c>
      <c r="I1077" s="10" t="b">
        <v>0</v>
      </c>
      <c r="J1077" s="10" t="b">
        <v>0</v>
      </c>
      <c r="K1077" s="10" t="b">
        <v>0</v>
      </c>
      <c r="L1077" s="10" t="b">
        <v>0</v>
      </c>
      <c r="M1077" s="10" t="b">
        <v>0</v>
      </c>
      <c r="N1077" s="10" t="b">
        <v>0</v>
      </c>
      <c r="O1077" s="11" t="b">
        <f t="shared" si="1"/>
        <v>0</v>
      </c>
      <c r="P1077" s="16" t="b">
        <v>0</v>
      </c>
      <c r="Q1077" s="7"/>
    </row>
    <row r="1078">
      <c r="A1078" s="5" t="b">
        <v>1</v>
      </c>
      <c r="B1078" s="5" t="s">
        <v>1126</v>
      </c>
      <c r="C1078" s="7" t="str">
        <f>IFERROR(__xludf.DUMMYFUNCTION("""COMPUTED_VALUE"""),"10.1109/RE57278.2023.00030")</f>
        <v>10.1109/RE57278.2023.00030</v>
      </c>
      <c r="D1078" s="7" t="str">
        <f>IFERROR(__xludf.DUMMYFUNCTION("""COMPUTED_VALUE"""),"Rathod V.; Cebulla T.; Kugele S.")</f>
        <v>Rathod V.; Cebulla T.; Kugele S.</v>
      </c>
      <c r="E1078" s="7" t="str">
        <f>IFERROR(__xludf.DUMMYFUNCTION("""COMPUTED_VALUE"""),"Traceability Evaluation in Requirements Engineering According to Automotive SPICE")</f>
        <v>Traceability Evaluation in Requirements Engineering According to Automotive SPICE</v>
      </c>
      <c r="F1078" s="7" t="str">
        <f>IFERROR(__xludf.DUMMYFUNCTION("""COMPUTED_VALUE"""),"RE")</f>
        <v>RE</v>
      </c>
      <c r="G1078" s="7" t="str">
        <f>IFERROR(__xludf.DUMMYFUNCTION("""COMPUTED_VALUE"""),"Context: Traceability evaluation is essential for automotive system success, which involves assessing an organisation's ability to track and trace the requirements from the initial conception of the requirement to the delivery of the final product or syst"&amp;"em. Objectives: This paper presents the development of a graphical user interface which supports the traceability evaluation in PTC Integrity, by displaying the dependency tree, to facilitate consistency and impact analysis in Automotive SPICE standards. "&amp;"Methods: Qualitative and quantitative experimental design and agile development methods were used to identify problems and potential solutions, and user requirements were gathered and analysed thematically. Results: Conceptual ideas for the visualisation "&amp;"and configuration were offered, and keeping the limitations in mind, the dependency tree tool was developed. The scope for future development was also provided. Conclusions: The developed tool is beneficial in automotive development by saving time in impa"&amp;"ct analysis and improving consistency.  © 2023 IEEE.")</f>
        <v>Context: Traceability evaluation is essential for automotive system success, which involves assessing an organisation's ability to track and trace the requirements from the initial conception of the requirement to the delivery of the final product or system. Objectives: This paper presents the development of a graphical user interface which supports the traceability evaluation in PTC Integrity, by displaying the dependency tree, to facilitate consistency and impact analysis in Automotive SPICE standards. Methods: Qualitative and quantitative experimental design and agile development methods were used to identify problems and potential solutions, and user requirements were gathered and analysed thematically. Results: Conceptual ideas for the visualisation and configuration were offered, and keeping the limitations in mind, the dependency tree tool was developed. The scope for future development was also provided. Conclusions: The developed tool is beneficial in automotive development by saving time in impact analysis and improving consistency.  © 2023 IEEE.</v>
      </c>
      <c r="H1078" s="7" t="str">
        <f>IFERROR(__xludf.DUMMYFUNCTION("""COMPUTED_VALUE"""),"Automotive SPICE; Dependency Tree Visualisation; Requirements Engineering; Traceability Evaluation Tool")</f>
        <v>Automotive SPICE; Dependency Tree Visualisation; Requirements Engineering; Traceability Evaluation Tool</v>
      </c>
      <c r="I1078" s="10" t="b">
        <v>0</v>
      </c>
      <c r="J1078" s="10" t="b">
        <v>0</v>
      </c>
      <c r="K1078" s="10" t="b">
        <v>0</v>
      </c>
      <c r="L1078" s="10" t="b">
        <v>0</v>
      </c>
      <c r="M1078" s="10" t="b">
        <v>0</v>
      </c>
      <c r="N1078" s="10" t="b">
        <v>0</v>
      </c>
      <c r="O1078" s="11" t="b">
        <f t="shared" si="1"/>
        <v>0</v>
      </c>
      <c r="P1078" s="16" t="b">
        <v>0</v>
      </c>
      <c r="Q1078" s="7"/>
    </row>
    <row r="1079">
      <c r="A1079" s="5" t="b">
        <v>1</v>
      </c>
      <c r="B1079" s="5" t="s">
        <v>1127</v>
      </c>
      <c r="C1079" s="7" t="str">
        <f>IFERROR(__xludf.DUMMYFUNCTION("""COMPUTED_VALUE"""),"10.1109/RE.2019.00073")</f>
        <v>10.1109/RE.2019.00073</v>
      </c>
      <c r="D1079" s="7" t="str">
        <f>IFERROR(__xludf.DUMMYFUNCTION("""COMPUTED_VALUE"""),"Karagiannis D.; Lee M.; Buchmann R.A.")</f>
        <v>Karagiannis D.; Lee M.; Buchmann R.A.</v>
      </c>
      <c r="E1079" s="7" t="str">
        <f>IFERROR(__xludf.DUMMYFUNCTION("""COMPUTED_VALUE"""),"Using metamodeling for requirements engineering: A best-practice with ADOxx")</f>
        <v>Using metamodeling for requirements engineering: A best-practice with ADOxx</v>
      </c>
      <c r="F1079" s="7" t="str">
        <f>IFERROR(__xludf.DUMMYFUNCTION("""COMPUTED_VALUE"""),"RE")</f>
        <v>RE</v>
      </c>
      <c r="G1079" s="7" t="str">
        <f>IFERROR(__xludf.DUMMYFUNCTION("""COMPUTED_VALUE"""),"Modeling tools, as an instrument in support of the Requirements Engineering (RE) process, usually focus on a particular aspect, in a domain-agnostic manner. The tutorial discusses meta-modeling as an approach to over-come such shortcomings, enabling more "&amp;"holistic and specific semantic coverage of requirements models. The meta-modeling platform ADOxx is introduced as an experimentation environ-ment for researchers and practitioners to realize their individual modeling languages and functionality in support"&amp;" of RE. Specific emphasis is given to the practical nature of the tutori-al: participants are encouraged to build their individual model-ing tool in a hands-on setting and experiment with the capabili-ties of ADOxx to implement meta-models and model proce"&amp;"ssing mechanisms, to specialize them or to integrate available assets provided by the ADOxx.org community. © 2019 IEEE.")</f>
        <v>Modeling tools, as an instrument in support of the Requirements Engineering (RE) process, usually focus on a particular aspect, in a domain-agnostic manner. The tutorial discusses meta-modeling as an approach to over-come such shortcomings, enabling more holistic and specific semantic coverage of requirements models. The meta-modeling platform ADOxx is introduced as an experimentation environ-ment for researchers and practitioners to realize their individual modeling languages and functionality in support of RE. Specific emphasis is given to the practical nature of the tutori-al: participants are encouraged to build their individual model-ing tool in a hands-on setting and experiment with the capabili-ties of ADOxx to implement meta-models and model processing mechanisms, to specialize them or to integrate available assets provided by the ADOxx.org community. © 2019 IEEE.</v>
      </c>
      <c r="H1079" s="7" t="str">
        <f>IFERROR(__xludf.DUMMYFUNCTION("""COMPUTED_VALUE"""),"Agile Modeling Method Engineering; Metamodeling; Modeling method requirements; Requirements modeling")</f>
        <v>Agile Modeling Method Engineering; Metamodeling; Modeling method requirements; Requirements modeling</v>
      </c>
      <c r="I1079" s="10" t="b">
        <v>0</v>
      </c>
      <c r="J1079" s="10" t="b">
        <v>0</v>
      </c>
      <c r="K1079" s="10" t="b">
        <v>0</v>
      </c>
      <c r="L1079" s="10" t="b">
        <v>0</v>
      </c>
      <c r="M1079" s="10" t="b">
        <v>0</v>
      </c>
      <c r="N1079" s="10" t="b">
        <v>0</v>
      </c>
      <c r="O1079" s="11" t="b">
        <f t="shared" si="1"/>
        <v>0</v>
      </c>
      <c r="P1079" s="16" t="b">
        <v>0</v>
      </c>
      <c r="Q1079" s="7"/>
    </row>
    <row r="1080">
      <c r="A1080" s="5" t="b">
        <v>1</v>
      </c>
      <c r="B1080" s="5" t="s">
        <v>1128</v>
      </c>
      <c r="C1080" s="7" t="str">
        <f>IFERROR(__xludf.DUMMYFUNCTION("""COMPUTED_VALUE"""),"10.1109/RE.2017.26")</f>
        <v>10.1109/RE.2017.26</v>
      </c>
      <c r="D1080" s="7" t="str">
        <f>IFERROR(__xludf.DUMMYFUNCTION("""COMPUTED_VALUE"""),"Dekhtyar A.; Fong V.")</f>
        <v>Dekhtyar A.; Fong V.</v>
      </c>
      <c r="E1080" s="7" t="str">
        <f>IFERROR(__xludf.DUMMYFUNCTION("""COMPUTED_VALUE"""),"RE Data Challenge: Requirements Identification with Word2Vec and TensorFlow")</f>
        <v>RE Data Challenge: Requirements Identification with Word2Vec and TensorFlow</v>
      </c>
      <c r="F1080" s="7" t="str">
        <f>IFERROR(__xludf.DUMMYFUNCTION("""COMPUTED_VALUE"""),"RE")</f>
        <v>RE</v>
      </c>
      <c r="G1080" s="7" t="str">
        <f>IFERROR(__xludf.DUMMYFUNCTION("""COMPUTED_VALUE"""),"Since their introduction over a year ago, Google's TensorFlow package for learning with multilayer neural networks and their Word2Vec representation of words have both gained a high degree of notoriety. This paper considers the application of TensorFlow-g"&amp;"uided learning and Word2Vec-based representations to the problems of classification in requirements documents. In this paper, we compare three categories of machine learning techniques for requirements identification for the SecReq and NFR datasets. The f"&amp;"irst category is the baseline method used in prior work: Naïve Bayes over word count and TF-IDF representations of requirements. The remaining two categories of techniques are the training of TensorFlow's convolutional neural networks on random and pre-tr"&amp;"ained Word2Vec embeddings of the words found in the requirements. This paper reports on the experiments we conducted and the accuracy results we achieved. © 2017 IEEE.")</f>
        <v>Since their introduction over a year ago, Google's TensorFlow package for learning with multilayer neural networks and their Word2Vec representation of words have both gained a high degree of notoriety. This paper considers the application of TensorFlow-guided learning and Word2Vec-based representations to the problems of classification in requirements documents. In this paper, we compare three categories of machine learning techniques for requirements identification for the SecReq and NFR datasets. The first category is the baseline method used in prior work: Naïve Bayes over word count and TF-IDF representations of requirements. The remaining two categories of techniques are the training of TensorFlow's convolutional neural networks on random and pre-trained Word2Vec embeddings of the words found in the requirements. This paper reports on the experiments we conducted and the accuracy results we achieved. © 2017 IEEE.</v>
      </c>
      <c r="H1080" s="7" t="str">
        <f>IFERROR(__xludf.DUMMYFUNCTION("""COMPUTED_VALUE"""),"convolutional neural networks; machine learning; requirements identification; TensorFlow; Word2Vec")</f>
        <v>convolutional neural networks; machine learning; requirements identification; TensorFlow; Word2Vec</v>
      </c>
      <c r="I1080" s="10" t="b">
        <v>0</v>
      </c>
      <c r="J1080" s="10" t="b">
        <v>0</v>
      </c>
      <c r="K1080" s="10" t="b">
        <v>0</v>
      </c>
      <c r="L1080" s="10" t="b">
        <v>0</v>
      </c>
      <c r="M1080" s="10" t="b">
        <v>0</v>
      </c>
      <c r="N1080" s="10" t="b">
        <v>0</v>
      </c>
      <c r="O1080" s="11" t="b">
        <f t="shared" si="1"/>
        <v>0</v>
      </c>
      <c r="P1080" s="16" t="b">
        <v>0</v>
      </c>
      <c r="Q1080" s="7"/>
    </row>
    <row r="1081">
      <c r="A1081" s="5" t="b">
        <v>1</v>
      </c>
      <c r="B1081" s="5" t="s">
        <v>1129</v>
      </c>
      <c r="C1081" s="7" t="str">
        <f>IFERROR(__xludf.DUMMYFUNCTION("""COMPUTED_VALUE"""),"10.1109/RE.2009.30")</f>
        <v>10.1109/RE.2009.30</v>
      </c>
      <c r="D1081" s="7" t="str">
        <f>IFERROR(__xludf.DUMMYFUNCTION("""COMPUTED_VALUE"""),"Gross A.; Doerr J.")</f>
        <v>Gross A.; Doerr J.</v>
      </c>
      <c r="E1081" s="7" t="str">
        <f>IFERROR(__xludf.DUMMYFUNCTION("""COMPUTED_VALUE"""),"EPC vs. UML activity diagram - Two experiments examining their usefulness for requirements engineering")</f>
        <v>EPC vs. UML activity diagram - Two experiments examining their usefulness for requirements engineering</v>
      </c>
      <c r="F1081" s="7" t="str">
        <f>IFERROR(__xludf.DUMMYFUNCTION("""COMPUTED_VALUE"""),"RE")</f>
        <v>RE</v>
      </c>
      <c r="G1081" s="7" t="str">
        <f>IFERROR(__xludf.DUMMYFUNCTION("""COMPUTED_VALUE"""),"Business process modeling notations are used in requirements engineering to specify business processes that should be supported by the system under development. Comparisons of business process modeling notations with regard to their concepts do exist, but"&amp;" to our knowledge, little evaluation has taken place regarding their effectiveness and efficiency for typical requirements engineering tasks. Therefore, we set up experiments examining UML Activity Diagrams (ACTs) and Event-driven Process Chains (EPCs) bo"&amp;"th from a requirements engineer's perspective with a focus on model creation and from a customer's or end user's perspective with a focus on model understandability. The experiments were conducted as a blocked subject-object study, where the participants "&amp;"had to solve several characteristic tasks. The results were then analyzed by means of statistical analysis methods. In the case of the requirements engineer, we were able to show that ACTs perform better than EPCs. In the case of the customer or end user,"&amp;" we cannot make a clear statement. © 2009 IEEE.")</f>
        <v>Business process modeling notations are used in requirements engineering to specify business processes that should be supported by the system under development. Comparisons of business process modeling notations with regard to their concepts do exist, but to our knowledge, little evaluation has taken place regarding their effectiveness and efficiency for typical requirements engineering tasks. Therefore, we set up experiments examining UML Activity Diagrams (ACTs) and Event-driven Process Chains (EPCs) both from a requirements engineer's perspective with a focus on model creation and from a customer's or end user's perspective with a focus on model understandability. The experiments were conducted as a blocked subject-object study, where the participants had to solve several characteristic tasks. The results were then analyzed by means of statistical analysis methods. In the case of the requirements engineer, we were able to show that ACTs perform better than EPCs. In the case of the customer or end user, we cannot make a clear statement. © 2009 IEEE.</v>
      </c>
      <c r="H1081" s="7" t="str">
        <f>IFERROR(__xludf.DUMMYFUNCTION("""COMPUTED_VALUE"""),"Event-driven process chain; Experiment; Process modeling; Requirements specification; UML activity diagram")</f>
        <v>Event-driven process chain; Experiment; Process modeling; Requirements specification; UML activity diagram</v>
      </c>
      <c r="I1081" s="9" t="b">
        <v>1</v>
      </c>
      <c r="J1081" s="9" t="b">
        <v>1</v>
      </c>
      <c r="K1081" s="9" t="b">
        <v>1</v>
      </c>
      <c r="L1081" s="10" t="b">
        <v>0</v>
      </c>
      <c r="M1081" s="10" t="b">
        <v>0</v>
      </c>
      <c r="N1081" s="10" t="b">
        <v>0</v>
      </c>
      <c r="O1081" s="11" t="b">
        <f t="shared" si="1"/>
        <v>1</v>
      </c>
      <c r="P1081" s="16" t="b">
        <v>0</v>
      </c>
      <c r="Q1081" s="7"/>
    </row>
    <row r="1082">
      <c r="A1082" s="5" t="b">
        <v>1</v>
      </c>
      <c r="B1082" s="5" t="s">
        <v>1130</v>
      </c>
      <c r="C1082" s="7" t="str">
        <f>IFERROR(__xludf.DUMMYFUNCTION("""COMPUTED_VALUE"""),"10.1109/RE.2017.57")</f>
        <v>10.1109/RE.2017.57</v>
      </c>
      <c r="D1082" s="7" t="str">
        <f>IFERROR(__xludf.DUMMYFUNCTION("""COMPUTED_VALUE"""),"Lauenroth K.; Kamsties E.; Hehlert O.")</f>
        <v>Lauenroth K.; Kamsties E.; Hehlert O.</v>
      </c>
      <c r="E1082" s="7" t="str">
        <f>IFERROR(__xludf.DUMMYFUNCTION("""COMPUTED_VALUE"""),"Do Words Make a Difference? An Empirical Study on the Impact of Taxonomies on the Classification of Requirements")</f>
        <v>Do Words Make a Difference? An Empirical Study on the Impact of Taxonomies on the Classification of Requirements</v>
      </c>
      <c r="F1082" s="7" t="str">
        <f>IFERROR(__xludf.DUMMYFUNCTION("""COMPUTED_VALUE"""),"RE")</f>
        <v>RE</v>
      </c>
      <c r="G1082" s="7" t="str">
        <f>IFERROR(__xludf.DUMMYFUNCTION("""COMPUTED_VALUE"""),"Requirements taxonomies help to classify and channel the requirements in a project. A very simple taxonomy is the distinction between functional and non-functional requirements. Furthermore, a taxonomy helps to decide if a statement is a requirement at al"&amp;"l or just something else (e.g., 'information'). The quality of a taxonomy is important as we do not want to put a statement in the wrong category.In this paper, we argue that we need to take cognitive psychology into account in this task of requirements c"&amp;"lassification. Cognitive psychology focuses on the abilities and limitations of the human mind. We present a controlled experiment and a replication in which we compare three requirements taxonomies.The participants had to evaluate a set of requirements b"&amp;"ased on the given taxonomies. The results of these experiments show that there are differences between the taxonomies: Interestingly, the question whether a statement is identified as a requirement or not depends on the taxonomy. These experiments present"&amp;" initial results, we assume that these results are related to phenomena of cognitive psychology.We conclude that the wording should be carefully taken into account in the definition of the categories of a high quality requirements taxonomy. © 2017 IEEE.")</f>
        <v>Requirements taxonomies help to classify and channel the requirements in a project. A very simple taxonomy is the distinction between functional and non-functional requirements. Furthermore, a taxonomy helps to decide if a statement is a requirement at all or just something else (e.g., 'information'). The quality of a taxonomy is important as we do not want to put a statement in the wrong category.In this paper, we argue that we need to take cognitive psychology into account in this task of requirements classification. Cognitive psychology focuses on the abilities and limitations of the human mind. We present a controlled experiment and a replication in which we compare three requirements taxonomies.The participants had to evaluate a set of requirements based on the given taxonomies. The results of these experiments show that there are differences between the taxonomies: Interestingly, the question whether a statement is identified as a requirement or not depends on the taxonomy. These experiments present initial results, we assume that these results are related to phenomena of cognitive psychology.We conclude that the wording should be carefully taken into account in the definition of the categories of a high quality requirements taxonomy. © 2017 IEEE.</v>
      </c>
      <c r="H1082" s="7" t="str">
        <f>IFERROR(__xludf.DUMMYFUNCTION("""COMPUTED_VALUE"""),"classification quality; functional requirements; non-functional requirements; quality requirements; requirements classification; requirements engineering; requirements taxonomy")</f>
        <v>classification quality; functional requirements; non-functional requirements; quality requirements; requirements classification; requirements engineering; requirements taxonomy</v>
      </c>
      <c r="I1082" s="9" t="b">
        <v>1</v>
      </c>
      <c r="J1082" s="9" t="b">
        <v>1</v>
      </c>
      <c r="K1082" s="10" t="b">
        <v>0</v>
      </c>
      <c r="L1082" s="10" t="b">
        <v>0</v>
      </c>
      <c r="M1082" s="10" t="b">
        <v>0</v>
      </c>
      <c r="N1082" s="10" t="b">
        <v>0</v>
      </c>
      <c r="O1082" s="11" t="b">
        <f t="shared" si="1"/>
        <v>0</v>
      </c>
      <c r="P1082" s="16" t="b">
        <v>0</v>
      </c>
      <c r="Q1082" s="7"/>
    </row>
    <row r="1083">
      <c r="A1083" s="5" t="b">
        <v>1</v>
      </c>
      <c r="B1083" s="5" t="s">
        <v>1131</v>
      </c>
      <c r="C1083" s="7" t="str">
        <f>IFERROR(__xludf.DUMMYFUNCTION("""COMPUTED_VALUE"""),"10.1109/RE51729.2021.00018")</f>
        <v>10.1109/RE51729.2021.00018</v>
      </c>
      <c r="D1083" s="7" t="str">
        <f>IFERROR(__xludf.DUMMYFUNCTION("""COMPUTED_VALUE"""),"Pham Y.D.; Bouraffa A.; Hillen M.; Maalej W.")</f>
        <v>Pham Y.D.; Bouraffa A.; Hillen M.; Maalej W.</v>
      </c>
      <c r="E1083" s="7" t="str">
        <f>IFERROR(__xludf.DUMMYFUNCTION("""COMPUTED_VALUE"""),"The Role of Linguistic Relativity on the Identification of Sustainability Requirements: An Empirical Study")</f>
        <v>The Role of Linguistic Relativity on the Identification of Sustainability Requirements: An Empirical Study</v>
      </c>
      <c r="F1083" s="7" t="str">
        <f>IFERROR(__xludf.DUMMYFUNCTION("""COMPUTED_VALUE"""),"RE")</f>
        <v>RE</v>
      </c>
      <c r="G1083" s="7" t="str">
        <f>IFERROR(__xludf.DUMMYFUNCTION("""COMPUTED_VALUE"""),"Linguistic-Relativity-Theory states that language and its structure influence people's world view and cognition. We investigate how this theory impacts the identification of requirements in practice. To this end, we conducted two controlled experiments wi"&amp;"th 101 participants. We randomly showed participants a set of requirements dimensions (i.e. a language structure) either with a focus on software quality or on sustainability and asked them to identify the requirements for a grocery shopping app according"&amp;" to these dimensions. Participants of the control group were not given any dimensions. The results show that the use of requirements dimensions significantly increases the number of identified requirements in comparison to the control group. Furthermore, "&amp;"participants who were given the sustainability dimensions identified more sustainability requirements. In follow up interviews with 16 practitioners, the interviewees reported benefits of the dimensions such as a holistic guidance but were also concerned "&amp;"about the customers acceptance. Furthermore, they stated challenges of implementing sustainability dimensions in the daily business but also suggested solutions like establishing sustainability as a common standard. Our study indicates that carefully stru"&amp;"cturing requirements engineering along sustainability dimensions can guide development teams towards considering and ensuring software sustainability.  © 2021 IEEE.")</f>
        <v>Linguistic-Relativity-Theory states that language and its structure influence people's world view and cognition. We investigate how this theory impacts the identification of requirements in practice. To this end, we conducted two controlled experiments with 101 participants. We randomly showed participants a set of requirements dimensions (i.e. a language structure) either with a focus on software quality or on sustainability and asked them to identify the requirements for a grocery shopping app according to these dimensions. Participants of the control group were not given any dimensions. The results show that the use of requirements dimensions significantly increases the number of identified requirements in comparison to the control group. Furthermore, participants who were given the sustainability dimensions identified more sustainability requirements. In follow up interviews with 16 practitioners, the interviewees reported benefits of the dimensions such as a holistic guidance but were also concerned about the customers acceptance. Furthermore, they stated challenges of implementing sustainability dimensions in the daily business but also suggested solutions like establishing sustainability as a common standard. Our study indicates that carefully structuring requirements engineering along sustainability dimensions can guide development teams towards considering and ensuring software sustainability.  © 2021 IEEE.</v>
      </c>
      <c r="H1083" s="7" t="str">
        <f>IFERROR(__xludf.DUMMYFUNCTION("""COMPUTED_VALUE"""),"Interdisciplinary design; Requirements dimension; Requirements engineering; Software sustainability")</f>
        <v>Interdisciplinary design; Requirements dimension; Requirements engineering; Software sustainability</v>
      </c>
      <c r="I1083" s="9" t="b">
        <v>1</v>
      </c>
      <c r="J1083" s="9" t="b">
        <v>1</v>
      </c>
      <c r="K1083" s="10" t="b">
        <v>0</v>
      </c>
      <c r="L1083" s="10" t="b">
        <v>0</v>
      </c>
      <c r="M1083" s="10" t="b">
        <v>0</v>
      </c>
      <c r="N1083" s="10" t="b">
        <v>0</v>
      </c>
      <c r="O1083" s="11" t="b">
        <f t="shared" si="1"/>
        <v>0</v>
      </c>
      <c r="P1083" s="16" t="b">
        <v>0</v>
      </c>
      <c r="Q1083" s="7"/>
    </row>
    <row r="1084">
      <c r="A1084" s="5" t="b">
        <v>1</v>
      </c>
      <c r="B1084" s="5" t="s">
        <v>1132</v>
      </c>
      <c r="C1084" s="7" t="str">
        <f>IFERROR(__xludf.DUMMYFUNCTION("""COMPUTED_VALUE"""),"10.1109/RE.2018.00032")</f>
        <v>10.1109/RE.2018.00032</v>
      </c>
      <c r="D1084" s="7" t="str">
        <f>IFERROR(__xludf.DUMMYFUNCTION("""COMPUTED_VALUE"""),"Ghazi P.; Glinz M.")</f>
        <v>Ghazi P.; Glinz M.</v>
      </c>
      <c r="E1084" s="7" t="str">
        <f>IFERROR(__xludf.DUMMYFUNCTION("""COMPUTED_VALUE"""),"An experimental comparison of two navigation techniques for requirements modeling tools")</f>
        <v>An experimental comparison of two navigation techniques for requirements modeling tools</v>
      </c>
      <c r="F1084" s="7" t="str">
        <f>IFERROR(__xludf.DUMMYFUNCTION("""COMPUTED_VALUE"""),"RE")</f>
        <v>RE</v>
      </c>
      <c r="G1084" s="7" t="str">
        <f>IFERROR(__xludf.DUMMYFUNCTION("""COMPUTED_VALUE"""),"In Requirements Engineering, many modeling tasks require viewing different parts of a model concurrently. However, traditional zoom+scroll navigation uses a single focus zoom, i.e., at a given point in time, a user can zoom in on a single spot in the mode"&amp;"l only. Therefore, new focus+context navigation techniques have been proposed that allow multiple foci at the same time. In this paper, we report on an experiment with students where we compare the participants' performance when using a requirements model"&amp;"ing tool with traditional zoom+scroll navigation vs. one with so-called FlexiView navigation which is a focus+context technique with multiple foci. The participants had to perform typical modeling tasks such as searching, editing, and traversing a model. "&amp;"All tasks were performed on medium-sized tablets with a tool for manipulating so-called ImitGraphs. ImitGraphs are enriched node-and-edge diagrams that can mimic various diagram types such as class, activity, or goal decomposition diagrams. We found that "&amp;"navigation with FlexiView outperformed zoom+scroll navigation with respect to task completion time, number of mistakes, cognitive load, and user satisfaction. © 2018 IEEE.")</f>
        <v>In Requirements Engineering, many modeling tasks require viewing different parts of a model concurrently. However, traditional zoom+scroll navigation uses a single focus zoom, i.e., at a given point in time, a user can zoom in on a single spot in the model only. Therefore, new focus+context navigation techniques have been proposed that allow multiple foci at the same time. In this paper, we report on an experiment with students where we compare the participants' performance when using a requirements modeling tool with traditional zoom+scroll navigation vs. one with so-called FlexiView navigation which is a focus+context technique with multiple foci. The participants had to perform typical modeling tasks such as searching, editing, and traversing a model. All tasks were performed on medium-sized tablets with a tool for manipulating so-called ImitGraphs. ImitGraphs are enriched node-and-edge diagrams that can mimic various diagram types such as class, activity, or goal decomposition diagrams. We found that navigation with FlexiView outperformed zoom+scroll navigation with respect to task completion time, number of mistakes, cognitive load, and user satisfaction. © 2018 IEEE.</v>
      </c>
      <c r="H1084" s="7" t="str">
        <f>IFERROR(__xludf.DUMMYFUNCTION("""COMPUTED_VALUE"""),"Empirical study; Experiment; FlexiView; Modeling tools; Navigation techniques; Requirements engineering; User Interface; Zooming")</f>
        <v>Empirical study; Experiment; FlexiView; Modeling tools; Navigation techniques; Requirements engineering; User Interface; Zooming</v>
      </c>
      <c r="I1084" s="9" t="b">
        <v>1</v>
      </c>
      <c r="J1084" s="9" t="b">
        <v>1</v>
      </c>
      <c r="K1084" s="10" t="b">
        <v>0</v>
      </c>
      <c r="L1084" s="10" t="b">
        <v>0</v>
      </c>
      <c r="M1084" s="10" t="b">
        <v>0</v>
      </c>
      <c r="N1084" s="10" t="b">
        <v>0</v>
      </c>
      <c r="O1084" s="11" t="b">
        <f t="shared" si="1"/>
        <v>0</v>
      </c>
      <c r="P1084" s="16" t="b">
        <v>0</v>
      </c>
      <c r="Q1084" s="7"/>
    </row>
    <row r="1085">
      <c r="A1085" s="5" t="b">
        <v>1</v>
      </c>
      <c r="B1085" s="5" t="s">
        <v>1133</v>
      </c>
      <c r="C1085" s="7" t="str">
        <f>IFERROR(__xludf.DUMMYFUNCTION("""COMPUTED_VALUE"""),"10.1109/RE51729.2021.00068")</f>
        <v>10.1109/RE51729.2021.00068</v>
      </c>
      <c r="D1085" s="7" t="str">
        <f>IFERROR(__xludf.DUMMYFUNCTION("""COMPUTED_VALUE"""),"Elizabeth Shanks K.")</f>
        <v>Elizabeth Shanks K.</v>
      </c>
      <c r="E1085" s="7" t="str">
        <f>IFERROR(__xludf.DUMMYFUNCTION("""COMPUTED_VALUE"""),"An Idea Generation Tool for Designing Behavior Change Games")</f>
        <v>An Idea Generation Tool for Designing Behavior Change Games</v>
      </c>
      <c r="F1085" s="7" t="str">
        <f>IFERROR(__xludf.DUMMYFUNCTION("""COMPUTED_VALUE"""),"RE")</f>
        <v>RE</v>
      </c>
      <c r="G1085" s="7" t="str">
        <f>IFERROR(__xludf.DUMMYFUNCTION("""COMPUTED_VALUE"""),"Serious video games are an increasingly popular mechanism for encouraging human behavior change. Designed well they can satisfy effectively both education and entertainment requirements. However, generating practical ideas for such games is a complex iter"&amp;"ative process. There are many methods for generating ideas e.g. mind maps, role-playing, drawing a picture, attribute listing, storying telling, brainstorming. Some of these work best with individuals and some with groups. One popular technique for brains"&amp;"torming is a card game. This paper proposes an ideas generation card game tool for designers of health behavior change games. The card game is grounded in explaining how human behavior change techniques (BCTs) might be used in games. A particular challeng"&amp;"e is to determine how many cards are needed for the card game and the scope and level of detail of explanation about each BCT to include on the cards. This paper describes the results of two different experiments to address this challenge and the plans fo"&amp;"r further experiments.  © 2021 IEEE.")</f>
        <v>Serious video games are an increasingly popular mechanism for encouraging human behavior change. Designed well they can satisfy effectively both education and entertainment requirements. However, generating practical ideas for such games is a complex iterative process. There are many methods for generating ideas e.g. mind maps, role-playing, drawing a picture, attribute listing, storying telling, brainstorming. Some of these work best with individuals and some with groups. One popular technique for brainstorming is a card game. This paper proposes an ideas generation card game tool for designers of health behavior change games. The card game is grounded in explaining how human behavior change techniques (BCTs) might be used in games. A particular challenge is to determine how many cards are needed for the card game and the scope and level of detail of explanation about each BCT to include on the cards. This paper describes the results of two different experiments to address this challenge and the plans for further experiments.  © 2021 IEEE.</v>
      </c>
      <c r="H1085" s="7" t="str">
        <f>IFERROR(__xludf.DUMMYFUNCTION("""COMPUTED_VALUE"""),"Behavior change; Card sorting; Idea generation; Requirements elicitation; Serious games")</f>
        <v>Behavior change; Card sorting; Idea generation; Requirements elicitation; Serious games</v>
      </c>
      <c r="I1085" s="10" t="b">
        <v>0</v>
      </c>
      <c r="J1085" s="10" t="b">
        <v>0</v>
      </c>
      <c r="K1085" s="10" t="b">
        <v>0</v>
      </c>
      <c r="L1085" s="10" t="b">
        <v>0</v>
      </c>
      <c r="M1085" s="10" t="b">
        <v>0</v>
      </c>
      <c r="N1085" s="10" t="b">
        <v>0</v>
      </c>
      <c r="O1085" s="11" t="b">
        <f t="shared" si="1"/>
        <v>0</v>
      </c>
      <c r="P1085" s="16" t="b">
        <v>0</v>
      </c>
      <c r="Q1085" s="7"/>
    </row>
    <row r="1086">
      <c r="A1086" s="5" t="b">
        <v>1</v>
      </c>
      <c r="B1086" s="5" t="s">
        <v>1134</v>
      </c>
      <c r="C1086" s="7" t="str">
        <f>IFERROR(__xludf.DUMMYFUNCTION("""COMPUTED_VALUE"""),"10.1109/RE.2009.33")</f>
        <v>10.1109/RE.2009.33</v>
      </c>
      <c r="D1086" s="7" t="str">
        <f>IFERROR(__xludf.DUMMYFUNCTION("""COMPUTED_VALUE"""),"España S.; Condori-Fernandez N.; González A.; Pastor Ó.")</f>
        <v>España S.; Condori-Fernandez N.; González A.; Pastor Ó.</v>
      </c>
      <c r="E1086" s="7" t="str">
        <f>IFERROR(__xludf.DUMMYFUNCTION("""COMPUTED_VALUE"""),"Evaluating the completeness and granularity of functional requirements specifications: A controlled experiment")</f>
        <v>Evaluating the completeness and granularity of functional requirements specifications: A controlled experiment</v>
      </c>
      <c r="F1086" s="7" t="str">
        <f>IFERROR(__xludf.DUMMYFUNCTION("""COMPUTED_VALUE"""),"RE")</f>
        <v>RE</v>
      </c>
      <c r="G1086" s="7" t="str">
        <f>IFERROR(__xludf.DUMMYFUNCTION("""COMPUTED_VALUE"""),"Requirements Engineering (RE) is a relatively young discipline, and still many advances have been achieved during the last decades. In particular, numerous RE methods have been proposed. However, there is a growing concern for empirical validations that a"&amp;"ssess RE proposals and statements. This paper is related to the evaluation of the quality of functional requirements specifications, focusing on completeness and granularity. To do this, several concepts related to conceptual model quality are presented; "&amp;"these concepts lead to the definition of metrics that allow measuring certain aspects of a requirements model quality (e.g. degree of functional encapsulations completeness with respect to a reference model, number of functional fragmentation errors). A l"&amp;"aboratory experiment with master students has been carried out, in order to compare (using the proposed metrics) two RE approaches; namely, Use Cases and Communication Analysis. Results indicate greater quality (in terms of completeness and granularity) w"&amp;"hen Communication Analysis guidelines are followed. Moreover, interesting issues arise from experimental results, which invite further research. © 2009 IEEE.")</f>
        <v>Requirements Engineering (RE) is a relatively young discipline, and still many advances have been achieved during the last decades. In particular, numerous RE methods have been proposed. However, there is a growing concern for empirical validations that assess RE proposals and statements. This paper is related to the evaluation of the quality of functional requirements specifications, focusing on completeness and granularity. To do this, several concepts related to conceptual model quality are presented; these concepts lead to the definition of metrics that allow measuring certain aspects of a requirements model quality (e.g. degree of functional encapsulations completeness with respect to a reference model, number of functional fragmentation errors). A laboratory experiment with master students has been carried out, in order to compare (using the proposed metrics) two RE approaches; namely, Use Cases and Communication Analysis. Results indicate greater quality (in terms of completeness and granularity) when Communication Analysis guidelines are followed. Moreover, interesting issues arise from experimental results, which invite further research. © 2009 IEEE.</v>
      </c>
      <c r="H1086" s="7"/>
      <c r="I1086" s="9" t="b">
        <v>1</v>
      </c>
      <c r="J1086" s="9" t="b">
        <v>1</v>
      </c>
      <c r="K1086" s="10" t="b">
        <v>0</v>
      </c>
      <c r="L1086" s="10" t="b">
        <v>0</v>
      </c>
      <c r="M1086" s="10" t="b">
        <v>0</v>
      </c>
      <c r="N1086" s="10" t="b">
        <v>0</v>
      </c>
      <c r="O1086" s="11" t="b">
        <f t="shared" si="1"/>
        <v>0</v>
      </c>
      <c r="P1086" s="16" t="b">
        <v>0</v>
      </c>
      <c r="Q1086" s="7"/>
    </row>
    <row r="1087">
      <c r="A1087" s="5" t="b">
        <v>1</v>
      </c>
      <c r="B1087" s="5" t="s">
        <v>1135</v>
      </c>
      <c r="C1087" s="7" t="str">
        <f>IFERROR(__xludf.DUMMYFUNCTION("""COMPUTED_VALUE"""),"10.1109/RE.2017.47")</f>
        <v>10.1109/RE.2017.47</v>
      </c>
      <c r="D1087" s="7" t="str">
        <f>IFERROR(__xludf.DUMMYFUNCTION("""COMPUTED_VALUE"""),"Ghazi P.; Abad Z.S.H.; Glinz M.")</f>
        <v>Ghazi P.; Abad Z.S.H.; Glinz M.</v>
      </c>
      <c r="E1087" s="7" t="str">
        <f>IFERROR(__xludf.DUMMYFUNCTION("""COMPUTED_VALUE"""),"Choosing Requirements for Experimentation with User Interfaces of Requirements Modeling Tools")</f>
        <v>Choosing Requirements for Experimentation with User Interfaces of Requirements Modeling Tools</v>
      </c>
      <c r="F1087" s="7" t="str">
        <f>IFERROR(__xludf.DUMMYFUNCTION("""COMPUTED_VALUE"""),"RE")</f>
        <v>RE</v>
      </c>
      <c r="G1087" s="7" t="str">
        <f>IFERROR(__xludf.DUMMYFUNCTION("""COMPUTED_VALUE"""),"When designing a new presentation front-end called FlexiView for requirements modeling tools, we encountered a general problem: Designing such an interface requires a lot of experimentation which is costly when the code of the tool needs to be adapted for"&amp;" every experiment. On the other hand, when using simplified user interface (UI) tools, the results are difficult to generalize. To improve this situation, we are developing an UI experimentation tool which is based on so-called ImitGraphs. ImitGraphs can "&amp;"act as a simple, but accurate substitute for a modeling tool. In this paper, we define requirements for such an UI experimentation tool based on an analysis of the features of existing requirements modeling tools. © 2017 IEEE.")</f>
        <v>When designing a new presentation front-end called FlexiView for requirements modeling tools, we encountered a general problem: Designing such an interface requires a lot of experimentation which is costly when the code of the tool needs to be adapted for every experiment. On the other hand, when using simplified user interface (UI) tools, the results are difficult to generalize. To improve this situation, we are developing an UI experimentation tool which is based on so-called ImitGraphs. ImitGraphs can act as a simple, but accurate substitute for a modeling tool. In this paper, we define requirements for such an UI experimentation tool based on an analysis of the features of existing requirements modeling tools. © 2017 IEEE.</v>
      </c>
      <c r="H1087" s="7" t="str">
        <f>IFERROR(__xludf.DUMMYFUNCTION("""COMPUTED_VALUE"""),"Graphical Models; Modeling Tools; Requirements Engineering; User Interface")</f>
        <v>Graphical Models; Modeling Tools; Requirements Engineering; User Interface</v>
      </c>
      <c r="I1087" s="10" t="b">
        <v>0</v>
      </c>
      <c r="J1087" s="10" t="b">
        <v>0</v>
      </c>
      <c r="K1087" s="10" t="b">
        <v>0</v>
      </c>
      <c r="L1087" s="10" t="b">
        <v>0</v>
      </c>
      <c r="M1087" s="10" t="b">
        <v>0</v>
      </c>
      <c r="N1087" s="10" t="b">
        <v>0</v>
      </c>
      <c r="O1087" s="11" t="b">
        <f t="shared" si="1"/>
        <v>0</v>
      </c>
      <c r="P1087" s="16" t="b">
        <v>0</v>
      </c>
      <c r="Q1087" s="7"/>
    </row>
    <row r="1088">
      <c r="A1088" s="5" t="b">
        <v>1</v>
      </c>
      <c r="B1088" s="5" t="s">
        <v>1136</v>
      </c>
      <c r="C1088" s="7" t="str">
        <f>IFERROR(__xludf.DUMMYFUNCTION("""COMPUTED_VALUE"""),"10.1109/RE.2010.14")</f>
        <v>10.1109/RE.2010.14</v>
      </c>
      <c r="D1088" s="7" t="str">
        <f>IFERROR(__xludf.DUMMYFUNCTION("""COMPUTED_VALUE"""),"Yang H.; De Roeck A.; Gervasi V.; Willis A.; Nuseibeh B.")</f>
        <v>Yang H.; De Roeck A.; Gervasi V.; Willis A.; Nuseibeh B.</v>
      </c>
      <c r="E1088" s="7" t="str">
        <f>IFERROR(__xludf.DUMMYFUNCTION("""COMPUTED_VALUE"""),"Extending nocuous ambiguity analysis for anaphora in natural language requirements")</f>
        <v>Extending nocuous ambiguity analysis for anaphora in natural language requirements</v>
      </c>
      <c r="F1088" s="7" t="str">
        <f>IFERROR(__xludf.DUMMYFUNCTION("""COMPUTED_VALUE"""),"RE")</f>
        <v>RE</v>
      </c>
      <c r="G1088" s="7" t="str">
        <f>IFERROR(__xludf.DUMMYFUNCTION("""COMPUTED_VALUE"""),"This paper presents an approach to automatically identify potentially nocuous ambiguities, which occur when text is interpreted differently by different readers of requirements written in natural language. We extract a set of anaphora ambiguities from a r"&amp;"ange of requirements documents, and collect multiple human judgments on their interpretations. The judgment distribution is used to determine if an ambiguity is nocuous or innocuous. We investigate a number of antecedent preference heuristics that we use "&amp;"to explore aspects of anaphora which may lead a reader to favour a particular interpretation. Using machine learning techniques, we build an automated tool to predict the antecedent preference of noun phrase candidates, which in turn is used to identify n"&amp;"ocuous ambiguity. We report on a series of experiments that we conducted to evaluate the performance of our automated system. The results show that the system achieves high recall with a consistent improvement on baseline precision subject to some ambigui"&amp;"ty tolerance levels, allowing us to explore and highlight realistic and potentially problematic ambiguities in actual requirements documents. © 2010 IEEE.")</f>
        <v>This paper presents an approach to automatically identify potentially nocuous ambiguities, which occur when text is interpreted differently by different readers of requirements written in natural language. We extract a set of anaphora ambiguities from a range of requirements documents, and collect multiple human judgments on their interpretations. The judgment distribution is used to determine if an ambiguity is nocuous or innocuous. We investigate a number of antecedent preference heuristics that we use to explore aspects of anaphora which may lead a reader to favour a particular interpretation. Using machine learning techniques, we build an automated tool to predict the antecedent preference of noun phrase candidates, which in turn is used to identify nocuous ambiguity. We report on a series of experiments that we conducted to evaluate the performance of our automated system. The results show that the system achieves high recall with a consistent improvement on baseline precision subject to some ambiguity tolerance levels, allowing us to explore and highlight realistic and potentially problematic ambiguities in actual requirements documents. © 2010 IEEE.</v>
      </c>
      <c r="H1088" s="7" t="str">
        <f>IFERROR(__xludf.DUMMYFUNCTION("""COMPUTED_VALUE"""),"Anaphora ambiguity; Antecedent preference heuristics; Machine learning; NL requirements; Nocuous ambiguity")</f>
        <v>Anaphora ambiguity; Antecedent preference heuristics; Machine learning; NL requirements; Nocuous ambiguity</v>
      </c>
      <c r="I1088" s="10" t="b">
        <v>0</v>
      </c>
      <c r="J1088" s="10" t="b">
        <v>0</v>
      </c>
      <c r="K1088" s="10" t="b">
        <v>0</v>
      </c>
      <c r="L1088" s="10" t="b">
        <v>0</v>
      </c>
      <c r="M1088" s="10" t="b">
        <v>0</v>
      </c>
      <c r="N1088" s="10" t="b">
        <v>0</v>
      </c>
      <c r="O1088" s="11" t="b">
        <f t="shared" si="1"/>
        <v>0</v>
      </c>
      <c r="P1088" s="16" t="b">
        <v>0</v>
      </c>
      <c r="Q1088" s="7"/>
    </row>
    <row r="1089">
      <c r="A1089" s="5" t="b">
        <v>1</v>
      </c>
      <c r="B1089" s="5" t="s">
        <v>1137</v>
      </c>
      <c r="C1089" s="7" t="str">
        <f>IFERROR(__xludf.DUMMYFUNCTION("""COMPUTED_VALUE"""),"10.1109/REW53955.2021.00079")</f>
        <v>10.1109/REW53955.2021.00079</v>
      </c>
      <c r="D1089" s="7" t="str">
        <f>IFERROR(__xludf.DUMMYFUNCTION("""COMPUTED_VALUE"""),"Yu Y.; Wang T.; Yue T.")</f>
        <v>Yu Y.; Wang T.; Yue T.</v>
      </c>
      <c r="E1089" s="7" t="str">
        <f>IFERROR(__xludf.DUMMYFUNCTION("""COMPUTED_VALUE"""),"Specifying Autonomous Driving Scenarios")</f>
        <v>Specifying Autonomous Driving Scenarios</v>
      </c>
      <c r="F1089" s="7" t="str">
        <f>IFERROR(__xludf.DUMMYFUNCTION("""COMPUTED_VALUE"""),"RE")</f>
        <v>RE</v>
      </c>
      <c r="G1089" s="7" t="str">
        <f>IFERROR(__xludf.DUMMYFUNCTION("""COMPUTED_VALUE"""),"Defects in Autonomous driving systems (ADSs) might result in catastrophic losses of lives and properties. To avoid such defects, we need to first ensure high quality requirements, which highly possibly would lead to the delivery of high-quality ADSs. Spec"&amp;"ifying requirements for ADSs, a method needs to have terms/notations specific to ADSs such as complex traffic environments (e.g., pedestrians, roads). Use case modeling is commonly practiced in industry for requirements specification and modeling. In this"&amp;" paper, we propose a novel use case modeling methodology, named RUCM4ADS, which specializes the Restricted Use Case Modeling (RUCM). RUCM4ADS aims to specify ADS scenarios by integrating elements from both the autonomous driving domain and Operational Wor"&amp;"ld Model (OWM) Ontology. Accompanied with RUCM4ADS, we also develop an editor for it. To evaluate RUCM4ADS, we conducted one real-world case study with 10 use cases. We also conducted a preliminary controlled experiment, in a laboratory setting, to evalua"&amp;"te the applicability of RUCM4ADS. Results show that RUCM4ADS can be used for modeling ADS scenarios and has the potential to improve the overall applicability for specifying ADS scenarios as use case models.  © 2021 IEEE.")</f>
        <v>Defects in Autonomous driving systems (ADSs) might result in catastrophic losses of lives and properties. To avoid such defects, we need to first ensure high quality requirements, which highly possibly would lead to the delivery of high-quality ADSs. Specifying requirements for ADSs, a method needs to have terms/notations specific to ADSs such as complex traffic environments (e.g., pedestrians, roads). Use case modeling is commonly practiced in industry for requirements specification and modeling. In this paper, we propose a novel use case modeling methodology, named RUCM4ADS, which specializes the Restricted Use Case Modeling (RUCM). RUCM4ADS aims to specify ADS scenarios by integrating elements from both the autonomous driving domain and Operational World Model (OWM) Ontology. Accompanied with RUCM4ADS, we also develop an editor for it. To evaluate RUCM4ADS, we conducted one real-world case study with 10 use cases. We also conducted a preliminary controlled experiment, in a laboratory setting, to evaluate the applicability of RUCM4ADS. Results show that RUCM4ADS can be used for modeling ADS scenarios and has the potential to improve the overall applicability for specifying ADS scenarios as use case models.  © 2021 IEEE.</v>
      </c>
      <c r="H1089" s="7" t="str">
        <f>IFERROR(__xludf.DUMMYFUNCTION("""COMPUTED_VALUE"""),"autonomous driving system; environment; meta-modeling; use case modeling")</f>
        <v>autonomous driving system; environment; meta-modeling; use case modeling</v>
      </c>
      <c r="I1089" s="9" t="b">
        <v>1</v>
      </c>
      <c r="J1089" s="9" t="b">
        <v>1</v>
      </c>
      <c r="K1089" s="9" t="b">
        <v>0</v>
      </c>
      <c r="L1089" s="10" t="b">
        <v>0</v>
      </c>
      <c r="M1089" s="10" t="b">
        <v>0</v>
      </c>
      <c r="N1089" s="10" t="b">
        <v>0</v>
      </c>
      <c r="O1089" s="11" t="b">
        <f t="shared" si="1"/>
        <v>0</v>
      </c>
      <c r="P1089" s="12" t="b">
        <v>0</v>
      </c>
      <c r="Q1089" s="13"/>
    </row>
    <row r="1090">
      <c r="A1090" s="5" t="b">
        <v>1</v>
      </c>
      <c r="B1090" s="5" t="s">
        <v>1138</v>
      </c>
      <c r="C1090" s="7" t="str">
        <f>IFERROR(__xludf.DUMMYFUNCTION("""COMPUTED_VALUE"""),"10.1109/RE.2016.16")</f>
        <v>10.1109/RE.2016.16</v>
      </c>
      <c r="D1090" s="7" t="str">
        <f>IFERROR(__xludf.DUMMYFUNCTION("""COMPUTED_VALUE"""),"Bosch J.")</f>
        <v>Bosch J.</v>
      </c>
      <c r="E1090" s="7" t="str">
        <f>IFERROR(__xludf.DUMMYFUNCTION("""COMPUTED_VALUE"""),"Delivering Customer Value in the Age of Autonomous, Continuously Evolving Systems")</f>
        <v>Delivering Customer Value in the Age of Autonomous, Continuously Evolving Systems</v>
      </c>
      <c r="F1090" s="7" t="str">
        <f>IFERROR(__xludf.DUMMYFUNCTION("""COMPUTED_VALUE"""),"RE")</f>
        <v>RE</v>
      </c>
      <c r="G1090" s="7" t="str">
        <f>IFERROR(__xludf.DUMMYFUNCTION("""COMPUTED_VALUE"""),"The last century has seen unprecedented improvements in the quality of the human condition and technologyis at the heart of this progress. Now we are experiencing aneven bigger leap as we move towards a new level of digitizationand automation. The fuel of"&amp;" this emerging Internet of Thingsreality is software and the key challenge is to continuouslydeliver value to customers. To deliver on this, organizationsneed to adopt a novel approach, evidence-based development, where data-driven decisions by R&amp;D teams "&amp;"are complementedby automated experimentation by families of deployed systems. The keynote first introduces the aforementioned developments, then discusses the key areas of speed, data and ecosystems andfinally presents the implications for organizations t"&amp;"hat seek tocontinuously deliver value to their customers. © 2016 IEEE.")</f>
        <v>The last century has seen unprecedented improvements in the quality of the human condition and technologyis at the heart of this progress. Now we are experiencing aneven bigger leap as we move towards a new level of digitizationand automation. The fuel of this emerging Internet of Thingsreality is software and the key challenge is to continuouslydeliver value to customers. To deliver on this, organizationsneed to adopt a novel approach, evidence-based development, where data-driven decisions by R&amp;D teams are complementedby automated experimentation by families of deployed systems. The keynote first introduces the aforementioned developments, then discusses the key areas of speed, data and ecosystems andfinally presents the implications for organizations that seek tocontinuously deliver value to their customers. © 2016 IEEE.</v>
      </c>
      <c r="H1090" s="7"/>
      <c r="I1090" s="10" t="b">
        <v>0</v>
      </c>
      <c r="J1090" s="10" t="b">
        <v>0</v>
      </c>
      <c r="K1090" s="10" t="b">
        <v>0</v>
      </c>
      <c r="L1090" s="10" t="b">
        <v>0</v>
      </c>
      <c r="M1090" s="10" t="b">
        <v>0</v>
      </c>
      <c r="N1090" s="10" t="b">
        <v>0</v>
      </c>
      <c r="O1090" s="11" t="b">
        <f t="shared" si="1"/>
        <v>0</v>
      </c>
      <c r="P1090" s="16" t="b">
        <v>0</v>
      </c>
      <c r="Q1090" s="7"/>
    </row>
    <row r="1091">
      <c r="A1091" s="5" t="b">
        <v>1</v>
      </c>
      <c r="B1091" s="5" t="s">
        <v>1139</v>
      </c>
      <c r="C1091" s="7" t="str">
        <f>IFERROR(__xludf.DUMMYFUNCTION("""COMPUTED_VALUE"""),"10.1109/RE.2018.00037")</f>
        <v>10.1109/RE.2018.00037</v>
      </c>
      <c r="D1091" s="7" t="str">
        <f>IFERROR(__xludf.DUMMYFUNCTION("""COMPUTED_VALUE"""),"Mezghani M.; Kang J.; Sedes F.")</f>
        <v>Mezghani M.; Kang J.; Sedes F.</v>
      </c>
      <c r="E1091" s="7" t="str">
        <f>IFERROR(__xludf.DUMMYFUNCTION("""COMPUTED_VALUE"""),"Industrial requirements classification for redundancy and inconsistency detection in SEMIOS")</f>
        <v>Industrial requirements classification for redundancy and inconsistency detection in SEMIOS</v>
      </c>
      <c r="F1091" s="7" t="str">
        <f>IFERROR(__xludf.DUMMYFUNCTION("""COMPUTED_VALUE"""),"RE")</f>
        <v>RE</v>
      </c>
      <c r="G1091" s="7" t="str">
        <f>IFERROR(__xludf.DUMMYFUNCTION("""COMPUTED_VALUE"""),"Requirements are usually 'hand-written' and suffers from several problems like redundancy and inconsistency. The problems of redundancy and inconsistency between requirements or sets of requirements impact negatively the success of final products. Manuall"&amp;"y processing these issues requires too much time and it is very costly. The main contribution of this paper is the use of k-means algorithm for a redundancy and inconsistency detection in a new context, which is Requirements Engineering context. Also, we "&amp;"introduce a filtering approach to eliminate 'noisy' requirements and a preprocessing step based on the Natural Language Processing (NLP) technique to see the impact of this latter on the k-means results. We use Part-Of-Speech (POS) tagging and noun chunki"&amp;"ng to detect technical business terms associated to the requirements documents that we analyze. We experiment this approach on real industrial datasets. The results show the efficiency of the k-means clustering algorithm, especially with the filtering and"&amp;" preprocessing steps. Our approach is using the software SEMIOS and will be integrated as a new functionality. © 2018 IEEE.")</f>
        <v>Requirements are usually 'hand-written' and suffers from several problems like redundancy and inconsistency. The problems of redundancy and inconsistency between requirements or sets of requirements impact negatively the success of final products. Manually processing these issues requires too much time and it is very costly. The main contribution of this paper is the use of k-means algorithm for a redundancy and inconsistency detection in a new context, which is Requirements Engineering context. Also, we introduce a filtering approach to eliminate 'noisy' requirements and a preprocessing step based on the Natural Language Processing (NLP) technique to see the impact of this latter on the k-means results. We use Part-Of-Speech (POS) tagging and noun chunking to detect technical business terms associated to the requirements documents that we analyze. We experiment this approach on real industrial datasets. The results show the efficiency of the k-means clustering algorithm, especially with the filtering and preprocessing steps. Our approach is using the software SEMIOS and will be integrated as a new functionality. © 2018 IEEE.</v>
      </c>
      <c r="H1091" s="7" t="str">
        <f>IFERROR(__xludf.DUMMYFUNCTION("""COMPUTED_VALUE"""),"Clustering; Inconsistency; NLP; Redundancy; Requirements engineering; Technical documents")</f>
        <v>Clustering; Inconsistency; NLP; Redundancy; Requirements engineering; Technical documents</v>
      </c>
      <c r="I1091" s="10" t="b">
        <v>0</v>
      </c>
      <c r="J1091" s="10" t="b">
        <v>0</v>
      </c>
      <c r="K1091" s="10" t="b">
        <v>0</v>
      </c>
      <c r="L1091" s="10" t="b">
        <v>0</v>
      </c>
      <c r="M1091" s="10" t="b">
        <v>0</v>
      </c>
      <c r="N1091" s="10" t="b">
        <v>0</v>
      </c>
      <c r="O1091" s="11" t="b">
        <f t="shared" si="1"/>
        <v>0</v>
      </c>
      <c r="P1091" s="16" t="b">
        <v>0</v>
      </c>
      <c r="Q1091" s="7"/>
    </row>
    <row r="1092">
      <c r="A1092" s="5" t="b">
        <v>1</v>
      </c>
      <c r="B1092" s="5" t="s">
        <v>1140</v>
      </c>
      <c r="C1092" s="7" t="str">
        <f>IFERROR(__xludf.DUMMYFUNCTION("""COMPUTED_VALUE"""),"10.1109/RE.2015.7320414")</f>
        <v>10.1109/RE.2015.7320414</v>
      </c>
      <c r="D1092" s="7" t="str">
        <f>IFERROR(__xludf.DUMMYFUNCTION("""COMPUTED_VALUE"""),"Maalej W.; Nabil H.")</f>
        <v>Maalej W.; Nabil H.</v>
      </c>
      <c r="E1092" s="7" t="str">
        <f>IFERROR(__xludf.DUMMYFUNCTION("""COMPUTED_VALUE"""),"Bug report, feature request, or simply praise? On automatically classifying app reviews")</f>
        <v>Bug report, feature request, or simply praise? On automatically classifying app reviews</v>
      </c>
      <c r="F1092" s="7" t="str">
        <f>IFERROR(__xludf.DUMMYFUNCTION("""COMPUTED_VALUE"""),"RE")</f>
        <v>RE</v>
      </c>
      <c r="G1092" s="7" t="str">
        <f>IFERROR(__xludf.DUMMYFUNCTION("""COMPUTED_VALUE"""),"App stores like Google Play and Apple AppStore have over 3 Million apps covering nearly every kind of software and service. Billions of users regularly download, use, and review these apps. Recent studies have shown that reviews written by the users repre"&amp;"sent a rich source of information for the app vendors and the developers, as they include information about bugs, ideas for new features, or documentation of released features. This paper introduces several probabilistic techniques to classify app reviews"&amp;" into four types: bug reports, feature requests, user experiences, and ratings. For this we use review metadata such as the star rating and the tense, as well as, text classification, natural language processing, and sentiment analysis techniques. We cond"&amp;"ucted a series of experiments to compare the accuracy of the techniques and compared them with simple string matching. We found that metadata alone results in a poor classification accuracy. When combined with natural language processing, the classificati"&amp;"on precision got between 70-95% while the recall between 80-90%. Multiple binary classifiers outperformed single multiclass classifiers. Our results impact the design of review analytics tools which help app vendors, developers, and users to deal with the"&amp;" large amount of reviews, filter critical reviews, and assign them to the appropriate stakeholders. © 2015 IEEE.")</f>
        <v>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This paper introduces several probabilistic techniques to classify app reviews into four types: bug reports, feature requests, user experiences, and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natural language processing, the classification precision got between 70-95% while the recall between 80-90%. Multiple binary classifiers outperformed single multiclass classifiers. Our results impact the design of review analytics tools which help app vendors, developers, and users to deal with the large amount of reviews, filter critical reviews, and assign them to the appropriate stakeholders. © 2015 IEEE.</v>
      </c>
      <c r="H1092" s="7"/>
      <c r="I1092" s="10" t="b">
        <v>0</v>
      </c>
      <c r="J1092" s="10" t="b">
        <v>0</v>
      </c>
      <c r="K1092" s="10" t="b">
        <v>0</v>
      </c>
      <c r="L1092" s="10" t="b">
        <v>0</v>
      </c>
      <c r="M1092" s="10" t="b">
        <v>0</v>
      </c>
      <c r="N1092" s="10" t="b">
        <v>0</v>
      </c>
      <c r="O1092" s="11" t="b">
        <f t="shared" si="1"/>
        <v>0</v>
      </c>
      <c r="P1092" s="16" t="b">
        <v>0</v>
      </c>
      <c r="Q1092" s="7"/>
    </row>
    <row r="1093">
      <c r="A1093" s="5" t="b">
        <v>1</v>
      </c>
      <c r="B1093" s="5" t="s">
        <v>1141</v>
      </c>
      <c r="C1093" s="7" t="str">
        <f>IFERROR(__xludf.DUMMYFUNCTION("""COMPUTED_VALUE"""),"10.1109/RE.2018.00-52")</f>
        <v>10.1109/RE.2018.00-52</v>
      </c>
      <c r="D1093" s="7" t="str">
        <f>IFERROR(__xludf.DUMMYFUNCTION("""COMPUTED_VALUE"""),"Maro S.; Steghofer J.-P.; Hayes J.; Cleland-Huang J.; Staron M.")</f>
        <v>Maro S.; Steghofer J.-P.; Hayes J.; Cleland-Huang J.; Staron M.</v>
      </c>
      <c r="E1093" s="7" t="str">
        <f>IFERROR(__xludf.DUMMYFUNCTION("""COMPUTED_VALUE"""),"Vetting automatically generated trace links: What information is useful to human analysts?")</f>
        <v>Vetting automatically generated trace links: What information is useful to human analysts?</v>
      </c>
      <c r="F1093" s="7" t="str">
        <f>IFERROR(__xludf.DUMMYFUNCTION("""COMPUTED_VALUE"""),"RE")</f>
        <v>RE</v>
      </c>
      <c r="G1093" s="7" t="str">
        <f>IFERROR(__xludf.DUMMYFUNCTION("""COMPUTED_VALUE"""),"Automated traceability has been investigated for over a decade with promising results. However, a human analyst is needed to vet the generated trace links to ensure their quality. The process of vetting trace links is not trivial and while previous studie"&amp;"s have analyzed the performance of the human analyst, they have not focused on the analyst's information needs. The aim of this study is to investigate what context information the human analyst needs. We used design science research, in which we conducte"&amp;"d interviews with ten practitioners in the traceability area to understand the information needed by human analysts. We then compared the information collected from the interviews with existing literature. We created a prototype tool that presents this in"&amp;"formation to the human analyst. To further understand the role of context information, we conducted a controlled experiment with 33 participants. Our interviews reveal that human analysts need information from three different sources: 1) from the artifact"&amp;"s connected by the link, 2) from the traceability information model, and 3) from the tracing algorithm. The experiment results show that the content of the connected artifacts is more useful to the analyst than the contextual information of the artifacts."&amp;" © 2018 IEEE.")</f>
        <v>Automated traceability has been investigated for over a decade with promising results. However, a human analyst is needed to vet the generated trace links to ensure their quality. The process of vetting trace links is not trivial and while previous studies have analyzed the performance of the human analyst, they have not focused on the analyst's information needs. The aim of this study is to investigate what context information the human analyst needs. We used design science research, in which we conducted interviews with ten practitioners in the traceability area to understand the information needed by human analysts. We then compared the information collected from the interviews with existing literature. We created a prototype tool that presents this information to the human analyst. To further understand the role of context information, we conducted a controlled experiment with 33 participants. Our interviews reveal that human analysts need information from three different sources: 1) from the artifacts connected by the link, 2) from the traceability information model, and 3) from the tracing algorithm. The experiment results show that the content of the connected artifacts is more useful to the analyst than the contextual information of the artifacts. © 2018 IEEE.</v>
      </c>
      <c r="H1093" s="7" t="str">
        <f>IFERROR(__xludf.DUMMYFUNCTION("""COMPUTED_VALUE"""),"Automated traceability; Requirements traceability; Traceability")</f>
        <v>Automated traceability; Requirements traceability; Traceability</v>
      </c>
      <c r="I1093" s="9" t="b">
        <v>1</v>
      </c>
      <c r="J1093" s="9" t="b">
        <v>1</v>
      </c>
      <c r="K1093" s="9" t="b">
        <v>1</v>
      </c>
      <c r="L1093" s="10" t="b">
        <v>0</v>
      </c>
      <c r="M1093" s="10" t="b">
        <v>0</v>
      </c>
      <c r="N1093" s="10" t="b">
        <v>0</v>
      </c>
      <c r="O1093" s="11" t="b">
        <f t="shared" si="1"/>
        <v>1</v>
      </c>
      <c r="P1093" s="16" t="b">
        <v>0</v>
      </c>
      <c r="Q1093" s="7"/>
    </row>
    <row r="1094">
      <c r="A1094" s="5" t="b">
        <v>1</v>
      </c>
      <c r="B1094" s="5" t="s">
        <v>1142</v>
      </c>
      <c r="C1094" s="7" t="str">
        <f>IFERROR(__xludf.DUMMYFUNCTION("""COMPUTED_VALUE"""),"10.1109/RE51729.2021.00048")</f>
        <v>10.1109/RE51729.2021.00048</v>
      </c>
      <c r="D1094" s="7" t="str">
        <f>IFERROR(__xludf.DUMMYFUNCTION("""COMPUTED_VALUE"""),"Guo W.; Zhang L.; Lian X.")</f>
        <v>Guo W.; Zhang L.; Lian X.</v>
      </c>
      <c r="E1094" s="7" t="str">
        <f>IFERROR(__xludf.DUMMYFUNCTION("""COMPUTED_VALUE"""),"Putting software requirements under the microscope: Automated extraction of their semantic elements")</f>
        <v>Putting software requirements under the microscope: Automated extraction of their semantic elements</v>
      </c>
      <c r="F1094" s="7" t="str">
        <f>IFERROR(__xludf.DUMMYFUNCTION("""COMPUTED_VALUE"""),"RE")</f>
        <v>RE</v>
      </c>
      <c r="G1094" s="7" t="str">
        <f>IFERROR(__xludf.DUMMYFUNCTION("""COMPUTED_VALUE"""),"The relationships between software requirements work as the basis for several important software activities, such as change impact and developing cost analysis. Multiple types of relationships are mentioned in the RE literatures including normal (e.g., de"&amp;"pendency) and abnormal ones (e.g., conflicts), and most of the existing work usually focus on the identification of one specific relationship. We collect and analyze the relations in the RE literatures, and find some common semantic elements of functional"&amp;" requirements are involved in the definition of multiple types of relations. Thus, to support automatically identifying diverse relationships, we propose our definition of the micro-level semantic constitution of functional requirement (M-FRDL), and one a"&amp;"utomatic approach for the element extraction, named by Micro-level Semantic elements Analyser of functional requirement (MISA). The experiments with three open requirement datasets show that our MISA can correctly identify about 94.93% elements of require"&amp;"ments on average.  © 2021 IEEE.")</f>
        <v>The relationships between software requirements work as the basis for several important software activities, such as change impact and developing cost analysis. Multiple types of relationships are mentioned in the RE literatures including normal (e.g., dependency) and abnormal ones (e.g., conflicts), and most of the existing work usually focus on the identification of one specific relationship. We collect and analyze the relations in the RE literatures, and find some common semantic elements of functional requirements are involved in the definition of multiple types of relations. Thus, to support automatically identifying diverse relationships, we propose our definition of the micro-level semantic constitution of functional requirement (M-FRDL), and one automatic approach for the element extraction, named by Micro-level Semantic elements Analyser of functional requirement (MISA). The experiments with three open requirement datasets show that our MISA can correctly identify about 94.93% elements of requirements on average.  © 2021 IEEE.</v>
      </c>
      <c r="H1094" s="7" t="str">
        <f>IFERROR(__xludf.DUMMYFUNCTION("""COMPUTED_VALUE"""),"Natural Language Processing; Semantic Elements; Software Requirements Relationships")</f>
        <v>Natural Language Processing; Semantic Elements; Software Requirements Relationships</v>
      </c>
      <c r="I1094" s="10" t="b">
        <v>0</v>
      </c>
      <c r="J1094" s="10" t="b">
        <v>0</v>
      </c>
      <c r="K1094" s="10" t="b">
        <v>0</v>
      </c>
      <c r="L1094" s="10" t="b">
        <v>0</v>
      </c>
      <c r="M1094" s="10" t="b">
        <v>0</v>
      </c>
      <c r="N1094" s="10" t="b">
        <v>0</v>
      </c>
      <c r="O1094" s="11" t="b">
        <f t="shared" si="1"/>
        <v>0</v>
      </c>
      <c r="P1094" s="16" t="b">
        <v>0</v>
      </c>
      <c r="Q1094" s="7"/>
    </row>
    <row r="1095">
      <c r="A1095" s="5" t="b">
        <v>1</v>
      </c>
      <c r="B1095" s="5" t="s">
        <v>1143</v>
      </c>
      <c r="C1095" s="7" t="str">
        <f>IFERROR(__xludf.DUMMYFUNCTION("""COMPUTED_VALUE"""),"10.1109/RE.2014.6912268")</f>
        <v>10.1109/RE.2014.6912268</v>
      </c>
      <c r="D1095" s="7" t="str">
        <f>IFERROR(__xludf.DUMMYFUNCTION("""COMPUTED_VALUE"""),"Antonelli L.; Rossi G.; Do Prado Leite J.C.S.; Oliveros A.")</f>
        <v>Antonelli L.; Rossi G.; Do Prado Leite J.C.S.; Oliveros A.</v>
      </c>
      <c r="E1095" s="7" t="str">
        <f>IFERROR(__xludf.DUMMYFUNCTION("""COMPUTED_VALUE"""),"Language extended lexicon points: Estimating the size of an application using its language")</f>
        <v>Language extended lexicon points: Estimating the size of an application using its language</v>
      </c>
      <c r="F1095" s="7" t="str">
        <f>IFERROR(__xludf.DUMMYFUNCTION("""COMPUTED_VALUE"""),"RE")</f>
        <v>RE</v>
      </c>
      <c r="G1095" s="7" t="str">
        <f>IFERROR(__xludf.DUMMYFUNCTION("""COMPUTED_VALUE"""),"Estimating the size of a software system is a critical task due to the implications the estimation has in the management of the development project. There are some widely accepted estimation techniques: Function Points, Use Case Points and Cosmic Points, "&amp;"but these techniques can only be applied after the availability of a requirements specification. In this paper, we propose an approach to estimate the size of an application previous to its requirements specification by using the application language itse"&amp;"lf, captured by the Language Extended Lexicon (LEL). Our approach is based on Use Case Points and on a technique which derives Use Cases from the LEL. The proposed approach provides a measure of the application's size earlier than the usual techniques, th"&amp;"us reducing the effort needed to apply them. An initial experiment was conducted to evaluate the proposal. © 2014 IEEE.")</f>
        <v>Estimating the size of a software system is a critical task due to the implications the estimation has in the management of the development project. There are some widely accepted estimation techniques: Function Points, Use Case Points and Cosmic Points, but these techniques can only be applied after the availability of a requirements specification. In this paper, we propose an approach to estimate the size of an application previous to its requirements specification by using the application language itself, captured by the Language Extended Lexicon (LEL). Our approach is based on Use Case Points and on a technique which derives Use Cases from the LEL. The proposed approach provides a measure of the application's size earlier than the usual techniques, thus reducing the effort needed to apply them. An initial experiment was conducted to evaluate the proposal. © 2014 IEEE.</v>
      </c>
      <c r="H1095" s="7" t="str">
        <f>IFERROR(__xludf.DUMMYFUNCTION("""COMPUTED_VALUE"""),"Domain Analysis; Language Extended Lexicon; Requirements specifications; Software Sizing; Use Case Points")</f>
        <v>Domain Analysis; Language Extended Lexicon; Requirements specifications; Software Sizing; Use Case Points</v>
      </c>
      <c r="I1095" s="10" t="b">
        <v>0</v>
      </c>
      <c r="J1095" s="10" t="b">
        <v>0</v>
      </c>
      <c r="K1095" s="10" t="b">
        <v>0</v>
      </c>
      <c r="L1095" s="10" t="b">
        <v>0</v>
      </c>
      <c r="M1095" s="10" t="b">
        <v>0</v>
      </c>
      <c r="N1095" s="10" t="b">
        <v>0</v>
      </c>
      <c r="O1095" s="11" t="b">
        <f t="shared" si="1"/>
        <v>0</v>
      </c>
      <c r="P1095" s="16" t="b">
        <v>0</v>
      </c>
      <c r="Q1095" s="7"/>
    </row>
    <row r="1096">
      <c r="A1096" s="5" t="b">
        <v>1</v>
      </c>
      <c r="B1096" s="5" t="s">
        <v>1144</v>
      </c>
      <c r="C1096" s="7" t="str">
        <f>IFERROR(__xludf.DUMMYFUNCTION("""COMPUTED_VALUE"""),"10.1109/RE.2015.7320406")</f>
        <v>10.1109/RE.2015.7320406</v>
      </c>
      <c r="D1096" s="7" t="str">
        <f>IFERROR(__xludf.DUMMYFUNCTION("""COMPUTED_VALUE"""),"Mahmoud A.")</f>
        <v>Mahmoud A.</v>
      </c>
      <c r="E1096" s="7" t="str">
        <f>IFERROR(__xludf.DUMMYFUNCTION("""COMPUTED_VALUE"""),"An information theoretic approach for extracting and tracing non-functional requirements")</f>
        <v>An information theoretic approach for extracting and tracing non-functional requirements</v>
      </c>
      <c r="F1096" s="7" t="str">
        <f>IFERROR(__xludf.DUMMYFUNCTION("""COMPUTED_VALUE"""),"RE")</f>
        <v>RE</v>
      </c>
      <c r="G1096" s="7" t="str">
        <f>IFERROR(__xludf.DUMMYFUNCTION("""COMPUTED_VALUE"""),"Non-functional requirements (NFRs) are high-level quality constraints that a software system should exhibit. Detecting such constraints early in the process is critical for the stability of software architectural design. However, due to their pervasive na"&amp;"ture, and the lack of robust modeling and documentation techniques, NFRs are often overlooked during the requirements elicitation phase. Realizing such constraints at later stages of the development process often leads to architecture erosion and poor tra"&amp;"ceability. Motivated by these observations, we propose an unsupervised, computationally efficient, and scalable approach for extracting and tracing NFRs in software systems. Based on main assumptions of the cluster hypothesis and information theory, the p"&amp;"roposed approach exploits the semantic knowledge embedded in the textual content of requirements specifications to discover, classify, and trace high-level software quality constraints imposed by the system's functional features. Three experimental system"&amp;"s are used to conduct the experimental analysis in this paper. Results show that the proposed approach can discover software NFRs with an average accuracy of 73%, enabling these NFRs to be traced to their implementations with accuracy levels adequate for "&amp;"practical applications. © 2015 IEEE.")</f>
        <v>Non-functional requirements (NFRs) are high-level quality constraints that a software system should exhibit. Detecting such constraints early in the process is critical for the stability of software architectural design. However, due to their pervasive nature, and the lack of robust modeling and documentation techniques, NFRs are often overlooked during the requirements elicitation phase. Realizing such constraints at later stages of the development process often leads to architecture erosion and poor traceability. Motivated by these observations, we propose an unsupervised, computationally efficient, and scalable approach for extracting and tracing NFRs in software systems. Based on main assumptions of the cluster hypothesis and information theory, the proposed approach exploits the semantic knowledge embedded in the textual content of requirements specifications to discover, classify, and trace high-level software quality constraints imposed by the system's functional features. Three experimental systems are used to conduct the experimental analysis in this paper. Results show that the proposed approach can discover software NFRs with an average accuracy of 73%, enabling these NFRs to be traced to their implementations with accuracy levels adequate for practical applications. © 2015 IEEE.</v>
      </c>
      <c r="H1096" s="7"/>
      <c r="I1096" s="10" t="b">
        <v>0</v>
      </c>
      <c r="J1096" s="10" t="b">
        <v>0</v>
      </c>
      <c r="K1096" s="10" t="b">
        <v>0</v>
      </c>
      <c r="L1096" s="10" t="b">
        <v>0</v>
      </c>
      <c r="M1096" s="10" t="b">
        <v>0</v>
      </c>
      <c r="N1096" s="10" t="b">
        <v>0</v>
      </c>
      <c r="O1096" s="11" t="b">
        <f t="shared" si="1"/>
        <v>0</v>
      </c>
      <c r="P1096" s="16" t="b">
        <v>0</v>
      </c>
      <c r="Q1096" s="7"/>
    </row>
    <row r="1097">
      <c r="A1097" s="5" t="b">
        <v>1</v>
      </c>
      <c r="B1097" s="5" t="s">
        <v>1145</v>
      </c>
      <c r="C1097" s="7" t="str">
        <f>IFERROR(__xludf.DUMMYFUNCTION("""COMPUTED_VALUE"""),"10.1109/RE.2019.00021")</f>
        <v>10.1109/RE.2019.00021</v>
      </c>
      <c r="D1097" s="7" t="str">
        <f>IFERROR(__xludf.DUMMYFUNCTION("""COMPUTED_VALUE"""),"Seki Y.; Hayashi S.; Saeki M.")</f>
        <v>Seki Y.; Hayashi S.; Saeki M.</v>
      </c>
      <c r="E1097" s="7" t="str">
        <f>IFERROR(__xludf.DUMMYFUNCTION("""COMPUTED_VALUE"""),"Detecting bad smells in use case descriptions")</f>
        <v>Detecting bad smells in use case descriptions</v>
      </c>
      <c r="F1097" s="7" t="str">
        <f>IFERROR(__xludf.DUMMYFUNCTION("""COMPUTED_VALUE"""),"RE")</f>
        <v>RE</v>
      </c>
      <c r="G1097" s="7" t="str">
        <f>IFERROR(__xludf.DUMMYFUNCTION("""COMPUTED_VALUE"""),"Use case modeling is very popular to represent the functionality of the system to be developed, and it consists of two parts: use case diagram and use case description. Use case descriptions are written in structured natural language (NL), and the usage o"&amp;"f NL can lead to poor descriptions such as ambiguous, inconsistent and/or incomplete descriptions, etc. Poor descriptions lead to missing requirements and eliciting incorrect requirements as well as less comprehensiveness of produced use case models. This"&amp;" paper proposes a technique to automate detecting bad smells of use case descriptions, symptoms of poor descriptions. At first, to clarify bad smells, we analyzed existing use case models to discover poor use case descriptions concretely and developed the"&amp;" list of bad smells, i.e., a catalogue of bad smells. Some of the bad smells can be refined into measures using the Goal-Question-Metric paradigm to automate their detection. The main contribution of this paper is the automated detection of bad smells. We"&amp;" have implemented an automated smell detector for 22 bad smells at first and assessed its usefulness by an experiment. As a result, the first version of our tool got a precision ratio of 0.591 and recall ratio of 0.981. © 2019 IEEE.")</f>
        <v>Use case modeling is very popular to represent the functionality of the system to be developed, and it consists of two parts: use case diagram and use case description. Use case descriptions are written in structured natural language (NL), and the usage of NL can lead to poor descriptions such as ambiguous, inconsistent and/or incomplete descriptions, etc. Poor descriptions lead to missing requirements and eliciting incorrect requirements as well as less comprehensiveness of produced use case models. This paper proposes a technique to automate detecting bad smells of use case descriptions, symptoms of poor descriptions. At first, to clarify bad smells, we analyzed existing use case models to discover poor use case descriptions concretely and developed the list of bad smells, i.e., a catalogue of bad smells. Some of the bad smells can be refined into measures using the Goal-Question-Metric paradigm to automate their detection. The main contribution of this paper is the automated detection of bad smells. We have implemented an automated smell detector for 22 bad smells at first and assessed its usefulness by an experiment. As a result, the first version of our tool got a precision ratio of 0.591 and recall ratio of 0.981. © 2019 IEEE.</v>
      </c>
      <c r="H1097" s="7" t="str">
        <f>IFERROR(__xludf.DUMMYFUNCTION("""COMPUTED_VALUE"""),"Smell detection; Use case descriptions")</f>
        <v>Smell detection; Use case descriptions</v>
      </c>
      <c r="I1097" s="10" t="b">
        <v>0</v>
      </c>
      <c r="J1097" s="10" t="b">
        <v>0</v>
      </c>
      <c r="K1097" s="10" t="b">
        <v>0</v>
      </c>
      <c r="L1097" s="10" t="b">
        <v>0</v>
      </c>
      <c r="M1097" s="10" t="b">
        <v>0</v>
      </c>
      <c r="N1097" s="10" t="b">
        <v>0</v>
      </c>
      <c r="O1097" s="11" t="b">
        <f t="shared" si="1"/>
        <v>0</v>
      </c>
      <c r="P1097" s="16" t="b">
        <v>0</v>
      </c>
      <c r="Q1097" s="7"/>
    </row>
    <row r="1098">
      <c r="A1098" s="5" t="b">
        <v>1</v>
      </c>
      <c r="B1098" s="5" t="s">
        <v>1146</v>
      </c>
      <c r="C1098" s="7" t="str">
        <f>IFERROR(__xludf.DUMMYFUNCTION("""COMPUTED_VALUE"""),"10.1109/RE.2018.00069")</f>
        <v>10.1109/RE.2018.00069</v>
      </c>
      <c r="D1098" s="7" t="str">
        <f>IFERROR(__xludf.DUMMYFUNCTION("""COMPUTED_VALUE"""),"Ghazi P.; Glinz M.")</f>
        <v>Ghazi P.; Glinz M.</v>
      </c>
      <c r="E1098" s="7" t="str">
        <f>IFERROR(__xludf.DUMMYFUNCTION("""COMPUTED_VALUE"""),"FlexiView experimental tool: Fair and detailed usability tests for requirements modeling tools")</f>
        <v>FlexiView experimental tool: Fair and detailed usability tests for requirements modeling tools</v>
      </c>
      <c r="F1098" s="7" t="str">
        <f>IFERROR(__xludf.DUMMYFUNCTION("""COMPUTED_VALUE"""),"RE")</f>
        <v>RE</v>
      </c>
      <c r="G1098" s="7" t="str">
        <f>IFERROR(__xludf.DUMMYFUNCTION("""COMPUTED_VALUE"""),"Enhancing the usability of tools such as requirements modeling tools requires several cycles of testing and improvement. Since this process is costly, it is usually ignored. In this paper, we present an experimental tool which we have developed with two g"&amp;"oals: (i) comparing the usability of a new navigation technique for requirements artifacts called FlexiView with traditional zooming and scrolling, and (ii) developing a platform that enables fast implementation and fair usability comparisons of new navig"&amp;"ation techniques while producing generalizable results. © 2018 IEEE.")</f>
        <v>Enhancing the usability of tools such as requirements modeling tools requires several cycles of testing and improvement. Since this process is costly, it is usually ignored. In this paper, we present an experimental tool which we have developed with two goals: (i) comparing the usability of a new navigation technique for requirements artifacts called FlexiView with traditional zooming and scrolling, and (ii) developing a platform that enables fast implementation and fair usability comparisons of new navigation techniques while producing generalizable results. © 2018 IEEE.</v>
      </c>
      <c r="H1098" s="7" t="str">
        <f>IFERROR(__xludf.DUMMYFUNCTION("""COMPUTED_VALUE"""),"Graphical models; Modeling tools; Requirements engineering; User interface")</f>
        <v>Graphical models; Modeling tools; Requirements engineering; User interface</v>
      </c>
      <c r="I1098" s="10" t="b">
        <v>0</v>
      </c>
      <c r="J1098" s="10" t="b">
        <v>0</v>
      </c>
      <c r="K1098" s="10" t="b">
        <v>0</v>
      </c>
      <c r="L1098" s="10" t="b">
        <v>0</v>
      </c>
      <c r="M1098" s="10" t="b">
        <v>0</v>
      </c>
      <c r="N1098" s="10" t="b">
        <v>0</v>
      </c>
      <c r="O1098" s="11" t="b">
        <f t="shared" si="1"/>
        <v>0</v>
      </c>
      <c r="P1098" s="16" t="b">
        <v>0</v>
      </c>
      <c r="Q1098" s="7"/>
    </row>
    <row r="1099">
      <c r="A1099" s="5" t="b">
        <v>1</v>
      </c>
      <c r="B1099" s="5" t="s">
        <v>1147</v>
      </c>
      <c r="C1099" s="7" t="str">
        <f>IFERROR(__xludf.DUMMYFUNCTION("""COMPUTED_VALUE"""),"10.1109/RE.2010.34")</f>
        <v>10.1109/RE.2010.34</v>
      </c>
      <c r="D1099" s="7" t="str">
        <f>IFERROR(__xludf.DUMMYFUNCTION("""COMPUTED_VALUE"""),"Egyed A.; Graf F.; Grünbacher P.")</f>
        <v>Egyed A.; Graf F.; Grünbacher P.</v>
      </c>
      <c r="E1099" s="7" t="str">
        <f>IFERROR(__xludf.DUMMYFUNCTION("""COMPUTED_VALUE"""),"Effort and quality of recovering requirements-to-code traces: Two exploratory experiments")</f>
        <v>Effort and quality of recovering requirements-to-code traces: Two exploratory experiments</v>
      </c>
      <c r="F1099" s="7" t="str">
        <f>IFERROR(__xludf.DUMMYFUNCTION("""COMPUTED_VALUE"""),"RE")</f>
        <v>RE</v>
      </c>
      <c r="G1099" s="7" t="str">
        <f>IFERROR(__xludf.DUMMYFUNCTION("""COMPUTED_VALUE"""),"Trace links between requirements and code are essential for many software development and maintenance activities. Despite significant advances in traceability research, creating links remains a human-intensive activity and surprisingly little is known abo"&amp;"ut how humans perform basic tracing tasks. We investigate fundamental research questions regarding the effort and quality of recovering traces between requirements and code. Our paper presents two exploratory experiments conducted with 100 subjects who re"&amp;"covered trace links for two open source software systems in a controlled environment. In the first experiment, subjects recovered trace links between the two systems' requirements and classes of the implementation. In the second experiment, trace links we"&amp;"re established between requirements and individual methods of the implementation. In order to assess the validity of the trace links cast by subjects, key developers of the two software systems participated in our research and provided benchmarks. Our stu"&amp;"dy yields surprising observations: trace capture is surprisingly fast and can be done within minutes even for larger classes; the quality of the captured trace links, while good, does not improve with higher trace effort; and it is not harder though sligh"&amp;"tly more expensive to recover the trace links for larger, more complex classes. © 2010 IEEE.")</f>
        <v>Trace links between requirements and code are essential for many software development and maintenance activities. Despite significant advances in traceability research, creating links remains a human-intensive activity and surprisingly little is known about how humans perform basic tracing tasks. We investigate fundamental research questions regarding the effort and quality of recovering traces between requirements and code. Our paper presents two exploratory experiments conducted with 100 subjects who recovered trace links for two open source software systems in a controlled environment. In the first experiment, subjects recovered trace links between the two systems' requirements and classes of the implementation. In the second experiment, trace links were established between requirements and individual methods of the implementation. In order to assess the validity of the trace links cast by subjects, key developers of the two software systems participated in our research and provided benchmarks. Our study yields surprising observations: trace capture is surprisingly fast and can be done within minutes even for larger classes; the quality of the captured trace links, while good, does not improve with higher trace effort; and it is not harder though slightly more expensive to recover the trace links for larger, more complex classes. © 2010 IEEE.</v>
      </c>
      <c r="H1099" s="7" t="str">
        <f>IFERROR(__xludf.DUMMYFUNCTION("""COMPUTED_VALUE"""),"Exploratory experiments; Requirements traceability; Traceability effort and quality")</f>
        <v>Exploratory experiments; Requirements traceability; Traceability effort and quality</v>
      </c>
      <c r="I1099" s="9" t="b">
        <v>0</v>
      </c>
      <c r="J1099" s="9" t="b">
        <v>1</v>
      </c>
      <c r="K1099" s="9" t="b">
        <v>1</v>
      </c>
      <c r="L1099" s="10" t="b">
        <v>0</v>
      </c>
      <c r="M1099" s="10" t="b">
        <v>0</v>
      </c>
      <c r="N1099" s="10" t="b">
        <v>0</v>
      </c>
      <c r="O1099" s="11" t="b">
        <f t="shared" si="1"/>
        <v>0</v>
      </c>
      <c r="P1099" s="12" t="b">
        <v>0</v>
      </c>
      <c r="Q1099" s="13"/>
    </row>
    <row r="1100">
      <c r="A1100" s="5" t="b">
        <v>1</v>
      </c>
      <c r="B1100" s="5" t="s">
        <v>1148</v>
      </c>
      <c r="C1100" s="7" t="str">
        <f>IFERROR(__xludf.DUMMYFUNCTION("""COMPUTED_VALUE"""),"10.1109/RE54965.2022.00043")</f>
        <v>10.1109/RE54965.2022.00043</v>
      </c>
      <c r="D1100" s="7" t="str">
        <f>IFERROR(__xludf.DUMMYFUNCTION("""COMPUTED_VALUE"""),"Li J.; Tei K.")</f>
        <v>Li J.; Tei K.</v>
      </c>
      <c r="E1100" s="7" t="str">
        <f>IFERROR(__xludf.DUMMYFUNCTION("""COMPUTED_VALUE"""),"Done is better than perfect: Iterative Adaptation via Multi-grained Requirement Relaxation")</f>
        <v>Done is better than perfect: Iterative Adaptation via Multi-grained Requirement Relaxation</v>
      </c>
      <c r="F1100" s="7" t="str">
        <f>IFERROR(__xludf.DUMMYFUNCTION("""COMPUTED_VALUE"""),"RE")</f>
        <v>RE</v>
      </c>
      <c r="G1100" s="7" t="str">
        <f>IFERROR(__xludf.DUMMYFUNCTION("""COMPUTED_VALUE"""),"In the studies of self-adaptive systems (SAS), requirement relaxation is a widely discussed approach for managing the system's requirements when dealing with the runtime environment changes (e.g., ignoring low-priority requirements to guarantee high-prior"&amp;"ity requirements). Guaranteeable requirement analysis (GRA) is recently proposed to determine the relaxation by checking the feasibility of all requirement combinations, enabling the SAS to realize the relaxation autonomously. However, a critical problem "&amp;"of GRA is the trade-off between analysis/relaxation precision and computation time at different granularity levels of requirements. Specifically, the analysis may not be precise enough if the requirements are coarse-grained (i.e., high granularity level),"&amp;" while the analysis may take a too long time if the requirements are fine-grained (i.e., low granularity level). This paper proposed a method, namely iterative adaptation via multi-grained requirement relaxation, to achieve the advantages of high precisio"&amp;"n and short computation time. Specifically, the SAS first deploys a rapid (but imprecise) relaxation using high granularity-level requirements. It then repeatedly iterates to a preciser (but slower) relaxation with a progressive decrease in the granularit"&amp;"y level. An experiment based on the warehouse robot system demonstrates the validity of our proposal.  © 2022 IEEE.")</f>
        <v>In the studies of self-adaptive systems (SAS), requirement relaxation is a widely discussed approach for managing the system's requirements when dealing with the runtime environment changes (e.g., ignoring low-priority requirements to guarantee high-priority requirements). Guaranteeable requirement analysis (GRA) is recently proposed to determine the relaxation by checking the feasibility of all requirement combinations, enabling the SAS to realize the relaxation autonomously. However, a critical problem of GRA is the trade-off between analysis/relaxation precision and computation time at different granularity levels of requirements. Specifically, the analysis may not be precise enough if the requirements are coarse-grained (i.e., high granularity level), while the analysis may take a too long time if the requirements are fine-grained (i.e., low granularity level). This paper proposed a method, namely iterative adaptation via multi-grained requirement relaxation, to achieve the advantages of high precision and short computation time. Specifically, the SAS first deploys a rapid (but imprecise) relaxation using high granularity-level requirements. It then repeatedly iterates to a preciser (but slower) relaxation with a progressive decrease in the granularity level. An experiment based on the warehouse robot system demonstrates the validity of our proposal.  © 2022 IEEE.</v>
      </c>
      <c r="H1100" s="7" t="str">
        <f>IFERROR(__xludf.DUMMYFUNCTION("""COMPUTED_VALUE"""),"discrete controller synthesis; RE@runtime; requirement granularity; requirement relaxation; self-adaptive system")</f>
        <v>discrete controller synthesis; RE@runtime; requirement granularity; requirement relaxation; self-adaptive system</v>
      </c>
      <c r="I1100" s="10" t="b">
        <v>0</v>
      </c>
      <c r="J1100" s="10" t="b">
        <v>0</v>
      </c>
      <c r="K1100" s="10" t="b">
        <v>0</v>
      </c>
      <c r="L1100" s="10" t="b">
        <v>0</v>
      </c>
      <c r="M1100" s="10" t="b">
        <v>0</v>
      </c>
      <c r="N1100" s="10" t="b">
        <v>0</v>
      </c>
      <c r="O1100" s="11" t="b">
        <f t="shared" si="1"/>
        <v>0</v>
      </c>
      <c r="P1100" s="16" t="b">
        <v>0</v>
      </c>
      <c r="Q1100" s="7"/>
    </row>
    <row r="1101">
      <c r="A1101" s="5" t="b">
        <v>1</v>
      </c>
      <c r="B1101" s="5" t="s">
        <v>1149</v>
      </c>
      <c r="C1101" s="7" t="str">
        <f>IFERROR(__xludf.DUMMYFUNCTION("""COMPUTED_VALUE"""),"10.1109/RE.2010.13")</f>
        <v>10.1109/RE.2010.13</v>
      </c>
      <c r="D1101" s="7" t="str">
        <f>IFERROR(__xludf.DUMMYFUNCTION("""COMPUTED_VALUE"""),"Menzel I.; Mueller M.; Gross A.; Doerr J.")</f>
        <v>Menzel I.; Mueller M.; Gross A.; Doerr J.</v>
      </c>
      <c r="E1101" s="7" t="str">
        <f>IFERROR(__xludf.DUMMYFUNCTION("""COMPUTED_VALUE"""),"An experimental comparison regarding the completeness of functional requirements specifications")</f>
        <v>An experimental comparison regarding the completeness of functional requirements specifications</v>
      </c>
      <c r="F1101" s="7" t="str">
        <f>IFERROR(__xludf.DUMMYFUNCTION("""COMPUTED_VALUE"""),"RE")</f>
        <v>RE</v>
      </c>
      <c r="G1101" s="7" t="str">
        <f>IFERROR(__xludf.DUMMYFUNCTION("""COMPUTED_VALUE"""),"Providing high-quality software within budget is a goal pursued by most software companies. Incomplete requirements specifications can have an adverse effect on this goal and thus on a company's competitiveness. Several empirical studies have investigated"&amp;" the effects of requirements engineering methods on the completeness of a specification. In order to increase this body of knowledge, we suggest using an objective evaluation scheme for assessing the completeness of specification documents, as objectifyin"&amp;"g the term completeness facilitates the interpretation of evaluations and hence comparison among different studies. This paper reports experience from applying the scheme to a student experiment comparing a use case with a textual approach common in indus"&amp;"try. The statistical analysis of the specification's completeness indicates that use case descriptions lead to more complete requirements specifications. We further experienced that the scheme is applicable to experiments and delivers meaningful results. "&amp;"© 2010 IEEE.")</f>
        <v>Providing high-quality software within budget is a goal pursued by most software companies. Incomplete requirements specifications can have an adverse effect on this goal and thus on a company's competitiveness. Several empirical studies have investigated the effects of requirements engineering methods on the completeness of a specification. In order to increase this body of knowledge, we suggest using an objective evaluation scheme for assessing the completeness of specification documents, as objectifying the term completeness facilitates the interpretation of evaluations and hence comparison among different studies. This paper reports experience from applying the scheme to a student experiment comparing a use case with a textual approach common in industry. The statistical analysis of the specification's completeness indicates that use case descriptions lead to more complete requirements specifications. We further experienced that the scheme is applicable to experiments and delivers meaningful results. © 2010 IEEE.</v>
      </c>
      <c r="H1101" s="7" t="str">
        <f>IFERROR(__xludf.DUMMYFUNCTION("""COMPUTED_VALUE"""),"Automotive; Complete requirement; Completeness; Embedded systems; Experiment; Incomplete requirement; Use case")</f>
        <v>Automotive; Complete requirement; Completeness; Embedded systems; Experiment; Incomplete requirement; Use case</v>
      </c>
      <c r="I1101" s="10" t="b">
        <v>0</v>
      </c>
      <c r="J1101" s="10" t="b">
        <v>0</v>
      </c>
      <c r="K1101" s="10" t="b">
        <v>0</v>
      </c>
      <c r="L1101" s="10" t="b">
        <v>0</v>
      </c>
      <c r="M1101" s="10" t="b">
        <v>0</v>
      </c>
      <c r="N1101" s="10" t="b">
        <v>0</v>
      </c>
      <c r="O1101" s="11" t="b">
        <f t="shared" si="1"/>
        <v>0</v>
      </c>
      <c r="P1101" s="16" t="b">
        <v>0</v>
      </c>
      <c r="Q1101" s="7"/>
    </row>
    <row r="1102">
      <c r="A1102" s="5" t="b">
        <v>1</v>
      </c>
      <c r="B1102" s="5" t="s">
        <v>1150</v>
      </c>
      <c r="C1102" s="7" t="str">
        <f>IFERROR(__xludf.DUMMYFUNCTION("""COMPUTED_VALUE"""),"10.1109/RE.2016.10")</f>
        <v>10.1109/RE.2016.10</v>
      </c>
      <c r="D1102" s="7" t="str">
        <f>IFERROR(__xludf.DUMMYFUNCTION("""COMPUTED_VALUE"""),"Karras O.; Kiesling S.; Schneider K.")</f>
        <v>Karras O.; Kiesling S.; Schneider K.</v>
      </c>
      <c r="E1102" s="7" t="str">
        <f>IFERROR(__xludf.DUMMYFUNCTION("""COMPUTED_VALUE"""),"Supporting Requirements Elicitation by Tool-Supported Video Analysis")</f>
        <v>Supporting Requirements Elicitation by Tool-Supported Video Analysis</v>
      </c>
      <c r="F1102" s="7" t="str">
        <f>IFERROR(__xludf.DUMMYFUNCTION("""COMPUTED_VALUE"""),"RE")</f>
        <v>RE</v>
      </c>
      <c r="G1102" s="7" t="str">
        <f>IFERROR(__xludf.DUMMYFUNCTION("""COMPUTED_VALUE"""),"Workshops are an established technique for requirements elicitation. A lot of information is revealed during a workshop, which is generally captured via textual minutes. The scribe suffers from a cognitive overload due to the difficulty of gathering all i"&amp;"nformation, listening and writing at the same time. Video recording is used as additional option to capture more information, including non-verbal gestures. Since a workshop can take several hours, the recorded video will be long and may be disconnected f"&amp;"rom the scribe's notes. Therefore, the weak and unclear structure of the video complicates the access to the recorded information, for example in subsequent requirements engineering activities. We propose the combination of textual minutes and video with "&amp;"a software tool. Our objective is connecting textual notes with the corresponding part of the video. By highlighting relevant sections of a video and attaching notes that summarize those sections, a more useful structure can be achieved. This structure al"&amp;"lows an easy and fast access to the relevant information and their corresponding video context. Thus, a scribe's overload can be mitigated and further use of a video can be simplified. Tool-supported analysis of such an enriched video can facilitate the a"&amp;"ccess to all communicated information of a workshop. This allows an easier elicitation of high-quality requirements. We performed a preliminary evaluation of our approach in an experimental set-up with 12 participants. They were able to elicit higher-qual"&amp;"ity requirements with our software tool. © 2016 IEEE.")</f>
        <v>Workshops are an established technique for requirements elicitation. A lot of information is revealed during a workshop, which is generally captured via textual minutes. The scribe suffers from a cognitive overload due to the difficulty of gathering all information, listening and writing at the same time. Video recording is used as additional option to capture more information, including non-verbal gestures. Since a workshop can take several hours, the recorded video will be long and may be disconnected from the scribe's notes. Therefore, the weak and unclear structure of the video complicates the access to the recorded information, for example in subsequent requirements engineering activities. We propose the combination of textual minutes and video with a software tool. Our objective is connecting textual notes with the corresponding part of the video. By highlighting relevant sections of a video and attaching notes that summarize those sections, a more useful structure can be achieved. This structure allows an easy and fast access to the relevant information and their corresponding video context. Thus, a scribe's overload can be mitigated and further use of a video can be simplified. Tool-supported analysis of such an enriched video can facilitate the access to all communicated information of a workshop. This allows an easier elicitation of high-quality requirements. We performed a preliminary evaluation of our approach in an experimental set-up with 12 participants. They were able to elicit higher-quality requirements with our software tool. © 2016 IEEE.</v>
      </c>
      <c r="H1102" s="7" t="str">
        <f>IFERROR(__xludf.DUMMYFUNCTION("""COMPUTED_VALUE"""),"Requirements elicitation; requirements quality; video analysis; workshop video")</f>
        <v>Requirements elicitation; requirements quality; video analysis; workshop video</v>
      </c>
      <c r="I1102" s="10" t="b">
        <v>0</v>
      </c>
      <c r="J1102" s="10" t="b">
        <v>0</v>
      </c>
      <c r="K1102" s="10" t="b">
        <v>0</v>
      </c>
      <c r="L1102" s="10" t="b">
        <v>0</v>
      </c>
      <c r="M1102" s="10" t="b">
        <v>0</v>
      </c>
      <c r="N1102" s="10" t="b">
        <v>0</v>
      </c>
      <c r="O1102" s="11" t="b">
        <f t="shared" si="1"/>
        <v>0</v>
      </c>
      <c r="P1102" s="16" t="b">
        <v>0</v>
      </c>
      <c r="Q1102" s="7"/>
    </row>
    <row r="1103">
      <c r="A1103" s="5" t="b">
        <v>1</v>
      </c>
      <c r="B1103" s="5" t="s">
        <v>1151</v>
      </c>
      <c r="C1103" s="7" t="str">
        <f>IFERROR(__xludf.DUMMYFUNCTION("""COMPUTED_VALUE"""),"10.1109/RE.2009.20")</f>
        <v>10.1109/RE.2009.20</v>
      </c>
      <c r="D1103" s="7" t="str">
        <f>IFERROR(__xludf.DUMMYFUNCTION("""COMPUTED_VALUE"""),"Castro-Herrera C.; Cleland-Huang J.; Mobasher B.")</f>
        <v>Castro-Herrera C.; Cleland-Huang J.; Mobasher B.</v>
      </c>
      <c r="E1103" s="7" t="str">
        <f>IFERROR(__xludf.DUMMYFUNCTION("""COMPUTED_VALUE"""),"Enhancing stakeholder profiles to improve recommendations in online requirements elicitation")</f>
        <v>Enhancing stakeholder profiles to improve recommendations in online requirements elicitation</v>
      </c>
      <c r="F1103" s="7" t="str">
        <f>IFERROR(__xludf.DUMMYFUNCTION("""COMPUTED_VALUE"""),"RE")</f>
        <v>RE</v>
      </c>
      <c r="G1103" s="7" t="str">
        <f>IFERROR(__xludf.DUMMYFUNCTION("""COMPUTED_VALUE"""),"Requirements elicitation has long been recognized as a crucial activity in any software development project. Unfortunately, the traditional elicitation practices do not scale well when applied to larger projects, where knowledge is distributed across nume"&amp;"rous geographically dispersed stakeholders. As a result, new distributed requirements elicitation tools have started to surface, such as online forums and wiki pages. In our previous work, we introduced a framework for supporting distributed elicitation b"&amp;"y utilizing data mining and machine learning techniques to automatically group stakeholder ideas into forums, and by using recommender system technologies to help promote these forums to potentially interested stakeholders. The framework is designed to cr"&amp;"eate an open and more inclusive environment where points of view, conflicts, interests and tradeoffs are identified as early as possible. In this paper, we present two substantial enhancements to the Recommender System component of this framework, and dem"&amp;"onstrate through experiments how they improve the quality of the recommendations. © 2009 IEEE.")</f>
        <v>Requirements elicitation has long been recognized as a crucial activity in any software development project. Unfortunately, the traditional elicitation practices do not scale well when applied to larger projects, where knowledge is distributed across numerous geographically dispersed stakeholders. As a result, new distributed requirements elicitation tools have started to surface, such as online forums and wiki pages. In our previous work, we introduced a framework for supporting distributed elicitation by utilizing data mining and machine learning techniques to automatically group stakeholder ideas into forums, and by using recommender system technologies to help promote these forums to potentially interested stakeholders. The framework is designed to create an open and more inclusive environment where points of view, conflicts, interests and tradeoffs are identified as early as possible. In this paper, we present two substantial enhancements to the Recommender System component of this framework, and demonstrate through experiments how they improve the quality of the recommendations. © 2009 IEEE.</v>
      </c>
      <c r="H1103" s="7"/>
      <c r="I1103" s="10" t="b">
        <v>0</v>
      </c>
      <c r="J1103" s="10" t="b">
        <v>0</v>
      </c>
      <c r="K1103" s="10" t="b">
        <v>0</v>
      </c>
      <c r="L1103" s="10" t="b">
        <v>0</v>
      </c>
      <c r="M1103" s="10" t="b">
        <v>0</v>
      </c>
      <c r="N1103" s="10" t="b">
        <v>0</v>
      </c>
      <c r="O1103" s="11" t="b">
        <f t="shared" si="1"/>
        <v>0</v>
      </c>
      <c r="P1103" s="16" t="b">
        <v>0</v>
      </c>
      <c r="Q1103" s="7"/>
    </row>
    <row r="1104">
      <c r="A1104" s="5" t="b">
        <v>1</v>
      </c>
      <c r="B1104" s="5" t="s">
        <v>1152</v>
      </c>
      <c r="C1104" s="7" t="str">
        <f>IFERROR(__xludf.DUMMYFUNCTION("""COMPUTED_VALUE"""),"10.1109/RE48521.2020.00042")</f>
        <v>10.1109/RE48521.2020.00042</v>
      </c>
      <c r="D1104" s="7" t="str">
        <f>IFERROR(__xludf.DUMMYFUNCTION("""COMPUTED_VALUE"""),"Unterkalmsteiner M.")</f>
        <v>Unterkalmsteiner M.</v>
      </c>
      <c r="E1104" s="7" t="str">
        <f>IFERROR(__xludf.DUMMYFUNCTION("""COMPUTED_VALUE"""),"Early Requirements Traceability with Domain-Specific Taxonomies-A Pilot Experiment")</f>
        <v>Early Requirements Traceability with Domain-Specific Taxonomies-A Pilot Experiment</v>
      </c>
      <c r="F1104" s="7" t="str">
        <f>IFERROR(__xludf.DUMMYFUNCTION("""COMPUTED_VALUE"""),"RE")</f>
        <v>RE</v>
      </c>
      <c r="G1104" s="7" t="str">
        <f>IFERROR(__xludf.DUMMYFUNCTION("""COMPUTED_VALUE"""),"Background: Establishing traceability from requirements documents to downstream artifacts early can be beneficial as it allows engineers to reason about requirements quality (e.g. completeness, consistency, redundancy). However, creating such early traces"&amp;" is difficult if downstream artifacts do not exist yet. Objective: We propose to use domain-specific taxonomies to establish early traceability, raising the value and perceived benefits of trace links so that they are also available at later development p"&amp;"hases, e.g. in design, testing or maintenance. Method: We developed a recommender system that suggests trace links from requirements to a domain-specific taxonomy based on a series of heuristics. We designed a controlled experiment to compare industry pra"&amp;"ctitioners' efficiency, accuracy, consistency and confidence with and without support from the recommender. Results: We have piloted the experimental material with seven practitioners. The analysis of self-reported confidence suggests that the trace task "&amp;"itself is very challenging as both control and treatment group report low confidence on correctness and completeness. Conclusions: As a pilot, the experiment was successful since it provided initial feedback on the performance of the recommender, insight "&amp;"on the experimental material and illustrated that the collected data can be meaningfully analysed. © 2020 IEEE.")</f>
        <v>Background: Establishing traceability from requirements documents to downstream artifacts early can be beneficial as it allows engineers to reason about requirements quality (e.g. completeness, consistency, redundancy). However, creating such early traces is difficult if downstream artifacts do not exist yet. Objective: We propose to use domain-specific taxonomies to establish early traceability, raising the value and perceived benefits of trace links so that they are also available at later development phases, e.g. in design, testing or maintenance. Method: We developed a recommender system that suggests trace links from requirements to a domain-specific taxonomy based on a series of heuristics. We designed a controlled experiment to compare industry practitioners' efficiency, accuracy, consistency and confidence with and without support from the recommender. Results: We have piloted the experimental material with seven practitioners. The analysis of self-reported confidence suggests that the trace task itself is very challenging as both control and treatment group report low confidence on correctness and completeness. Conclusions: As a pilot, the experiment was successful since it provided initial feedback on the performance of the recommender, insight on the experimental material and illustrated that the collected data can be meaningfully analysed. © 2020 IEEE.</v>
      </c>
      <c r="H1104" s="7" t="str">
        <f>IFERROR(__xludf.DUMMYFUNCTION("""COMPUTED_VALUE"""),"Domain-specific Taxonomy; Pilot Experiment; Recommender; Requirements; Traceability")</f>
        <v>Domain-specific Taxonomy; Pilot Experiment; Recommender; Requirements; Traceability</v>
      </c>
      <c r="I1104" s="9" t="b">
        <v>1</v>
      </c>
      <c r="J1104" s="9" t="b">
        <v>1</v>
      </c>
      <c r="K1104" s="9" t="b">
        <v>1</v>
      </c>
      <c r="L1104" s="10" t="b">
        <v>0</v>
      </c>
      <c r="M1104" s="10" t="b">
        <v>0</v>
      </c>
      <c r="N1104" s="10" t="b">
        <v>0</v>
      </c>
      <c r="O1104" s="11" t="b">
        <f t="shared" si="1"/>
        <v>1</v>
      </c>
      <c r="P1104" s="16" t="b">
        <v>0</v>
      </c>
      <c r="Q1104" s="7"/>
    </row>
    <row r="1105">
      <c r="A1105" s="5" t="b">
        <v>1</v>
      </c>
      <c r="B1105" s="5" t="s">
        <v>1153</v>
      </c>
      <c r="C1105" s="7" t="str">
        <f>IFERROR(__xludf.DUMMYFUNCTION("""COMPUTED_VALUE"""),"10.1109/RE.2012.6345798")</f>
        <v>10.1109/RE.2012.6345798</v>
      </c>
      <c r="D1105" s="7" t="str">
        <f>IFERROR(__xludf.DUMMYFUNCTION("""COMPUTED_VALUE"""),"Yi L.; Zhang W.; Zhao H.; Jin Z.; Mei H.")</f>
        <v>Yi L.; Zhang W.; Zhao H.; Jin Z.; Mei H.</v>
      </c>
      <c r="E1105" s="7" t="str">
        <f>IFERROR(__xludf.DUMMYFUNCTION("""COMPUTED_VALUE"""),"Mining binary constraints in the construction of feature models")</f>
        <v>Mining binary constraints in the construction of feature models</v>
      </c>
      <c r="F1105" s="7" t="str">
        <f>IFERROR(__xludf.DUMMYFUNCTION("""COMPUTED_VALUE"""),"RE")</f>
        <v>RE</v>
      </c>
      <c r="G1105" s="7" t="str">
        <f>IFERROR(__xludf.DUMMYFUNCTION("""COMPUTED_VALUE"""),"Feature models provide an effective way to organize and reuse requirements in a specific domain. A feature model consists of a feature tree and cross-tree constraints. Identifying features and then building a feature tree takes a lot of effort, and many s"&amp;"emi-automated approaches have been proposed to help the situation. However, finding cross-tree constraints is often more challenging which still lacks the help of automation. In this paper, we propose an approach to mining cross-tree binary constraints in"&amp;" the construction of feature models. Binary constraints are the most basic kind of cross-tree constraints that involve exactly two features and can be further classified into two sub-types, i.e. requires and excludes. Given these two sub-types, a pair of "&amp;"any two features in a feature model falls into one of the following classes: no constraints between them, a requires between them, or an excludes between them. Therefore we perform a 3-class classification on feature pairs to mine binary constraints from "&amp;"features. We incorporate a support vector machine as the classifier and utilize a genetic algorithm to optimize it. We conduct a series of experiments on two feature models constructed by third parties, to evaluate the effectiveness of our approach under "&amp;"different conditions that might occur in practical use. Results show that we can mine binary constraints at a high recall (near 100% in most cases), which is important because finding a missing constraint is very costly in real, often large, feature model"&amp;"s. © 2012 IEEE.")</f>
        <v>Feature models provide an effective way to organize and reuse requirements in a specific domain. A feature model consists of a feature tree and cross-tree constraints. Identifying features and then building a feature tree takes a lot of effort, and many semi-automated approaches have been proposed to help the situation. However, finding cross-tree constraints is often more challenging which still lacks the help of automation. In this paper, we propose an approach to mining cross-tree binary constraints in the construction of feature models. Binary constraints are the most basic kind of cross-tree constraints that involve exactly two features and can be further classified into two sub-types, i.e. requires and excludes. Given these two sub-types, a pair of any two features in a feature model falls into one of the following classes: no constraints between them, a requires between them, or an excludes between them. Therefore we perform a 3-class classification on feature pairs to mine binary constraints from features. We incorporate a support vector machine as the classifier and utilize a genetic algorithm to optimize it. We conduct a series of experiments on two feature models constructed by third parties, to evaluate the effectiveness of our approach under different conditions that might occur in practical use. Results show that we can mine binary constraints at a high recall (near 100% in most cases), which is important because finding a missing constraint is very costly in real, often large, feature models. © 2012 IEEE.</v>
      </c>
      <c r="H1105" s="7" t="str">
        <f>IFERROR(__xludf.DUMMYFUNCTION("""COMPUTED_VALUE"""),"binary constraints; feature model; support vector machine")</f>
        <v>binary constraints; feature model; support vector machine</v>
      </c>
      <c r="I1105" s="10" t="b">
        <v>0</v>
      </c>
      <c r="J1105" s="10" t="b">
        <v>0</v>
      </c>
      <c r="K1105" s="10" t="b">
        <v>0</v>
      </c>
      <c r="L1105" s="10" t="b">
        <v>0</v>
      </c>
      <c r="M1105" s="10" t="b">
        <v>0</v>
      </c>
      <c r="N1105" s="10" t="b">
        <v>0</v>
      </c>
      <c r="O1105" s="11" t="b">
        <f t="shared" si="1"/>
        <v>0</v>
      </c>
      <c r="P1105" s="16" t="b">
        <v>0</v>
      </c>
      <c r="Q1105" s="7"/>
    </row>
    <row r="1106">
      <c r="A1106" s="5" t="b">
        <v>1</v>
      </c>
      <c r="B1106" s="5" t="s">
        <v>1154</v>
      </c>
      <c r="C1106" s="7" t="str">
        <f>IFERROR(__xludf.DUMMYFUNCTION("""COMPUTED_VALUE"""),"10.1109/RE.2018.00074")</f>
        <v>10.1109/RE.2018.00074</v>
      </c>
      <c r="D1106" s="7" t="str">
        <f>IFERROR(__xludf.DUMMYFUNCTION("""COMPUTED_VALUE"""),"Hehn J.; Uebernickel F.; Fernandez D.M.")</f>
        <v>Hehn J.; Uebernickel F.; Fernandez D.M.</v>
      </c>
      <c r="E1106" s="7" t="str">
        <f>IFERROR(__xludf.DUMMYFUNCTION("""COMPUTED_VALUE"""),"DT4RE: Design thinking for requirements engineering: A tutorial on human-centered and structured requirements elicitation")</f>
        <v>DT4RE: Design thinking for requirements engineering: A tutorial on human-centered and structured requirements elicitation</v>
      </c>
      <c r="F1106" s="7" t="str">
        <f>IFERROR(__xludf.DUMMYFUNCTION("""COMPUTED_VALUE"""),"RE")</f>
        <v>RE</v>
      </c>
      <c r="G1106" s="7" t="str">
        <f>IFERROR(__xludf.DUMMYFUNCTION("""COMPUTED_VALUE"""),"This tutorial presents Design Thinking as a promising approach to creatively elicit human-centered requirements for software-intensive systems. Specifically, it contributes to Requirements Engineering practices by structuring the fuzzy process of developi"&amp;"ng creative and innovative ideas. The tutorial should be seen as a forum for the interchange of experience and learnings from combining both approaches and should raise awareness for the importance of human-centered methods and experimentation in early ph"&amp;"ases of software engineering. After the tutorial, the participants get access to all materials, templates, and methods on our website for further usage. © 2018 IEEE.")</f>
        <v>This tutorial presents Design Thinking as a promising approach to creatively elicit human-centered requirements for software-intensive systems. Specifically, it contributes to Requirements Engineering practices by structuring the fuzzy process of developing creative and innovative ideas. The tutorial should be seen as a forum for the interchange of experience and learnings from combining both approaches and should raise awareness for the importance of human-centered methods and experimentation in early phases of software engineering. After the tutorial, the participants get access to all materials, templates, and methods on our website for further usage. © 2018 IEEE.</v>
      </c>
      <c r="H1106" s="7" t="str">
        <f>IFERROR(__xludf.DUMMYFUNCTION("""COMPUTED_VALUE"""),"Design thinking; Requirements engineering")</f>
        <v>Design thinking; Requirements engineering</v>
      </c>
      <c r="I1106" s="10" t="b">
        <v>0</v>
      </c>
      <c r="J1106" s="10" t="b">
        <v>0</v>
      </c>
      <c r="K1106" s="10" t="b">
        <v>0</v>
      </c>
      <c r="L1106" s="10" t="b">
        <v>0</v>
      </c>
      <c r="M1106" s="10" t="b">
        <v>0</v>
      </c>
      <c r="N1106" s="10" t="b">
        <v>0</v>
      </c>
      <c r="O1106" s="11" t="b">
        <f t="shared" si="1"/>
        <v>0</v>
      </c>
      <c r="P1106" s="16" t="b">
        <v>0</v>
      </c>
      <c r="Q1106" s="7"/>
    </row>
    <row r="1107">
      <c r="A1107" s="5" t="b">
        <v>1</v>
      </c>
      <c r="B1107" s="5" t="s">
        <v>1155</v>
      </c>
      <c r="C1107" s="7" t="str">
        <f>IFERROR(__xludf.DUMMYFUNCTION("""COMPUTED_VALUE"""),"10.1109/RE.2008.24")</f>
        <v>10.1109/RE.2008.24</v>
      </c>
      <c r="D1107" s="7" t="str">
        <f>IFERROR(__xludf.DUMMYFUNCTION("""COMPUTED_VALUE"""),"Mäder P.; Gotel O.; Philippow I.")</f>
        <v>Mäder P.; Gotel O.; Philippow I.</v>
      </c>
      <c r="E1107" s="7" t="str">
        <f>IFERROR(__xludf.DUMMYFUNCTION("""COMPUTED_VALUE"""),"Rule-based maintenance of post-requirements traceability relations")</f>
        <v>Rule-based maintenance of post-requirements traceability relations</v>
      </c>
      <c r="F1107" s="7" t="str">
        <f>IFERROR(__xludf.DUMMYFUNCTION("""COMPUTED_VALUE"""),"RE")</f>
        <v>RE</v>
      </c>
      <c r="G1107" s="7" t="str">
        <f>IFERROR(__xludf.DUMMYFUNCTION("""COMPUTED_VALUE"""),"An accurate set of traceability relations between software development artifacts is desirable to support evolutionary development. However, even where an initial set of traceability relations has been established, their maintenance during subsequent devel"&amp;"opment activities is time consuming and error prone, which results in traceability decay. This paper focuses solely on the problem of maintaining a set of traceability relations in the face of evolutionary change, irrespective of whether generated manuall"&amp;"y or via automated techniques, and it limits its scope to UML-driven development activities post-requirements specification. The paper proposes an approach for the automated update of existing traceability relations after changes have been made to UML ana"&amp;"lysis and design models. The update is based upon predefined rules that recognize elementary change events as constituent steps of broader development activities. A prototype traceMaintainer has been developed to demonstrate the approach. Currently, trace"&amp;"Maintainer can be used with two commercial software development tools to maintain their traceability relations. The prototype has been used in two experiments. The results are discussed and our ongoing work is summarized. © 2008 IEEE.")</f>
        <v>An accurate set of traceability relations between software development artifacts is desirable to support evolutionary development. However, even where an initial set of traceability relations has been established, their maintenance during subsequent development activities is time consuming and error prone, which results in traceability decay. This paper focuses solely on the problem of maintaining a set of traceability relations in the face of evolutionary change, irrespective of whether generated manually or via automated techniques, and it limits its scope to UML-driven development activities post-requirements specification. The paper proposes an approach for the automated update of existing traceability relations after changes have been made to UML analysis and design models. The update is based upon predefined rules that recognize elementary change events as constituent steps of broader development activities. A prototype traceMaintainer has been developed to demonstrate the approach. Currently, traceMaintainer can be used with two commercial software development tools to maintain their traceability relations. The prototype has been used in two experiments. The results are discussed and our ongoing work is summarized. © 2008 IEEE.</v>
      </c>
      <c r="H1107" s="7" t="str">
        <f>IFERROR(__xludf.DUMMYFUNCTION("""COMPUTED_VALUE"""),"Change; Post-requirements traceability; Rule-based traceability; Traceability maintenance")</f>
        <v>Change; Post-requirements traceability; Rule-based traceability; Traceability maintenance</v>
      </c>
      <c r="I1107" s="10" t="b">
        <v>0</v>
      </c>
      <c r="J1107" s="10" t="b">
        <v>0</v>
      </c>
      <c r="K1107" s="10" t="b">
        <v>0</v>
      </c>
      <c r="L1107" s="10" t="b">
        <v>0</v>
      </c>
      <c r="M1107" s="10" t="b">
        <v>0</v>
      </c>
      <c r="N1107" s="10" t="b">
        <v>0</v>
      </c>
      <c r="O1107" s="11" t="b">
        <f t="shared" si="1"/>
        <v>0</v>
      </c>
      <c r="P1107" s="16" t="b">
        <v>0</v>
      </c>
      <c r="Q1107" s="7"/>
    </row>
    <row r="1108">
      <c r="A1108" s="5" t="b">
        <v>1</v>
      </c>
      <c r="B1108" s="5" t="s">
        <v>1156</v>
      </c>
      <c r="C1108" s="7" t="str">
        <f>IFERROR(__xludf.DUMMYFUNCTION("""COMPUTED_VALUE"""),"10.1109/RE.2018.00-56")</f>
        <v>10.1109/RE.2018.00-56</v>
      </c>
      <c r="D1108" s="7" t="str">
        <f>IFERROR(__xludf.DUMMYFUNCTION("""COMPUTED_VALUE"""),"Aydemir F.B.; Dalpiaz F.; Brinkkemper S.; Giorgini P.; Mylopoulos J.")</f>
        <v>Aydemir F.B.; Dalpiaz F.; Brinkkemper S.; Giorgini P.; Mylopoulos J.</v>
      </c>
      <c r="E1108" s="7" t="str">
        <f>IFERROR(__xludf.DUMMYFUNCTION("""COMPUTED_VALUE"""),"The next release problem revisited: A new avenue for goal models")</f>
        <v>The next release problem revisited: A new avenue for goal models</v>
      </c>
      <c r="F1108" s="7" t="str">
        <f>IFERROR(__xludf.DUMMYFUNCTION("""COMPUTED_VALUE"""),"RE")</f>
        <v>RE</v>
      </c>
      <c r="G1108" s="7" t="str">
        <f>IFERROR(__xludf.DUMMYFUNCTION("""COMPUTED_VALUE"""),"Context. Goal models have long been critiqued for the time it takes to construct them as well as for their limited cognitive and visual scalability. Is such criticism general or does it depend on the supported task? Objectives. We advocate for the latter "&amp;"and the aim of this paper is to demonstrate that the next release problem is a suitable application domain for goal models. This hypothesis stems from the fact that product release management is a long-term investment, and software products are commonly m"&amp;"anaged in 'themes' which are smaller focus areas of the product. Methods. We employ a version of goal models that is tailored for the next release problem by capturing requirements, synergies among them, constraints, and release objectives. Such goal mode"&amp;"l allows discovering optimal solutions considering multiple criteria for the next release. Results. A retrospective case study confirms that goal models are easier to read and comprehend when organized in themes, and that the reasoning results help produc"&amp;"t managers decide for the next release. Our scalability experiments show that, through reasoning based on optimization modulo theories, the discovery of the optimal solution is fast and scales sufficiently well with respect to the model size, connectivity"&amp;", and number of alternative solutions. © 2018 IEEE.")</f>
        <v>Context. Goal models have long been critiqued for the time it takes to construct them as well as for their limited cognitive and visual scalability. Is such criticism general or does it depend on the supported task? Objectives. We advocate for the latter and the aim of this paper is to demonstrate that the next release problem is a suitable application domain for goal models. This hypothesis stems from the fact that product release management is a long-term investment, and software products are commonly managed in 'themes' which are smaller focus areas of the product. Methods. We employ a version of goal models that is tailored for the next release problem by capturing requirements, synergies among them, constraints, and release objectives. Such goal model allows discovering optimal solutions considering multiple criteria for the next release. Results. A retrospective case study confirms that goal models are easier to read and comprehend when organized in themes, and that the reasoning results help product managers decide for the next release. Our scalability experiments show that, through reasoning based on optimization modulo theories, the discovery of the optimal solution is fast and scales sufficiently well with respect to the model size, connectivity, and number of alternative solutions. © 2018 IEEE.</v>
      </c>
      <c r="H1108" s="7" t="str">
        <f>IFERROR(__xludf.DUMMYFUNCTION("""COMPUTED_VALUE"""),"Constrained goal models; Goal oriented requirements engineering; Multi-objective optimization; Next release problem; Optimization modulo theories; Release planning")</f>
        <v>Constrained goal models; Goal oriented requirements engineering; Multi-objective optimization; Next release problem; Optimization modulo theories; Release planning</v>
      </c>
      <c r="I1108" s="10" t="b">
        <v>0</v>
      </c>
      <c r="J1108" s="10" t="b">
        <v>0</v>
      </c>
      <c r="K1108" s="10" t="b">
        <v>0</v>
      </c>
      <c r="L1108" s="10" t="b">
        <v>0</v>
      </c>
      <c r="M1108" s="10" t="b">
        <v>0</v>
      </c>
      <c r="N1108" s="10" t="b">
        <v>0</v>
      </c>
      <c r="O1108" s="11" t="b">
        <f t="shared" si="1"/>
        <v>0</v>
      </c>
      <c r="P1108" s="16" t="b">
        <v>0</v>
      </c>
      <c r="Q1108" s="7"/>
    </row>
    <row r="1109">
      <c r="A1109" s="5" t="b">
        <v>1</v>
      </c>
      <c r="B1109" s="5" t="s">
        <v>1157</v>
      </c>
      <c r="C1109" s="7" t="str">
        <f>IFERROR(__xludf.DUMMYFUNCTION("""COMPUTED_VALUE"""),"10.1109/RE.2009.17")</f>
        <v>10.1109/RE.2009.17</v>
      </c>
      <c r="D1109" s="7" t="str">
        <f>IFERROR(__xludf.DUMMYFUNCTION("""COMPUTED_VALUE"""),"Wieringa R.; Heerkens H.; Regnell B.")</f>
        <v>Wieringa R.; Heerkens H.; Regnell B.</v>
      </c>
      <c r="E1109" s="7" t="str">
        <f>IFERROR(__xludf.DUMMYFUNCTION("""COMPUTED_VALUE"""),"How to write and read a scientific evaluation paper")</f>
        <v>How to write and read a scientific evaluation paper</v>
      </c>
      <c r="F1109" s="7" t="str">
        <f>IFERROR(__xludf.DUMMYFUNCTION("""COMPUTED_VALUE"""),"RE")</f>
        <v>RE</v>
      </c>
      <c r="G1109" s="7" t="str">
        <f>IFERROR(__xludf.DUMMYFUNCTION("""COMPUTED_VALUE"""),"Scientific evaluation papers investigate existing problem situations or validate proposed solutions with scientific means, such as by experiment or case study. There is a growing amount of literature about how to report about empirical research in softwar"&amp;"e engineering, but there is still some confusion about the difference between a scientific evaluation paper and other kinds of research papers. This is related to lack of clarity about the relation between empirical research, engineering, and industrial p"&amp;"ractice. In this minitutorial we give a brief rundown on how to structure a scientific evaluation papers as a special kind of research paper, using experiment reports and case study reports as examples. We give checklists of items that a reader should be "&amp;"able to find in these papers, and sketch the dilemmas that writers and readers of these papers face when applying these checklists. © 2009 IEEE.")</f>
        <v>Scientific evaluation papers investigate existing problem situations or validate proposed solutions with scientific means, such as by experiment or case study. There is a growing amount of literature about how to report about empirical research in software engineering, but there is still some confusion about the difference between a scientific evaluation paper and other kinds of research papers. This is related to lack of clarity about the relation between empirical research, engineering, and industrial practice. In this minitutorial we give a brief rundown on how to structure a scientific evaluation papers as a special kind of research paper, using experiment reports and case study reports as examples. We give checklists of items that a reader should be able to find in these papers, and sketch the dilemmas that writers and readers of these papers face when applying these checklists. © 2009 IEEE.</v>
      </c>
      <c r="H1109" s="7" t="str">
        <f>IFERROR(__xludf.DUMMYFUNCTION("""COMPUTED_VALUE"""),"Research methodology; Research reporting; Scientific evaluation papers")</f>
        <v>Research methodology; Research reporting; Scientific evaluation papers</v>
      </c>
      <c r="I1109" s="10" t="b">
        <v>0</v>
      </c>
      <c r="J1109" s="10" t="b">
        <v>0</v>
      </c>
      <c r="K1109" s="10" t="b">
        <v>0</v>
      </c>
      <c r="L1109" s="10" t="b">
        <v>0</v>
      </c>
      <c r="M1109" s="10" t="b">
        <v>0</v>
      </c>
      <c r="N1109" s="10" t="b">
        <v>0</v>
      </c>
      <c r="O1109" s="11" t="b">
        <f t="shared" si="1"/>
        <v>0</v>
      </c>
      <c r="P1109" s="16" t="b">
        <v>0</v>
      </c>
      <c r="Q1109" s="7"/>
    </row>
    <row r="1110">
      <c r="A1110" s="5" t="b">
        <v>1</v>
      </c>
      <c r="B1110" s="5" t="s">
        <v>1158</v>
      </c>
      <c r="C1110" s="7" t="str">
        <f>IFERROR(__xludf.DUMMYFUNCTION("""COMPUTED_VALUE"""),"10.1109/re.2010.39")</f>
        <v>10.1109/re.2010.39</v>
      </c>
      <c r="D1110" s="7" t="str">
        <f>IFERROR(__xludf.DUMMYFUNCTION("""COMPUTED_VALUE"""),"Mavin A.; Wilkinson P.")</f>
        <v>Mavin A.; Wilkinson P.</v>
      </c>
      <c r="E1110" s="7" t="str">
        <f>IFERROR(__xludf.DUMMYFUNCTION("""COMPUTED_VALUE"""),"BIG EARS (The return of ""Easy Approach to Requirements Syntax"")")</f>
        <v>BIG EARS (The return of "Easy Approach to Requirements Syntax")</v>
      </c>
      <c r="F1110" s="7" t="str">
        <f>IFERROR(__xludf.DUMMYFUNCTION("""COMPUTED_VALUE"""),"RE")</f>
        <v>RE</v>
      </c>
      <c r="G1110" s="7" t="str">
        <f>IFERROR(__xludf.DUMMYFUNCTION("""COMPUTED_VALUE"""),"During a previous study, five simple templates were proposed to improve the quality of Natural Language requirements. That study applied the Easy Approach to Requirements Syntax (EARS) templates to the requirements for the certification of an aero engine "&amp;"control system contained in an airworthiness regulatory document. This paper reports on a wider series of experiments, which applied the templates to several different sets of requirement documents. Back-to-back comparisons were undertaken for documents b"&amp;"efore and after the application of the EARS templates. During these studies the templates were refined, known limitations of EARS were addressed and metrics were collected. The results strongly support the hypothesis that a small set of simple requirement"&amp;" structures would be an efficient way to enhance the writing of high-level stakeholder requirements. The implications of the results are discussed and additional guidance is provided through Lessons Learned, with the aim of making the templates easier to "&amp;"apply. © 2010 IEEE.")</f>
        <v>During a previous study, five simple templates were proposed to improve the quality of Natural Language requirements. That study applied the Easy Approach to Requirements Syntax (EARS) templates to the requirements for the certification of an aero engine control system contained in an airworthiness regulatory document. This paper reports on a wider series of experiments, which applied the templates to several different sets of requirement documents. Back-to-back comparisons were undertaken for documents before and after the application of the EARS templates. During these studies the templates were refined, known limitations of EARS were addressed and metrics were collected. The results strongly support the hypothesis that a small set of simple requirement structures would be an efficient way to enhance the writing of high-level stakeholder requirements. The implications of the results are discussed and additional guidance is provided through Lessons Learned, with the aim of making the templates easier to apply. © 2010 IEEE.</v>
      </c>
      <c r="H1110" s="7" t="str">
        <f>IFERROR(__xludf.DUMMYFUNCTION("""COMPUTED_VALUE"""),"Certification; Elicitation; Natural language; Regulation; Safety; Syntax; Template")</f>
        <v>Certification; Elicitation; Natural language; Regulation; Safety; Syntax; Template</v>
      </c>
      <c r="I1110" s="10" t="b">
        <v>0</v>
      </c>
      <c r="J1110" s="9" t="b">
        <v>1</v>
      </c>
      <c r="K1110" s="9" t="b">
        <v>1</v>
      </c>
      <c r="L1110" s="10" t="b">
        <v>0</v>
      </c>
      <c r="M1110" s="10" t="b">
        <v>0</v>
      </c>
      <c r="N1110" s="10" t="b">
        <v>0</v>
      </c>
      <c r="O1110" s="11" t="b">
        <f t="shared" si="1"/>
        <v>0</v>
      </c>
      <c r="P1110" s="12" t="b">
        <v>0</v>
      </c>
      <c r="Q1110" s="13"/>
    </row>
    <row r="1111">
      <c r="A1111" s="5" t="b">
        <v>1</v>
      </c>
      <c r="B1111" s="5" t="s">
        <v>1159</v>
      </c>
      <c r="C1111" s="7" t="str">
        <f>IFERROR(__xludf.DUMMYFUNCTION("""COMPUTED_VALUE"""),"10.1109/RE.2014.6912253")</f>
        <v>10.1109/RE.2014.6912253</v>
      </c>
      <c r="D1111" s="7" t="str">
        <f>IFERROR(__xludf.DUMMYFUNCTION("""COMPUTED_VALUE"""),"Qian W.; Peng X.; Chen B.; Mylopoulos J.; Wang H.; Zhao W.")</f>
        <v>Qian W.; Peng X.; Chen B.; Mylopoulos J.; Wang H.; Zhao W.</v>
      </c>
      <c r="E1111" s="7" t="str">
        <f>IFERROR(__xludf.DUMMYFUNCTION("""COMPUTED_VALUE"""),"Rationalism with a dose of empiricism: Case-based reasoning for requirements-driven self-adaptation")</f>
        <v>Rationalism with a dose of empiricism: Case-based reasoning for requirements-driven self-adaptation</v>
      </c>
      <c r="F1111" s="7" t="str">
        <f>IFERROR(__xludf.DUMMYFUNCTION("""COMPUTED_VALUE"""),"RE")</f>
        <v>RE</v>
      </c>
      <c r="G1111" s="7" t="str">
        <f>IFERROR(__xludf.DUMMYFUNCTION("""COMPUTED_VALUE"""),"Requirements-driven approaches provide an effective mechanism for self-adaptive systems by reasoning over their runtime requirements models to make adaptation decisions. However, such approaches usually assume that the relations among alternative behaviou"&amp;"rs, environmental parameters and requirements are clearly understood, which is often simply not true. Moreover, they do not consider the influence of the current behaviour of an executing system on adaptation decisions. In this paper, we propose an improv"&amp;"ed requirements-driven self-adaptation approach that combines goal reasoning and case-based reasoning. In the approach, past experiences of successful adaptations are retained as adaptation cases, which are described by not only requirements violations an"&amp;"d contexts, but also currently deployed behaviours. The approach does not depend on a set of original adaptation cases, but employs goal reasoning to provide adaptation solutions when no similar cases are available. And case-based reasoning is used to pro"&amp;"vide more precise adaptation decisions that better reflect the complex relations among requirements violations, contexts, and current behaviours by utilizing past experiences. Our experimental study with an online shopping benchmark shows that our approac"&amp;"h outperforms both requirements-driven approach and case-based reasoning approach in terms of adaptation effectiveness and overall quality of the system. © 2014 IEEE.")</f>
        <v>Requirements-driven approaches provide an effective mechanism for self-adaptive systems by reasoning over their runtime requirements models to make adaptation decisions. However, such approaches usually assume that the relations among alternative behaviours, environmental parameters and requirements are clearly understood, which is often simply not true. Moreover, they do not consider the influence of the current behaviour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behaviours. The approach does not depend on a set of original adaptation cases, but employs goal reasoning to provide adaptation solutions when no similar cases are available. And case-based reasoning is used to provide more precise adaptation decisions that better reflect the complex relations among requirements violations, contexts, and current behaviours by utilizing past experiences. Our experimental study with an online shopping benchmark shows that our approach outperforms both requirements-driven approach and case-based reasoning approach in terms of adaptation effectiveness and overall quality of the system. © 2014 IEEE.</v>
      </c>
      <c r="H1111" s="7"/>
      <c r="I1111" s="10" t="b">
        <v>0</v>
      </c>
      <c r="J1111" s="10" t="b">
        <v>0</v>
      </c>
      <c r="K1111" s="10" t="b">
        <v>0</v>
      </c>
      <c r="L1111" s="10" t="b">
        <v>0</v>
      </c>
      <c r="M1111" s="10" t="b">
        <v>0</v>
      </c>
      <c r="N1111" s="10" t="b">
        <v>0</v>
      </c>
      <c r="O1111" s="11" t="b">
        <f t="shared" si="1"/>
        <v>0</v>
      </c>
      <c r="P1111" s="16" t="b">
        <v>0</v>
      </c>
      <c r="Q1111" s="7"/>
    </row>
    <row r="1112">
      <c r="A1112" s="5" t="b">
        <v>1</v>
      </c>
      <c r="B1112" s="5" t="s">
        <v>1160</v>
      </c>
      <c r="C1112" s="7" t="str">
        <f>IFERROR(__xludf.DUMMYFUNCTION("""COMPUTED_VALUE"""),"10.1109/RE.2015.7320408")</f>
        <v>10.1109/RE.2015.7320408</v>
      </c>
      <c r="D1112" s="7" t="str">
        <f>IFERROR(__xludf.DUMMYFUNCTION("""COMPUTED_VALUE"""),"Alabdulkareem F.; Cercone N.; Liaskos S.")</f>
        <v>Alabdulkareem F.; Cercone N.; Liaskos S.</v>
      </c>
      <c r="E1112" s="7" t="str">
        <f>IFERROR(__xludf.DUMMYFUNCTION("""COMPUTED_VALUE"""),"Goal and Preference Identification through natural language")</f>
        <v>Goal and Preference Identification through natural language</v>
      </c>
      <c r="F1112" s="7" t="str">
        <f>IFERROR(__xludf.DUMMYFUNCTION("""COMPUTED_VALUE"""),"RE")</f>
        <v>RE</v>
      </c>
      <c r="G1112" s="7" t="str">
        <f>IFERROR(__xludf.DUMMYFUNCTION("""COMPUTED_VALUE"""),"Goal models allow efficient representation of stakeholder goals and alternative ways by which these can be satisfied. Preferences over goals in the goal model are then used to specify criteria for selecting alternatives that fit specific contexts, situati"&amp;"ons and strategies. Given such preferences, automated reasoning tools allow for efficient exploration of such alternatives. Nevertheless, to be amenable to such automated processing, goals and preferences need to be specified in a formal language, making "&amp;"automated processing inaccessible to the very bearers of goals and preferences, i.e., the stakeholders. We combine natural language processing techniques to allow specification of preferences through natural language statements. The natural language state"&amp;"ment is first matched through regular expressions to distinguish between the preference component and the goal component. The former is then mapped to a preferential strength measure, while the latter is used to identify the relevant goal in the goal mode"&amp;"l through statistical semantic similarity techniques. The result constitutes a formal representation that can be used for alternatives analysis. In this way, stakeholders can access advanced goal reasoning techniques through simple natural language prefer"&amp;"ence expressions, facilitating their decision making in various requirements analysis contexts. An experimental evaluation with human participants shows that the proposed system is of substantial precision and that a mapping from natural preferential verb"&amp;"alizations to predefined preferential strength labels is possible through sampling from crowds. © 2015 IEEE.")</f>
        <v>Goal models allow efficient representation of stakeholder goals and alternative ways by which these can be satisfied. Preferences over goals in the goal model are then used to specify criteria for selecting alternatives that fit specific contexts, situations and strategies. Given such preferences, automated reasoning tools allow for efficient exploration of such alternatives. Nevertheless, to be amenable to such automated processing, goals and preferences need to be specified in a formal language, making automated processing inaccessible to the very bearers of goals and preferences, i.e., the stakeholders. We combine natural language processing techniques to allow specification of preferences through natural language statements. The natural language statement is first matched through regular expressions to distinguish between the preference component and the goal component. The former is then mapped to a preferential strength measure, while the latter is used to identify the relevant goal in the goal model through statistical semantic similarity techniques. The result constitutes a formal representation that can be used for alternatives analysis. In this way, stakeholders can access advanced goal reasoning techniques through simple natural language preference expressions, facilitating their decision making in various requirements analysis contexts. An experimental evaluation with human participants shows that the proposed system is of substantial precision and that a mapping from natural preferential verbalizations to predefined preferential strength labels is possible through sampling from crowds. © 2015 IEEE.</v>
      </c>
      <c r="H1112" s="7" t="str">
        <f>IFERROR(__xludf.DUMMYFUNCTION("""COMPUTED_VALUE"""),"decision analysis; goal modeling; natural language; preference analysis; requirements engineering")</f>
        <v>decision analysis; goal modeling; natural language; preference analysis; requirements engineering</v>
      </c>
      <c r="I1112" s="9" t="b">
        <v>1</v>
      </c>
      <c r="J1112" s="9" t="b">
        <v>1</v>
      </c>
      <c r="K1112" s="10" t="b">
        <v>0</v>
      </c>
      <c r="L1112" s="10" t="b">
        <v>0</v>
      </c>
      <c r="M1112" s="10" t="b">
        <v>0</v>
      </c>
      <c r="N1112" s="10" t="b">
        <v>0</v>
      </c>
      <c r="O1112" s="11" t="b">
        <f t="shared" si="1"/>
        <v>0</v>
      </c>
      <c r="P1112" s="12" t="b">
        <v>0</v>
      </c>
      <c r="Q1112" s="7"/>
    </row>
    <row r="1113">
      <c r="A1113" s="5" t="b">
        <v>1</v>
      </c>
      <c r="B1113" s="5" t="s">
        <v>1161</v>
      </c>
      <c r="C1113" s="7"/>
      <c r="D1113" s="7"/>
      <c r="E1113" s="7" t="str">
        <f>IFERROR(__xludf.DUMMYFUNCTION("""COMPUTED_VALUE"""),"17th IEEE International Requirements Engineering Conference, RE2009")</f>
        <v>17th IEEE International Requirements Engineering Conference, RE2009</v>
      </c>
      <c r="F1113" s="7" t="str">
        <f>IFERROR(__xludf.DUMMYFUNCTION("""COMPUTED_VALUE"""),"RE")</f>
        <v>RE</v>
      </c>
      <c r="G1113" s="7" t="str">
        <f>IFERROR(__xludf.DUMMYFUNCTION("""COMPUTED_VALUE"""),"The proceedings contain 52 papers. The topics discussed include: characteristics of new requirements in the presence or absence of an existing system architecture; enhancing stakeholder profiles to improve recommendations in online requirements elicitatio"&amp;"n; EPC vs. UML activity diagram - two experiments examining their usefulness for requirements engineering; reasoning on non-functional requirements for integrated services; what happened to our features? visualization and understanding of scope change dyn"&amp;"amics in a large-scale industrial setting; a use case based approach to feature models' construction; toward automating requirements satisfaction assessment; semantic criteria for choosing a language for big-step models; semantic-based interaction detecti"&amp;"on in aspect-oriented scenarios; modeling service-level requirements: a constancy perspective; and using task-oriented requirements engineering in different domains - experiences with application in research and industry.")</f>
        <v>The proceedings contain 52 papers. The topics discussed include: characteristics of new requirements in the presence or absence of an existing system architecture; enhancing stakeholder profiles to improve recommendations in online requirements elicitation; EPC vs. UML activity diagram - two experiments examining their usefulness for requirements engineering; reasoning on non-functional requirements for integrated services; what happened to our features? visualization and understanding of scope change dynamics in a large-scale industrial setting; a use case based approach to feature models' construction; toward automating requirements satisfaction assessment; semantic criteria for choosing a language for big-step models; semantic-based interaction detection in aspect-oriented scenarios; modeling service-level requirements: a constancy perspective; and using task-oriented requirements engineering in different domains - experiences with application in research and industry.</v>
      </c>
      <c r="H1113" s="7"/>
      <c r="I1113" s="10" t="b">
        <v>0</v>
      </c>
      <c r="J1113" s="10" t="b">
        <v>0</v>
      </c>
      <c r="K1113" s="10" t="b">
        <v>0</v>
      </c>
      <c r="L1113" s="10" t="b">
        <v>0</v>
      </c>
      <c r="M1113" s="10" t="b">
        <v>0</v>
      </c>
      <c r="N1113" s="10" t="b">
        <v>0</v>
      </c>
      <c r="O1113" s="11" t="b">
        <f t="shared" si="1"/>
        <v>0</v>
      </c>
      <c r="P1113" s="16" t="b">
        <v>0</v>
      </c>
      <c r="Q1113" s="7"/>
    </row>
    <row r="1114">
      <c r="A1114" s="5" t="b">
        <v>1</v>
      </c>
      <c r="B1114" s="5" t="s">
        <v>1162</v>
      </c>
      <c r="C1114" s="7" t="str">
        <f>IFERROR(__xludf.DUMMYFUNCTION("""COMPUTED_VALUE"""),"10.1109/ICRE.2002.1048518")</f>
        <v>10.1109/ICRE.2002.1048518</v>
      </c>
      <c r="D1114" s="7" t="str">
        <f>IFERROR(__xludf.DUMMYFUNCTION("""COMPUTED_VALUE"""),"Fantechi A.; Gnesi S.; Lami G.; Maccari A.")</f>
        <v>Fantechi A.; Gnesi S.; Lami G.; Maccari A.</v>
      </c>
      <c r="E1114" s="7" t="str">
        <f>IFERROR(__xludf.DUMMYFUNCTION("""COMPUTED_VALUE"""),"Application of linguistic techniques for Use Case analysis")</f>
        <v>Application of linguistic techniques for Use Case analysis</v>
      </c>
      <c r="F1114" s="7" t="str">
        <f>IFERROR(__xludf.DUMMYFUNCTION("""COMPUTED_VALUE"""),"RE")</f>
        <v>RE</v>
      </c>
      <c r="G1114" s="7" t="str">
        <f>IFERROR(__xludf.DUMMYFUNCTION("""COMPUTED_VALUE"""),"The Use Case formalism is an effective way of capturing both business process and functional system requirements in a very simple and easy-to-learn way. Use Cases may be modeled in a graphical way (e.g. using the UML notation), mainly serving as a table o"&amp;"f content for Use Cases. System behavior can more effectively be specified by structured natural language (NL) sentences. The use of NL as a way to specify the behavior of a system is however a critical point, due to the inherent ambiguity originating fro"&amp;"m different interpretations of natural language descriptions. We discuss the use of methods, based on a linguistic approach, to analyze functional requirements expressed by means of textual (NL) Use Cases. The aim is to collect quality metrics and detect "&amp;"defects related to such inherent ambiguity. In a series of preliminary experiments, we applied a number of tools for quality evaluation of NL text (and, in particular, of NL requirements documents) to an industrial Use Cases document. The result of the an"&amp;"alysis is a set of metrics that aim to measure the quality of the NL textual description of Use Cases. We also discuss the application of selected linguistic analysis techniques that are provided by some of the tools to semantic analysis of NL expressed U"&amp;"se Case. © 2002 IEEE.")</f>
        <v>The Use Case formalism is an effective way of capturing both business process and functional system requirements in a very simple and easy-to-learn way. Use Cases may be modeled in a graphical way (e.g. using the UML notation), mainly serving as a table of content for Use Cases. System behavior can more effectively be specified by structured natural language (NL) sentences. The use of NL as a way to specify the behavior of a system is however a critical point, due to the inherent ambiguity originating from different interpretations of natural language descriptions. We discuss the use of methods, based on a linguistic approach, to analyze functional requirements expressed by means of textual (NL) Use Cases. The aim is to collect quality metrics and detect defects related to such inherent ambiguity. In a series of preliminary experiments, we applied a number of tools for quality evaluation of NL text (and, in particular, of NL requirements documents) to an industrial Use Cases document. The result of the analysis is a set of metrics that aim to measure the quality of the NL textual description of Use Cases. We also discuss the application of selected linguistic analysis techniques that are provided by some of the tools to semantic analysis of NL expressed Use Case. © 2002 IEEE.</v>
      </c>
      <c r="H1114" s="7" t="str">
        <f>IFERROR(__xludf.DUMMYFUNCTION("""COMPUTED_VALUE"""),"Application software; Books; Computer aided software engineering; Natural languages; Power system modeling; Software architecture; Software systems; Specification languages; Unified modeling language; Vehicles")</f>
        <v>Application software; Books; Computer aided software engineering; Natural languages; Power system modeling; Software architecture; Software systems; Specification languages; Unified modeling language; Vehicles</v>
      </c>
      <c r="I1114" s="10" t="b">
        <v>0</v>
      </c>
      <c r="J1114" s="10" t="b">
        <v>0</v>
      </c>
      <c r="K1114" s="10" t="b">
        <v>0</v>
      </c>
      <c r="L1114" s="10" t="b">
        <v>0</v>
      </c>
      <c r="M1114" s="10" t="b">
        <v>0</v>
      </c>
      <c r="N1114" s="10" t="b">
        <v>0</v>
      </c>
      <c r="O1114" s="11" t="b">
        <f t="shared" si="1"/>
        <v>0</v>
      </c>
      <c r="P1114" s="16" t="b">
        <v>0</v>
      </c>
      <c r="Q1114" s="7"/>
    </row>
    <row r="1115">
      <c r="A1115" s="5" t="b">
        <v>1</v>
      </c>
      <c r="B1115" s="5" t="s">
        <v>1163</v>
      </c>
      <c r="C1115" s="7"/>
      <c r="D1115" s="7" t="str">
        <f>IFERROR(__xludf.DUMMYFUNCTION("""COMPUTED_VALUE"""),"Boehm Barry; Abi-Antoun Marwan; Port Dan; Kwan Julie; Lynch Anne")</f>
        <v>Boehm Barry; Abi-Antoun Marwan; Port Dan; Kwan Julie; Lynch Anne</v>
      </c>
      <c r="E1115" s="7" t="str">
        <f>IFERROR(__xludf.DUMMYFUNCTION("""COMPUTED_VALUE"""),"Requirements engineering, expectations management, and the two cultures")</f>
        <v>Requirements engineering, expectations management, and the two cultures</v>
      </c>
      <c r="F1115" s="7" t="str">
        <f>IFERROR(__xludf.DUMMYFUNCTION("""COMPUTED_VALUE"""),"RE")</f>
        <v>RE</v>
      </c>
      <c r="G1115" s="7" t="str">
        <f>IFERROR(__xludf.DUMMYFUNCTION("""COMPUTED_VALUE"""),"One of the difficulties in requirements negotiation is to determine a feasible and mutually satisfactory set of requirements for the developer and the user, a problem related to C.P. Snow's 'Two Cultures' problem. During the last year of our experience wi"&amp;"th an annual series of Digital Library projects, we have been experimenting with expectations management and domain specific lists of 'simplifiers' and 'complicators', as a way to address the 'Two Cultures' problem involving librarians and computer scient"&amp;"ists. Initial results indicate that the simplifiers and complicators approach successfully reduced the number of projects having serious feasibility problems, and helped manage the expectations of both the developers and the customers/users. We see no obs"&amp;"tacles to applying the approach to other domains.")</f>
        <v>One of the difficulties in requirements negotiation is to determine a feasible and mutually satisfactory set of requirements for the developer and the user, a problem related to C.P. Snow's 'Two Cultures' problem. During the last year of our experience with an annual series of Digital Library projects, we have been experimenting with expectations management and domain specific lists of 'simplifiers' and 'complicators', as a way to address the 'Two Cultures'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v>
      </c>
      <c r="H1115" s="7"/>
      <c r="I1115" s="10" t="b">
        <v>0</v>
      </c>
      <c r="J1115" s="10" t="b">
        <v>0</v>
      </c>
      <c r="K1115" s="10" t="b">
        <v>0</v>
      </c>
      <c r="L1115" s="10" t="b">
        <v>0</v>
      </c>
      <c r="M1115" s="10" t="b">
        <v>0</v>
      </c>
      <c r="N1115" s="10" t="b">
        <v>0</v>
      </c>
      <c r="O1115" s="11" t="b">
        <f t="shared" si="1"/>
        <v>0</v>
      </c>
      <c r="P1115" s="16" t="b">
        <v>0</v>
      </c>
      <c r="Q1115" s="7"/>
    </row>
    <row r="1116">
      <c r="A1116" s="5" t="b">
        <v>1</v>
      </c>
      <c r="B1116" s="5" t="s">
        <v>1164</v>
      </c>
      <c r="C1116" s="7" t="str">
        <f>IFERROR(__xludf.DUMMYFUNCTION("""COMPUTED_VALUE"""),"10.1109/ICRE.2003.1232742")</f>
        <v>10.1109/ICRE.2003.1232742</v>
      </c>
      <c r="D1116" s="7" t="str">
        <f>IFERROR(__xludf.DUMMYFUNCTION("""COMPUTED_VALUE"""),"Fuxman A.; Liu L.; Pistore M.; Roveri M.; Mylopoulos J.")</f>
        <v>Fuxman A.; Liu L.; Pistore M.; Roveri M.; Mylopoulos J.</v>
      </c>
      <c r="E1116" s="7" t="str">
        <f>IFERROR(__xludf.DUMMYFUNCTION("""COMPUTED_VALUE"""),"Specifying and analyzing early requirements: Some experimental results")</f>
        <v>Specifying and analyzing early requirements: Some experimental results</v>
      </c>
      <c r="F1116" s="7" t="str">
        <f>IFERROR(__xludf.DUMMYFUNCTION("""COMPUTED_VALUE"""),"RE")</f>
        <v>RE</v>
      </c>
      <c r="G1116" s="7" t="str">
        <f>IFERROR(__xludf.DUMMYFUNCTION("""COMPUTED_VALUE"""),"Formal Tropos is a specification language for early requirements. It is based on concepts from an agent-oriented early requirement model framework (i∗) and extends them with a rich temporal specification language. We demonstrated through a small case stud"&amp;"y how model checking could be used to verify early requirements written in Formal Tropos. We address issues of methodology and scalability for our earlier proposal. In particular, we propose guidelines for producing a Formal Tropos specification from an i"&amp;"∗ diagram and for deciding what model checking technique to use when a particular formal property is to be validated. We also evaluate the scope and scalability of our proposal using a tool, the T-Tool, that maps Formal Tropos specifications to a language"&amp;" that can be handled by NUSMV, a state-of-the-art model checker. Our experiments are based on a course management case study. © 2003 IEEE.")</f>
        <v>Formal Tropos is a specification language for early requirements. It is based on concepts from an agent-oriented early requirement model framework (i∗) and extends them with a rich temporal specification language. We demonstrated through a small case study how model checking could be used to verify early requirements written in Formal Tropos. We address issues of methodology and scalability for our earlier proposal. In particular, we propose guidelines for producing a Formal Tropos specification from an i∗ diagram and for deciding what model checking technique to use when a particular formal property is to be validated. We also evaluate the scope and scalability of our proposal using a tool, the T-Tool, that maps Formal Tropos specifications to a language that can be handled by NUSMV, a state-of-the-art model checker. Our experiments are based on a course management case study. © 2003 IEEE.</v>
      </c>
      <c r="H1116" s="7" t="str">
        <f>IFERROR(__xludf.DUMMYFUNCTION("""COMPUTED_VALUE"""),"Application software; Certification; Computer science; Formal specifications; Guidelines; Proposals; Scalability; Software engineering; Software systems; Specification languages")</f>
        <v>Application software; Certification; Computer science; Formal specifications; Guidelines; Proposals; Scalability; Software engineering; Software systems; Specification languages</v>
      </c>
      <c r="I1116" s="10" t="b">
        <v>0</v>
      </c>
      <c r="J1116" s="10" t="b">
        <v>0</v>
      </c>
      <c r="K1116" s="10" t="b">
        <v>0</v>
      </c>
      <c r="L1116" s="10" t="b">
        <v>0</v>
      </c>
      <c r="M1116" s="10" t="b">
        <v>0</v>
      </c>
      <c r="N1116" s="10" t="b">
        <v>0</v>
      </c>
      <c r="O1116" s="11" t="b">
        <f t="shared" si="1"/>
        <v>0</v>
      </c>
      <c r="P1116" s="16" t="b">
        <v>0</v>
      </c>
      <c r="Q1116" s="7"/>
    </row>
    <row r="1117">
      <c r="A1117" s="5" t="b">
        <v>1</v>
      </c>
      <c r="B1117" s="5" t="s">
        <v>1165</v>
      </c>
      <c r="C1117" s="7"/>
      <c r="D1117" s="7" t="str">
        <f>IFERROR(__xludf.DUMMYFUNCTION("""COMPUTED_VALUE"""),"Saeki Motoshi; Matsumura Kinji; Shimoda Jun'ichi; Kaiya Haruhiko")</f>
        <v>Saeki Motoshi; Matsumura Kinji; Shimoda Jun'ichi; Kaiya Haruhiko</v>
      </c>
      <c r="E1117" s="7" t="str">
        <f>IFERROR(__xludf.DUMMYFUNCTION("""COMPUTED_VALUE"""),"Structuring utterance records of requirements elicitation meetings based on speech act theory")</f>
        <v>Structuring utterance records of requirements elicitation meetings based on speech act theory</v>
      </c>
      <c r="F1117" s="7" t="str">
        <f>IFERROR(__xludf.DUMMYFUNCTION("""COMPUTED_VALUE"""),"RE")</f>
        <v>RE</v>
      </c>
      <c r="G1117" s="7" t="str">
        <f>IFERROR(__xludf.DUMMYFUNCTION("""COMPUTED_VALUE"""),"This paper discusses a technique to structure utterance records of the meetings for requirements elicitation based on speech act theory. To elicit requirements to the system to be developed, the customers and the developers often have a series of face-to-"&amp;"face meetings. Utterances in verbal conversation made during the meetings include not only declarative information but also speech acts such as 'commitment', 'supporting a solution', 'explaining a rationale' and so on. Extracting this information leads to"&amp;" clarifying customers' intent, decision rationale, and what problems have not been solved yet and remain unsolved in requirements elicitation phase. The point is how we extract speech acts from utterances and hold structurally them so as to use them after"&amp;"wards. Our emphasis is on specific words (called keywords) included in utterances. These keywords can suggest what topics are discussed in the utterances and which speech acts the utterances have. Our technique has been assessed by experimental case studi"&amp;"es and we have their good applicability to actual meetings for requirements elicitation.")</f>
        <v>This paper discusses a technique to structure utterance records of the meetings for requirements elicitation based on speech act theory. To elicit requirements to the system to be developed, the customers and the developers often have a series of face-to-face meetings. Utterances in verbal conversation made during the meetings include not only declarative information but also speech acts such as 'commitment', 'supporting a solution', 'explaining a rationale' and so on. Extracting this information leads to clarifying customers' intent, decision rationale, and what problems have not been solved yet and remain unsolved in requirements elicitation phase. The point is how we extract speech acts from utterances and hold structurally them so as to use them afterwards. Our emphasis is on specific words (called keywords) included in utterances. These keywords can suggest what topics are discussed in the utterances and which speech acts the utterances have. Our technique has been assessed by experimental case studies and we have their good applicability to actual meetings for requirements elicitation.</v>
      </c>
      <c r="H1117" s="7"/>
      <c r="I1117" s="10" t="b">
        <v>0</v>
      </c>
      <c r="J1117" s="10" t="b">
        <v>0</v>
      </c>
      <c r="K1117" s="10" t="b">
        <v>0</v>
      </c>
      <c r="L1117" s="10" t="b">
        <v>0</v>
      </c>
      <c r="M1117" s="10" t="b">
        <v>0</v>
      </c>
      <c r="N1117" s="10" t="b">
        <v>0</v>
      </c>
      <c r="O1117" s="11" t="b">
        <f t="shared" si="1"/>
        <v>0</v>
      </c>
      <c r="P1117" s="16" t="b">
        <v>0</v>
      </c>
      <c r="Q1117" s="7"/>
    </row>
    <row r="1118">
      <c r="A1118" s="5" t="b">
        <v>1</v>
      </c>
      <c r="B1118" s="5" t="s">
        <v>1166</v>
      </c>
      <c r="C1118" s="7"/>
      <c r="D1118" s="7" t="str">
        <f>IFERROR(__xludf.DUMMYFUNCTION("""COMPUTED_VALUE"""),"Fowler Priscilla; Patrick Malcom; Carleton Anita; Merrin Barbara")</f>
        <v>Fowler Priscilla; Patrick Malcom; Carleton Anita; Merrin Barbara</v>
      </c>
      <c r="E1118" s="7" t="str">
        <f>IFERROR(__xludf.DUMMYFUNCTION("""COMPUTED_VALUE"""),"Transition packages: An experiment in expediting the introduction of requirements management")</f>
        <v>Transition packages: An experiment in expediting the introduction of requirements management</v>
      </c>
      <c r="F1118" s="7" t="str">
        <f>IFERROR(__xludf.DUMMYFUNCTION("""COMPUTED_VALUE"""),"RE")</f>
        <v>RE</v>
      </c>
      <c r="G1118" s="7" t="str">
        <f>IFERROR(__xludf.DUMMYFUNCTION("""COMPUTED_VALUE"""),"We built a prototype `transition package' to determine if adoption of requirements management practices would be expedited by a suite of RM-specific materials for change agents. The transition package was a password-protected web site that included about "&amp;"100 documents for use in both performing and introducing requirements management practices. These documents included examples, templates, checklists, and guidance materials. Three frameworks - document type, Software Capability Maturity ModelSM1Common Fea"&amp;"ture, and technology transition process model - helped users make use of the documents. This paper describes the prototype, summarizes the data gathered from an evaluation by reviewers and piloting organizations, and comments on what the data reflect abou"&amp;"t the need for and use of technology to support requirements management. Finally, the potential of this approach for improving software technology adoption and process improvement within organizations is assessed based on these experiences.")</f>
        <v>We built a prototype `transition package' to determine if adoption of requirements management practices would be expedited by a suite of RM-specific materials for change agents. The transition package was a password-protected web site that included about 100 documents for use in both performing and introducing requirements management practices. These documents included examples, templates, checklists, and guidance materials. Three frameworks - document type, Software Capability Maturity ModelSM1Common Feature, and technology transition process model - helped users make use of the documents. This paper describes the prototype, summarizes the data gathered from an evaluation by reviewers and piloting organizations, and comments on what the data reflect about the need for and use of technology to support requirements management. Finally, the potential of this approach for improving software technology adoption and process improvement within organizations is assessed based on these experiences.</v>
      </c>
      <c r="H1118" s="7"/>
      <c r="I1118" s="10" t="b">
        <v>0</v>
      </c>
      <c r="J1118" s="10" t="b">
        <v>0</v>
      </c>
      <c r="K1118" s="10" t="b">
        <v>0</v>
      </c>
      <c r="L1118" s="10" t="b">
        <v>0</v>
      </c>
      <c r="M1118" s="10" t="b">
        <v>0</v>
      </c>
      <c r="N1118" s="10" t="b">
        <v>0</v>
      </c>
      <c r="O1118" s="11" t="b">
        <f t="shared" si="1"/>
        <v>0</v>
      </c>
      <c r="P1118" s="16" t="b">
        <v>0</v>
      </c>
      <c r="Q1118" s="7"/>
    </row>
    <row r="1119">
      <c r="A1119" s="5" t="b">
        <v>1</v>
      </c>
      <c r="B1119" s="5" t="s">
        <v>1167</v>
      </c>
      <c r="C1119" s="7" t="str">
        <f>IFERROR(__xludf.DUMMYFUNCTION("""COMPUTED_VALUE"""),"10.1109/ISRE.1993.324831")</f>
        <v>10.1109/ISRE.1993.324831</v>
      </c>
      <c r="D1119" s="7" t="str">
        <f>IFERROR(__xludf.DUMMYFUNCTION("""COMPUTED_VALUE"""),"Ohnishi A.; Agusa K.")</f>
        <v>Ohnishi A.; Agusa K.</v>
      </c>
      <c r="E1119" s="7" t="str">
        <f>IFERROR(__xludf.DUMMYFUNCTION("""COMPUTED_VALUE"""),"CARD: A software requirements definition environment")</f>
        <v>CARD: A software requirements definition environment</v>
      </c>
      <c r="F1119" s="7" t="str">
        <f>IFERROR(__xludf.DUMMYFUNCTION("""COMPUTED_VALUE"""),"RE")</f>
        <v>RE</v>
      </c>
      <c r="G1119" s="7" t="str">
        <f>IFERROR(__xludf.DUMMYFUNCTION("""COMPUTED_VALUE"""),"Computer aided requirements definition methods/ environment are presented. We have proposed a composite requirements model, named Requirements Frame and developed several supporting methods of software requirements definition on the basis of the model. Th"&amp;"ey are (I) analysis of requirements, (2) describing requirements, (3) verification of an SRS (Software Requirements Specification), (4) SRS execution, (5) software preliminary design. With these methods, a requirements definer can get an SRS of good quali"&amp;"ty, such as correctness, testability, traceability, feasibility, and usability. We have been developing an environment of requirements definition, named CARD by realizing these methods. We present some examples through experimental uses of CARD. © 1993 Pr"&amp;"oceedings of the IEEE International Conference on Requirements Engineering. All rights reserved.")</f>
        <v>Computer aided requirements definition methods/ environment are presented. We have proposed a composite requirements model, named Requirements Frame and developed several supporting methods of software requirements definition on the basis of the model. They are (I) analysis of requirements, (2) describing requirements, (3) verification of an SRS (Software Requirements Specification), (4) SRS execution, (5) software preliminary design. With these methods, a requirements definer can get an SRS of good quality, such as correctness, testability, traceability, feasibility, and usability. We have been developing an environment of requirements definition, named CARD by realizing these methods. We present some examples through experimental uses of CARD. © 1993 Proceedings of the IEEE International Conference on Requirements Engineering. All rights reserved.</v>
      </c>
      <c r="H1119" s="7"/>
      <c r="I1119" s="10" t="b">
        <v>0</v>
      </c>
      <c r="J1119" s="10" t="b">
        <v>0</v>
      </c>
      <c r="K1119" s="10" t="b">
        <v>0</v>
      </c>
      <c r="L1119" s="10" t="b">
        <v>0</v>
      </c>
      <c r="M1119" s="10" t="b">
        <v>0</v>
      </c>
      <c r="N1119" s="10" t="b">
        <v>0</v>
      </c>
      <c r="O1119" s="11" t="b">
        <f t="shared" si="1"/>
        <v>0</v>
      </c>
      <c r="P1119" s="16" t="b">
        <v>0</v>
      </c>
      <c r="Q1119" s="7"/>
    </row>
    <row r="1120">
      <c r="A1120" s="5" t="b">
        <v>1</v>
      </c>
      <c r="B1120" s="5" t="s">
        <v>1168</v>
      </c>
      <c r="C1120" s="7" t="str">
        <f>IFERROR(__xludf.DUMMYFUNCTION("""COMPUTED_VALUE"""),"10.1109/ICRE.2002.1048519")</f>
        <v>10.1109/ICRE.2002.1048519</v>
      </c>
      <c r="D1120" s="7" t="str">
        <f>IFERROR(__xludf.DUMMYFUNCTION("""COMPUTED_VALUE"""),"Durán A.; Ruiz-Cortés A.; Corchuelo R.; Toro M.")</f>
        <v>Durán A.; Ruiz-Cortés A.; Corchuelo R.; Toro M.</v>
      </c>
      <c r="E1120" s="7" t="str">
        <f>IFERROR(__xludf.DUMMYFUNCTION("""COMPUTED_VALUE"""),"Supporting requirements verification using XSLT")</f>
        <v>Supporting requirements verification using XSLT</v>
      </c>
      <c r="F1120" s="7" t="str">
        <f>IFERROR(__xludf.DUMMYFUNCTION("""COMPUTED_VALUE"""),"RE")</f>
        <v>RE</v>
      </c>
      <c r="G1120" s="7" t="str">
        <f>IFERROR(__xludf.DUMMYFUNCTION("""COMPUTED_VALUE"""),"We present a light-weight approach for the automatic verification of requirements. This approach is not based on natural language parsing techniques but on the representation of requirements in XML. In our approach, XSLT stylesheets are used not only to a"&amp;"utomatically generate requirements documents, but also to provide verification-oriented heuristics as well as to measure the quality of requirements using some verification-oriented metrics. These ideas have been implemented in REM, an experimental XML-ba"&amp;"sed requirements management tool also described. © 2002 IEEE.")</f>
        <v>We present a light-weight approach for the automatic verification of requirements. This approach is not based on natural language parsing techniques but on the representation of requirements in XML. In our approach, XSLT stylesheets are used not only to automatically generate requirements documents, but also to provide verification-oriented heuristics as well as to measure the quality of requirements using some verification-oriented metrics. These ideas have been implemented in REM, an experimental XML-based requirements management tool also described. © 2002 IEEE.</v>
      </c>
      <c r="H1120" s="7" t="str">
        <f>IFERROR(__xludf.DUMMYFUNCTION("""COMPUTED_VALUE"""),"Engineering management; Filters; HTML; Natural languages; Quality assurance; Quality management; Software quality; Unified modeling language; User interfaces; XML")</f>
        <v>Engineering management; Filters; HTML; Natural languages; Quality assurance; Quality management; Software quality; Unified modeling language; User interfaces; XML</v>
      </c>
      <c r="I1120" s="10" t="b">
        <v>0</v>
      </c>
      <c r="J1120" s="10" t="b">
        <v>0</v>
      </c>
      <c r="K1120" s="10" t="b">
        <v>0</v>
      </c>
      <c r="L1120" s="10" t="b">
        <v>0</v>
      </c>
      <c r="M1120" s="10" t="b">
        <v>0</v>
      </c>
      <c r="N1120" s="10" t="b">
        <v>0</v>
      </c>
      <c r="O1120" s="11" t="b">
        <f t="shared" si="1"/>
        <v>0</v>
      </c>
      <c r="P1120" s="16" t="b">
        <v>0</v>
      </c>
      <c r="Q1120" s="7"/>
    </row>
    <row r="1121">
      <c r="A1121" s="5" t="b">
        <v>1</v>
      </c>
      <c r="B1121" s="5" t="s">
        <v>1169</v>
      </c>
      <c r="C1121" s="7" t="str">
        <f>IFERROR(__xludf.DUMMYFUNCTION("""COMPUTED_VALUE"""),"10.1109/ICRE.2004.1335689")</f>
        <v>10.1109/ICRE.2004.1335689</v>
      </c>
      <c r="D1121" s="7" t="str">
        <f>IFERROR(__xludf.DUMMYFUNCTION("""COMPUTED_VALUE"""),"Tsuchiya R.; Matsuoka A.; Goto K.; Seki K.; Ogino T.")</f>
        <v>Tsuchiya R.; Matsuoka A.; Goto K.; Seki K.; Ogino T.</v>
      </c>
      <c r="E1121" s="7" t="str">
        <f>IFERROR(__xludf.DUMMYFUNCTION("""COMPUTED_VALUE"""),"Requirement-driven approach to interoperable traveler support system specification")</f>
        <v>Requirement-driven approach to interoperable traveler support system specification</v>
      </c>
      <c r="F1121" s="7" t="str">
        <f>IFERROR(__xludf.DUMMYFUNCTION("""COMPUTED_VALUE"""),"RE")</f>
        <v>RE</v>
      </c>
      <c r="G1121" s="7" t="str">
        <f>IFERROR(__xludf.DUMMYFUNCTION("""COMPUTED_VALUE"""),"This research is part of the CyberRail project in which we aim to develop itinerary-based, location-sensitive traveler information services for intermodal travelers. This paper covers our approach in which top-down requirements analysis is used effectivel"&amp;"y to derive interoperable traveler support system specification together with some feedback from experimental system implementations. The derived system specification reflects the requirements of stakeholders for each mode of transportation, including but"&amp;" not restricting to rail and will be used as a reference model for system developers of various traveler support systems. We believe that by conforming to the common reference model, several alternative implementations of CyberRail will appear in the futu"&amp;"re that guarantee sufficient level of interoperability. © 2004 IEEE.")</f>
        <v>This research is part of the CyberRail project in which we aim to develop itinerary-based, location-sensitive traveler information services for intermodal travelers. This paper covers our approach in which top-down requirements analysis is used effectively to derive interoperable traveler support system specification together with some feedback from experimental system implementations. The derived system specification reflects the requirements of stakeholders for each mode of transportation, including but not restricting to rail and will be used as a reference model for system developers of various traveler support systems. We believe that by conforming to the common reference model, several alternative implementations of CyberRail will appear in the future that guarantee sufficient level of interoperability. © 2004 IEEE.</v>
      </c>
      <c r="H1121" s="7"/>
      <c r="I1121" s="10" t="b">
        <v>0</v>
      </c>
      <c r="J1121" s="10" t="b">
        <v>0</v>
      </c>
      <c r="K1121" s="10" t="b">
        <v>0</v>
      </c>
      <c r="L1121" s="10" t="b">
        <v>0</v>
      </c>
      <c r="M1121" s="10" t="b">
        <v>0</v>
      </c>
      <c r="N1121" s="10" t="b">
        <v>0</v>
      </c>
      <c r="O1121" s="11" t="b">
        <f t="shared" si="1"/>
        <v>0</v>
      </c>
      <c r="P1121" s="16" t="b">
        <v>0</v>
      </c>
      <c r="Q1121" s="7"/>
    </row>
    <row r="1122">
      <c r="A1122" s="5" t="b">
        <v>1</v>
      </c>
      <c r="B1122" s="5" t="s">
        <v>1170</v>
      </c>
      <c r="C1122" s="7"/>
      <c r="D1122" s="7" t="str">
        <f>IFERROR(__xludf.DUMMYFUNCTION("""COMPUTED_VALUE"""),"Easterbrook Steve; Callahan John")</f>
        <v>Easterbrook Steve; Callahan John</v>
      </c>
      <c r="E1122" s="7" t="str">
        <f>IFERROR(__xludf.DUMMYFUNCTION("""COMPUTED_VALUE"""),"Formal methods for V&amp;V of partial specifications: An experience report")</f>
        <v>Formal methods for V&amp;V of partial specifications: An experience report</v>
      </c>
      <c r="F1122" s="7" t="str">
        <f>IFERROR(__xludf.DUMMYFUNCTION("""COMPUTED_VALUE"""),"RE")</f>
        <v>RE</v>
      </c>
      <c r="G1122" s="7" t="str">
        <f>IFERROR(__xludf.DUMMYFUNCTION("""COMPUTED_VALUE"""),"This paper describes our work exploring the suitability of formal specification methods for independent verification and validation (IV&amp;V) of software specifications for large, safety critical systems. An IV&amp;V contractor often has to perform rapid analysi"&amp;"s on incomplete specifications, with no control over how those specifications are represented. Lightweight formal methods show significant promise in this context, as they offer a way of uncovering major errors, without the burden of full proofs of correc"&amp;"tness. We describe an experiment in the application of the method SCR to testing for consistency properties of a partial model of the requirements for Fault Detection Isolation and Recovery on the space station. We conclude that the insights gained from f"&amp;"ormalizing a specification is valuable, and it is the process of formalization, rather than the end product that is important. It was only necessary to build enough of the formal model to test the properties in which we were interested. Maintenance of fid"&amp;"elity between multiple representations of the same requirements (as they evolve) is still a problem, and deserves further study.")</f>
        <v>This paper describes our work exploring the suitability of formal specification methods for independent verification and validation (IV&amp;V) of software specifications for large, safety critical systems. An IV&amp;V contractor often has to perform rapid analysis on incomplete specifications, with no control over how those specifications are represented. Lightweight formal methods show significant promise in this context, as they offer a way of uncovering major errors, without the burden of full proofs of correctness. We describe an experiment in the application of the method SCR to testing for consistency properties of a partial model of the requirements for Fault Detection Isolation and Recovery on the space station. We conclude that the insights gained from formalizing a specification is valuable, and it is the process of formalization, rather than the end product that is important. It was only necessary to build enough of the formal model to test the properties in which we were interested. Maintenance of fidelity between multiple representations of the same requirements (as they evolve) is still a problem, and deserves further study.</v>
      </c>
      <c r="H1122" s="7"/>
      <c r="I1122" s="10" t="b">
        <v>0</v>
      </c>
      <c r="J1122" s="10" t="b">
        <v>0</v>
      </c>
      <c r="K1122" s="10" t="b">
        <v>0</v>
      </c>
      <c r="L1122" s="10" t="b">
        <v>0</v>
      </c>
      <c r="M1122" s="10" t="b">
        <v>0</v>
      </c>
      <c r="N1122" s="10" t="b">
        <v>0</v>
      </c>
      <c r="O1122" s="11" t="b">
        <f t="shared" si="1"/>
        <v>0</v>
      </c>
      <c r="P1122" s="16" t="b">
        <v>0</v>
      </c>
      <c r="Q1122" s="7"/>
    </row>
    <row r="1123">
      <c r="A1123" s="5" t="b">
        <v>1</v>
      </c>
      <c r="B1123" s="5" t="s">
        <v>1171</v>
      </c>
      <c r="C1123" s="7"/>
      <c r="D1123" s="7" t="str">
        <f>IFERROR(__xludf.DUMMYFUNCTION("""COMPUTED_VALUE"""),"Heitmeyer Constance; Labaw Bruce; Kiskis Daniel")</f>
        <v>Heitmeyer Constance; Labaw Bruce; Kiskis Daniel</v>
      </c>
      <c r="E1123" s="7" t="str">
        <f>IFERROR(__xludf.DUMMYFUNCTION("""COMPUTED_VALUE"""),"Consistency checking of SCR-style requirements specifications")</f>
        <v>Consistency checking of SCR-style requirements specifications</v>
      </c>
      <c r="F1123" s="7" t="str">
        <f>IFERROR(__xludf.DUMMYFUNCTION("""COMPUTED_VALUE"""),"RE")</f>
        <v>RE</v>
      </c>
      <c r="G1123" s="7" t="str">
        <f>IFERROR(__xludf.DUMMYFUNCTION("""COMPUTED_VALUE"""),"This paper describes a class of formal analysis called consistency checking that mechanically checks requirements specifications, expressed in the SCR tabular notation, for application-independent properties. Properties include domain coverage, type corre"&amp;"ctness, and determinism. As background, the SCR notation for specifying requirements is reviewed. A formal requirements model describing the meaning of the SCR notation is summarized, and consistency checks derived from the formal model are described. The"&amp;" results of experiments to evaluate the utility of automated consistency checking are presented. Where consistency checking of requirements fits in the software development process is discussed.")</f>
        <v>This paper describes a class of formal analysis called consistency checking that mechanically checks requirements specifications, expressed in the SCR tabular notation, for application-independent properties. Properties include domain coverage, type correctness, and determinism. As background, the SCR notation for specifying requirements is reviewed. A formal requirements model describing the meaning of the SCR notation is summarized, and consistency checks derived from the formal model are described. The results of experiments to evaluate the utility of automated consistency checking are presented. Where consistency checking of requirements fits in the software development process is discussed.</v>
      </c>
      <c r="H1123" s="7"/>
      <c r="I1123" s="10" t="b">
        <v>0</v>
      </c>
      <c r="J1123" s="10" t="b">
        <v>0</v>
      </c>
      <c r="K1123" s="10" t="b">
        <v>0</v>
      </c>
      <c r="L1123" s="10" t="b">
        <v>0</v>
      </c>
      <c r="M1123" s="10" t="b">
        <v>0</v>
      </c>
      <c r="N1123" s="10" t="b">
        <v>0</v>
      </c>
      <c r="O1123" s="11" t="b">
        <f t="shared" si="1"/>
        <v>0</v>
      </c>
      <c r="P1123" s="16" t="b">
        <v>0</v>
      </c>
      <c r="Q1123" s="7"/>
    </row>
    <row r="1124">
      <c r="A1124" s="5" t="b">
        <v>1</v>
      </c>
      <c r="B1124" s="5" t="s">
        <v>1172</v>
      </c>
      <c r="C1124" s="7" t="str">
        <f>IFERROR(__xludf.DUMMYFUNCTION("""COMPUTED_VALUE"""),"10.1109/re.2005.78")</f>
        <v>10.1109/re.2005.78</v>
      </c>
      <c r="D1124" s="7" t="str">
        <f>IFERROR(__xludf.DUMMYFUNCTION("""COMPUTED_VALUE"""),"Cleland-Huang J.; Settimi R.; Duan C.; Zou X.")</f>
        <v>Cleland-Huang J.; Settimi R.; Duan C.; Zou X.</v>
      </c>
      <c r="E1124" s="7" t="str">
        <f>IFERROR(__xludf.DUMMYFUNCTION("""COMPUTED_VALUE"""),"Utilizing supporting evidence to improve dynamic requirements traceability")</f>
        <v>Utilizing supporting evidence to improve dynamic requirements traceability</v>
      </c>
      <c r="F1124" s="7" t="str">
        <f>IFERROR(__xludf.DUMMYFUNCTION("""COMPUTED_VALUE"""),"RE")</f>
        <v>RE</v>
      </c>
      <c r="G1124" s="7" t="str">
        <f>IFERROR(__xludf.DUMMYFUNCTION("""COMPUTED_VALUE"""),"Requirements traceability provides critical support throughout all phases of a software development project. However practice has repeatedly shown the difficulties involved in long-term maintenance of traditional traceability matrices. Dynamic retrieval m"&amp;"ethods minimize the need for creating and maintaining explicit links and can significantly reduce the effort required to perform a manual trace. Unfortunately they suffer from recall and precision problems. This paper introduces three strategies for incor"&amp;"porating supporting information into a probabilistic retrieval algorithm in order to improve the performance of dynamic requirements traceability. The strategies include hierarchical modeling, logical clustering of artifacts, and semi-automated pruning of"&amp;" the probabilistic network. Experimental results indicate that enhancement strategies can be used effectively to improve trace retrieval results thereby increasing the practicality of utilizing dynamic trace retrieval methods. © 2005 IEEE.")</f>
        <v>Requirements traceability provides critical support throughout all phases of a software development project. However practice has repeatedly shown the difficulties involved in long-term maintenance of traditional traceability matrices. Dynamic retrieval methods minimize the need for creating and maintaining explicit links and can significantly reduce the effort required to perform a manual trace. Unfortunately they suffer from recall and precision problems. This paper introduces three strategies for incorporating supporting information into a probabilistic retrieval algorithm in order to improve the performance of dynamic requirements traceability. The strategies include hierarchical modeling, logical clustering of artifacts, and semi-automated pruning of the probabilistic network. Experimental results indicate that enhancement strategies can be used effectively to improve trace retrieval results thereby increasing the practicality of utilizing dynamic trace retrieval methods. © 2005 IEEE.</v>
      </c>
      <c r="H1124" s="7"/>
      <c r="I1124" s="10" t="b">
        <v>0</v>
      </c>
      <c r="J1124" s="10" t="b">
        <v>0</v>
      </c>
      <c r="K1124" s="10" t="b">
        <v>0</v>
      </c>
      <c r="L1124" s="10" t="b">
        <v>0</v>
      </c>
      <c r="M1124" s="10" t="b">
        <v>0</v>
      </c>
      <c r="N1124" s="10" t="b">
        <v>0</v>
      </c>
      <c r="O1124" s="11" t="b">
        <f t="shared" si="1"/>
        <v>0</v>
      </c>
      <c r="P1124" s="16" t="b">
        <v>0</v>
      </c>
      <c r="Q1124" s="7"/>
    </row>
    <row r="1125">
      <c r="A1125" s="5" t="b">
        <v>1</v>
      </c>
      <c r="B1125" s="5" t="s">
        <v>1173</v>
      </c>
      <c r="C1125" s="7"/>
      <c r="D1125" s="7" t="str">
        <f>IFERROR(__xludf.DUMMYFUNCTION("""COMPUTED_VALUE"""),"Menzies Tim; Easterbrook Steve; Nuseibeh Bashar; Waugh Sam")</f>
        <v>Menzies Tim; Easterbrook Steve; Nuseibeh Bashar; Waugh Sam</v>
      </c>
      <c r="E1125" s="7" t="str">
        <f>IFERROR(__xludf.DUMMYFUNCTION("""COMPUTED_VALUE"""),"Empirical investigation of multiple viewpoint reasoning in requirements engineering")</f>
        <v>Empirical investigation of multiple viewpoint reasoning in requirements engineering</v>
      </c>
      <c r="F1125" s="7" t="str">
        <f>IFERROR(__xludf.DUMMYFUNCTION("""COMPUTED_VALUE"""),"RE")</f>
        <v>RE</v>
      </c>
      <c r="G1125" s="7" t="str">
        <f>IFERROR(__xludf.DUMMYFUNCTION("""COMPUTED_VALUE"""),"Multiple viewpoints are often used in Requirements Engineering to facilitate traceability to stakeholders, to structure the requirements process, and to provide richer modelling by incorporating multiple conflicting descriptions. In the latter case, the n"&amp;"eed to reason with inconsistent models introduces considerable extra complexity. This paper describes an empirical study of the utility of multiple world reasoning (using abduction) for domain modelling. In the study we used a range of different models (r"&amp;"anging from correct to very incorrect), different fanouts, different amounts of data available from the domain, and different modelling primitives for representing time. In the experiments there was no significant change in the expressive power of models "&amp;"that incorporate multiple conflicting viewpoints. Whilst this does not negate the advantages of viewpoints during requirements elicitation, it does suggest some limits to the utility of viewpoints during requirements modelling.")</f>
        <v>Multiple viewpoints are often used in Requirements Engineering to facilitate traceability to stakeholders, to structure the requirements process, and to provide richer modelling by incorporating multiple conflicting descriptions. In the latter case, the need to reason with inconsistent models introduces considerable extra complexity. This paper describes an empirical study of the utility of multiple world reasoning (using abduction) for domain modelling. In the study we used a range of different models (ranging from correct to very incorrect), different fanouts, different amounts of data available from the domain, and different modelling primitives for representing time. In the experiments there was no significant change in the expressive power of models that incorporate multiple conflicting viewpoints. Whilst this does not negate the advantages of viewpoints during requirements elicitation, it does suggest some limits to the utility of viewpoints during requirements modelling.</v>
      </c>
      <c r="H1125" s="7"/>
      <c r="I1125" s="10" t="b">
        <v>0</v>
      </c>
      <c r="J1125" s="10" t="b">
        <v>0</v>
      </c>
      <c r="K1125" s="10" t="b">
        <v>0</v>
      </c>
      <c r="L1125" s="10" t="b">
        <v>0</v>
      </c>
      <c r="M1125" s="10" t="b">
        <v>0</v>
      </c>
      <c r="N1125" s="10" t="b">
        <v>0</v>
      </c>
      <c r="O1125" s="11" t="b">
        <f t="shared" si="1"/>
        <v>0</v>
      </c>
      <c r="P1125" s="16" t="b">
        <v>0</v>
      </c>
      <c r="Q1125" s="7"/>
    </row>
    <row r="1126">
      <c r="A1126" s="5" t="b">
        <v>1</v>
      </c>
      <c r="B1126" s="5" t="s">
        <v>1174</v>
      </c>
      <c r="C1126" s="7" t="str">
        <f>IFERROR(__xludf.DUMMYFUNCTION("""COMPUTED_VALUE"""),"10.1109/ICRE.2003.1232787")</f>
        <v>10.1109/ICRE.2003.1232787</v>
      </c>
      <c r="D1126" s="7" t="str">
        <f>IFERROR(__xludf.DUMMYFUNCTION("""COMPUTED_VALUE"""),"Oshiro K.; Watahiki K.; Saeki M.")</f>
        <v>Oshiro K.; Watahiki K.; Saeki M.</v>
      </c>
      <c r="E1126" s="7" t="str">
        <f>IFERROR(__xludf.DUMMYFUNCTION("""COMPUTED_VALUE"""),"Goal-oriented idea generation method for requirements elicitation")</f>
        <v>Goal-oriented idea generation method for requirements elicitation</v>
      </c>
      <c r="F1126" s="7" t="str">
        <f>IFERROR(__xludf.DUMMYFUNCTION("""COMPUTED_VALUE"""),"RE")</f>
        <v>RE</v>
      </c>
      <c r="G1126" s="7" t="str">
        <f>IFERROR(__xludf.DUMMYFUNCTION("""COMPUTED_VALUE"""),"We present an extended version of goal-oriented analysis methods where an idea generation method is combined to reinforce the support of the step for identifying subgoals by a team of stakeholders. To assess our method, experimental results are also discu"&amp;"ssed. © 2003 IEEE.")</f>
        <v>We present an extended version of goal-oriented analysis methods where an idea generation method is combined to reinforce the support of the step for identifying subgoals by a team of stakeholders. To assess our method, experimental results are also discussed. © 2003 IEEE.</v>
      </c>
      <c r="H1126" s="7" t="str">
        <f>IFERROR(__xludf.DUMMYFUNCTION("""COMPUTED_VALUE"""),"Collaboration; Computer science; Concrete; Joining processes")</f>
        <v>Collaboration; Computer science; Concrete; Joining processes</v>
      </c>
      <c r="I1126" s="10" t="b">
        <v>0</v>
      </c>
      <c r="J1126" s="10" t="b">
        <v>0</v>
      </c>
      <c r="K1126" s="10" t="b">
        <v>0</v>
      </c>
      <c r="L1126" s="10" t="b">
        <v>0</v>
      </c>
      <c r="M1126" s="10" t="b">
        <v>0</v>
      </c>
      <c r="N1126" s="10" t="b">
        <v>0</v>
      </c>
      <c r="O1126" s="11" t="b">
        <f t="shared" si="1"/>
        <v>0</v>
      </c>
      <c r="P1126" s="16" t="b">
        <v>0</v>
      </c>
      <c r="Q1126" s="7"/>
    </row>
    <row r="1127">
      <c r="A1127" s="5" t="b">
        <v>1</v>
      </c>
      <c r="B1127" s="5" t="s">
        <v>1175</v>
      </c>
      <c r="C1127" s="7"/>
      <c r="D1127" s="7" t="str">
        <f>IFERROR(__xludf.DUMMYFUNCTION("""COMPUTED_VALUE"""),"Rolland Colette; Grosz Georges; Kla Regis")</f>
        <v>Rolland Colette; Grosz Georges; Kla Regis</v>
      </c>
      <c r="E1127" s="7" t="str">
        <f>IFERROR(__xludf.DUMMYFUNCTION("""COMPUTED_VALUE"""),"Experience with goal-scenario coupling in requirements engineering")</f>
        <v>Experience with goal-scenario coupling in requirements engineering</v>
      </c>
      <c r="F1127" s="7" t="str">
        <f>IFERROR(__xludf.DUMMYFUNCTION("""COMPUTED_VALUE"""),"RE")</f>
        <v>RE</v>
      </c>
      <c r="G1127" s="7" t="str">
        <f>IFERROR(__xludf.DUMMYFUNCTION("""COMPUTED_VALUE"""),"In the context of Requirements Engineering (RE), both goal-driven and scenario-based approaches have proven useful for eliciting, justifying and validating system requirements. In order to overcome some of the deficiencies and limitations of these approac"&amp;"hes when used in isolation, proposals have been made to couple goals and scenarios together. The CREWS-L'Ecritoire approach advocates bi-directional coupling precisely to permit two ways movement between goals and scenarios. The paper reports an experimen"&amp;"t using the CREWS-L'Ecritoire approach on a large scale business reengineering project conducted for an electricity supply and distribution company. We focused on a set of issues we found important and of a significance beyond the limits of our brief. We "&amp;"considered three kinds of issue as found in goal-driven approaches, in scenario-based approaches, and those specific to goal-scenario coupling. In this paper, we devote particular attention to the latter and assess the extent to which the goal-scenario co"&amp;"upling helps to resolve the first two.")</f>
        <v>In the context of Requirements Engineering (RE), both goal-driven and scenario-based approaches have proven useful for eliciting, justifying and validating system requirements. In order to overcome some of the deficiencies and limitations of these approaches when used in isolation, proposals have been made to couple goals and scenarios together. The CREWS-L'Ecritoire approach advocates bi-directional coupling precisely to permit two ways movement between goals and scenarios. The paper reports an experiment using the CREWS-L'Ecritoire approach on a large scale business reengineering project conducted for an electricity supply and distribution company. We focused on a set of issues we found important and of a significance beyond the limits of our brief. We considered three kinds of issue as found in goal-driven approaches, in scenario-based approaches, and those specific to goal-scenario coupling. In this paper, we devote particular attention to the latter and assess the extent to which the goal-scenario coupling helps to resolve the first two.</v>
      </c>
      <c r="H1127" s="7"/>
      <c r="I1127" s="10" t="b">
        <v>0</v>
      </c>
      <c r="J1127" s="10" t="b">
        <v>0</v>
      </c>
      <c r="K1127" s="10" t="b">
        <v>0</v>
      </c>
      <c r="L1127" s="10" t="b">
        <v>0</v>
      </c>
      <c r="M1127" s="10" t="b">
        <v>0</v>
      </c>
      <c r="N1127" s="10" t="b">
        <v>0</v>
      </c>
      <c r="O1127" s="11" t="b">
        <f t="shared" si="1"/>
        <v>0</v>
      </c>
      <c r="P1127" s="16" t="b">
        <v>0</v>
      </c>
      <c r="Q1127" s="7"/>
    </row>
    <row r="1128">
      <c r="A1128" s="5" t="b">
        <v>1</v>
      </c>
      <c r="B1128" s="5" t="s">
        <v>1176</v>
      </c>
      <c r="C1128" s="7"/>
      <c r="D1128" s="7" t="str">
        <f>IFERROR(__xludf.DUMMYFUNCTION("""COMPUTED_VALUE"""),"Song Xiping; Hasling Bill; Mangla Gaurav; Sherman Bill")</f>
        <v>Song Xiping; Hasling Bill; Mangla Gaurav; Sherman Bill</v>
      </c>
      <c r="E1128" s="7" t="str">
        <f>IFERROR(__xludf.DUMMYFUNCTION("""COMPUTED_VALUE"""),"Lessons learned from building a Web-based requirements tracing system")</f>
        <v>Lessons learned from building a Web-based requirements tracing system</v>
      </c>
      <c r="F1128" s="7" t="str">
        <f>IFERROR(__xludf.DUMMYFUNCTION("""COMPUTED_VALUE"""),"RE")</f>
        <v>RE</v>
      </c>
      <c r="G1128" s="7" t="str">
        <f>IFERROR(__xludf.DUMMYFUNCTION("""COMPUTED_VALUE"""),"Tracing requirements and other documents in large software projects are very difficult, particularly when these documents are distributed over a heterogeneous computing environment. In order to address such needs, we have experimented with web technologie"&amp;"s to aid the tracing of requirements. Our project (called STAR-Track) has been completed through requirement analysis, design and a prototype implementation. This paper reports the lessons we learned from these activities.")</f>
        <v>Tracing requirements and other documents in large software projects are very difficult, particularly when these documents are distributed over a heterogeneous computing environment. In order to address such needs, we have experimented with web technologies to aid the tracing of requirements. Our project (called STAR-Track) has been completed through requirement analysis, design and a prototype implementation. This paper reports the lessons we learned from these activities.</v>
      </c>
      <c r="H1128" s="7"/>
      <c r="I1128" s="10" t="b">
        <v>0</v>
      </c>
      <c r="J1128" s="10" t="b">
        <v>0</v>
      </c>
      <c r="K1128" s="10" t="b">
        <v>0</v>
      </c>
      <c r="L1128" s="10" t="b">
        <v>0</v>
      </c>
      <c r="M1128" s="10" t="b">
        <v>0</v>
      </c>
      <c r="N1128" s="10" t="b">
        <v>0</v>
      </c>
      <c r="O1128" s="11" t="b">
        <f t="shared" si="1"/>
        <v>0</v>
      </c>
      <c r="P1128" s="16" t="b">
        <v>0</v>
      </c>
      <c r="Q1128" s="7"/>
    </row>
    <row r="1129">
      <c r="A1129" s="5" t="b">
        <v>1</v>
      </c>
      <c r="B1129" s="5" t="s">
        <v>1177</v>
      </c>
      <c r="C1129" s="7"/>
      <c r="D1129" s="7"/>
      <c r="E1129" s="7" t="str">
        <f>IFERROR(__xludf.DUMMYFUNCTION("""COMPUTED_VALUE"""),"Proceedings of the IEEE International Conference on Requirements Engineering")</f>
        <v>Proceedings of the IEEE International Conference on Requirements Engineering</v>
      </c>
      <c r="F1129" s="7" t="str">
        <f>IFERROR(__xludf.DUMMYFUNCTION("""COMPUTED_VALUE"""),"RE")</f>
        <v>RE</v>
      </c>
      <c r="G1129" s="7" t="str">
        <f>IFERROR(__xludf.DUMMYFUNCTION("""COMPUTED_VALUE"""),"The proceedings contain 55 papers. The topics discussed include: the journey toward secure systems: achieving assurance; modern systems engineering: a driving force for industrial competitivity!; in situ requirements analysis: a deeper examination of the "&amp;"relationship between requirements determination and project selection; requirements stability assessment using scenarios; resolving requirements discovery in testing and operations; requirements engineering for a pervasive health care system; monitoring w"&amp;"eb service requirements; acquiring and incorporating state-dependent timing requirements; refinement-based requirements modeling using triggered message sequence charts; specifying and analyzing early requirements: some experimental results; and requireme"&amp;"nts analysis for customizable software: a goals-skills-preferences framework.")</f>
        <v>The proceedings contain 55 papers. The topics discussed include: the journey toward secure systems: achieving assurance; modern systems engineering: a driving force for industrial competitivity!; in situ requirements analysis: a deeper examination of the relationship between requirements determination and project selection; requirements stability assessment using scenarios; resolving requirements discovery in testing and operations; requirements engineering for a pervasive health care system; monitoring web service requirements; acquiring and incorporating state-dependent timing requirements; refinement-based requirements modeling using triggered message sequence charts; specifying and analyzing early requirements: some experimental results; and requirements analysis for customizable software: a goals-skills-preferences framework.</v>
      </c>
      <c r="H1129" s="7"/>
      <c r="I1129" s="10" t="b">
        <v>0</v>
      </c>
      <c r="J1129" s="10" t="b">
        <v>0</v>
      </c>
      <c r="K1129" s="10" t="b">
        <v>0</v>
      </c>
      <c r="L1129" s="10" t="b">
        <v>0</v>
      </c>
      <c r="M1129" s="10" t="b">
        <v>0</v>
      </c>
      <c r="N1129" s="10" t="b">
        <v>0</v>
      </c>
      <c r="O1129" s="11" t="b">
        <f t="shared" si="1"/>
        <v>0</v>
      </c>
      <c r="P1129" s="16" t="b">
        <v>0</v>
      </c>
      <c r="Q1129" s="7"/>
    </row>
    <row r="1130">
      <c r="A1130" s="5" t="b">
        <v>1</v>
      </c>
      <c r="B1130" s="5" t="s">
        <v>1178</v>
      </c>
      <c r="C1130" s="7" t="str">
        <f>IFERROR(__xludf.DUMMYFUNCTION("""COMPUTED_VALUE"""),"10.1109/ICRE.2002.1048509")</f>
        <v>10.1109/ICRE.2002.1048509</v>
      </c>
      <c r="D1130" s="7" t="str">
        <f>IFERROR(__xludf.DUMMYFUNCTION("""COMPUTED_VALUE"""),"Lemoine M.; Foisseau J.")</f>
        <v>Lemoine M.; Foisseau J.</v>
      </c>
      <c r="E1130" s="7" t="str">
        <f>IFERROR(__xludf.DUMMYFUNCTION("""COMPUTED_VALUE"""),"Managing (requirements) evolutions of high assurance systems")</f>
        <v>Managing (requirements) evolutions of high assurance systems</v>
      </c>
      <c r="F1130" s="7" t="str">
        <f>IFERROR(__xludf.DUMMYFUNCTION("""COMPUTED_VALUE"""),"RE")</f>
        <v>RE</v>
      </c>
      <c r="G1130" s="7" t="str">
        <f>IFERROR(__xludf.DUMMYFUNCTION("""COMPUTED_VALUE"""),"Long lifetime HAS (High Assurance Systems) present, among others, a peculiar property: evolutions are numerous. Because current standards [1] for producing such HAS are not accurate enough regarding evolutions, we have considered that all the artefacts, w"&amp;"hich are produced during their development, should be recorded. Recording artefacts means developing an IS (Information System), and using it in the same way it is done with classical IS. Applying well-known IS principles supported by RDB (Relational Data"&amp;" Base), we have first of all considered their models, and then their exploitation. For the modelling part we have taken into account all the artefacts, and their relationships, according to accurate representative UML abstract diagrams. Indeed UML [2] all"&amp;"ows representing both static and dynamic aspect of any system. Managing evolutions being the most difficult part of the HAS lifetime, we have put a special emphasis on modelling requirements, and evolutions. We then have shown how these abstract UML meta-"&amp;"models, and their instantiations, can be used in two different ways, according to we are developing a system or we are managing its evolution. In the former we have built up a Web DB (Data Base), which takes advantage of existing browsers. Consequently on"&amp;"e is then able to navigate through HAS artefacts. Depending on his role in the development, one is able either to follow the HAS development, and consequently to study whether HAS requirements are met, or to apply various analyses such as the impact analy"&amp;"sis of any requirement change. In the latter, because recording all the artefacts is a bit heavy, we have translated the abstract meta-models into a set of verification rules that allow checking manually some HAS properties such as release compatibility. "&amp;"The used standard is the EAI-632. It has been improved, and, to a certain extent, automated in such a way that both recording development artefacts is feasible, and analysing impact of any requested evolution is no more done manually. The industrial exper"&amp;"iments that have been conducted along a very large project have shown the availability of the chosen approach. A by-product that has appeared during the first experiment was the introduction of new relationships between end-users and the development team "&amp;"[3]. Indeed it has been confirmed that new or improved technologies must be thought carefully before any real implementation. In our case, a mutual trust between teams has appeared. © 2002 IEEE")</f>
        <v>Long lifetime HAS (High Assurance Systems) present, among others, a peculiar property: evolutions are numerous. Because current standards [1] for producing such HAS are not accurate enough regarding evolutions, we have considered that all the artefacts, which are produced during their development, should be recorded. Recording artefacts means developing an IS (Information System), and using it in the same way it is done with classical IS. Applying well-known IS principles supported by RDB (Relational Data Base), we have first of all considered their models, and then their exploitation. For the modelling part we have taken into account all the artefacts, and their relationships, according to accurate representative UML abstract diagrams. Indeed UML [2] allows representing both static and dynamic aspect of any system. Managing evolutions being the most difficult part of the HAS lifetime, we have put a special emphasis on modelling requirements, and evolutions. We then have shown how these abstract UML meta-models, and their instantiations, can be used in two different ways, according to we are developing a system or we are managing its evolution. In the former we have built up a Web DB (Data Base), which takes advantage of existing browsers. Consequently one is then able to navigate through HAS artefacts. Depending on his role in the development, one is able either to follow the HAS development, and consequently to study whether HAS requirements are met, or to apply various analyses such as the impact analysis of any requirement change. In the latter, because recording all the artefacts is a bit heavy, we have translated the abstract meta-models into a set of verification rules that allow checking manually some HAS properties such as release compatibility. The used standard is the EAI-632. It has been improved, and, to a certain extent, automated in such a way that both recording development artefacts is feasible, and analysing impact of any requested evolution is no more done manually. The industrial experiments that have been conducted along a very large project have shown the availability of the chosen approach. A by-product that has appeared during the first experiment was the introduction of new relationships between end-users and the development team [3]. Indeed it has been confirmed that new or improved technologies must be thought carefully before any real implementation. In our case, a mutual trust between teams has appeared. © 2002 IEEE</v>
      </c>
      <c r="H1130" s="7"/>
      <c r="I1130" s="10" t="b">
        <v>0</v>
      </c>
      <c r="J1130" s="10" t="b">
        <v>0</v>
      </c>
      <c r="K1130" s="10" t="b">
        <v>0</v>
      </c>
      <c r="L1130" s="10" t="b">
        <v>0</v>
      </c>
      <c r="M1130" s="10" t="b">
        <v>0</v>
      </c>
      <c r="N1130" s="10" t="b">
        <v>0</v>
      </c>
      <c r="O1130" s="11" t="b">
        <f t="shared" si="1"/>
        <v>0</v>
      </c>
      <c r="P1130" s="16" t="b">
        <v>0</v>
      </c>
      <c r="Q1130" s="7"/>
    </row>
    <row r="1131">
      <c r="A1131" s="5" t="b">
        <v>1</v>
      </c>
      <c r="B1131" s="5" t="s">
        <v>1179</v>
      </c>
      <c r="C1131" s="7"/>
      <c r="D1131" s="7" t="str">
        <f>IFERROR(__xludf.DUMMYFUNCTION("""COMPUTED_VALUE"""),"Jacquot J.-P.; Valdenaire A.")</f>
        <v>Jacquot J.-P.; Valdenaire A.</v>
      </c>
      <c r="E1131" s="7" t="str">
        <f>IFERROR(__xludf.DUMMYFUNCTION("""COMPUTED_VALUE"""),"Trading legibility against implementability in requirement specifications: an experimental assessment")</f>
        <v>Trading legibility against implementability in requirement specifications: an experimental assessment</v>
      </c>
      <c r="F1131" s="7" t="str">
        <f>IFERROR(__xludf.DUMMYFUNCTION("""COMPUTED_VALUE"""),"RE")</f>
        <v>RE</v>
      </c>
      <c r="G1131" s="7" t="str">
        <f>IFERROR(__xludf.DUMMYFUNCTION("""COMPUTED_VALUE"""),"Ideally, a requirement specification language should lead to highly readable texts while being implementable. Unfortunately, current technology does not offer good support for features which enhance legibility such as elisions, flexible syntaxes, and more"&amp;" generally incomplete texts. GLIDER's designers have deliberately included those features in the language, thus forbidding some texts to be processed. This study is a rigourous assessment, both qualitative and quantitative, of this decision on the first s"&amp;"tep of processing: the parsing of terms.")</f>
        <v>Ideally, a requirement specification language should lead to highly readable texts while being implementable. Unfortunately, current technology does not offer good support for features which enhance legibility such as elisions, flexible syntaxes, and more generally incomplete texts. GLIDER's designers have deliberately included those features in the language, thus forbidding some texts to be processed. This study is a rigourous assessment, both qualitative and quantitative, of this decision on the first step of processing: the parsing of terms.</v>
      </c>
      <c r="H1131" s="7"/>
      <c r="I1131" s="10" t="b">
        <v>0</v>
      </c>
      <c r="J1131" s="10" t="b">
        <v>0</v>
      </c>
      <c r="K1131" s="10" t="b">
        <v>0</v>
      </c>
      <c r="L1131" s="10" t="b">
        <v>0</v>
      </c>
      <c r="M1131" s="10" t="b">
        <v>0</v>
      </c>
      <c r="N1131" s="10" t="b">
        <v>0</v>
      </c>
      <c r="O1131" s="11" t="b">
        <f t="shared" si="1"/>
        <v>0</v>
      </c>
      <c r="P1131" s="16" t="b">
        <v>0</v>
      </c>
      <c r="Q1131" s="7"/>
    </row>
    <row r="1132">
      <c r="A1132" s="5" t="b">
        <v>1</v>
      </c>
      <c r="B1132" s="5" t="s">
        <v>1180</v>
      </c>
      <c r="C1132" s="7"/>
      <c r="D1132" s="7" t="str">
        <f>IFERROR(__xludf.DUMMYFUNCTION("""COMPUTED_VALUE"""),"Bustard D.W.; Dobbin T.J.; Carey B.N.")</f>
        <v>Bustard D.W.; Dobbin T.J.; Carey B.N.</v>
      </c>
      <c r="E1132" s="7" t="str">
        <f>IFERROR(__xludf.DUMMYFUNCTION("""COMPUTED_VALUE"""),"Integrating soft systems and object-oriented analysis")</f>
        <v>Integrating soft systems and object-oriented analysis</v>
      </c>
      <c r="F1132" s="7" t="str">
        <f>IFERROR(__xludf.DUMMYFUNCTION("""COMPUTED_VALUE"""),"RE")</f>
        <v>RE</v>
      </c>
      <c r="G1132" s="7" t="str">
        <f>IFERROR(__xludf.DUMMYFUNCTION("""COMPUTED_VALUE"""),"This paper assumes that the establishment of requirements for software intensive systems is a two stage process: (i) a business analysis, to identify opportunities for business improvement; followed by (ii) a computing-oriented analysis to identify and de"&amp;"fine where computing facilities might support that business improvement. With that assumption, the remainder of the paper is concerned with investigating the resulting problem of integrating business analysis and computing analysis to provide an effective"&amp;" overall analysis procedure. In particular, the paper considers the integration of Soft Systems Methodology (SSM), a behaviour based business analysis technique, and Object-Oriented Analysis, specifically, Shlaer-Mellor Object-Oriented Systems Analysis (O"&amp;"OSA). The experimental use of the resulting technique on a generic billing system project in British Telecom is also discussed briefly.")</f>
        <v>This paper assumes that the establishment of requirements for software intensive systems is a two stage process: (i) a business analysis, to identify opportunities for business improvement; followed by (ii) a computing-oriented analysis to identify and define where computing facilities might support that business improvement. With that assumption, the remainder of the paper is concerned with investigating the resulting problem of integrating business analysis and computing analysis to provide an effective overall analysis procedure. In particular, the paper considers the integration of Soft Systems Methodology (SSM), a behaviour based business analysis technique, and Object-Oriented Analysis, specifically, Shlaer-Mellor Object-Oriented Systems Analysis (OOSA). The experimental use of the resulting technique on a generic billing system project in British Telecom is also discussed briefly.</v>
      </c>
      <c r="H1132" s="7"/>
      <c r="I1132" s="10" t="b">
        <v>0</v>
      </c>
      <c r="J1132" s="10" t="b">
        <v>0</v>
      </c>
      <c r="K1132" s="10" t="b">
        <v>0</v>
      </c>
      <c r="L1132" s="10" t="b">
        <v>0</v>
      </c>
      <c r="M1132" s="10" t="b">
        <v>0</v>
      </c>
      <c r="N1132" s="10" t="b">
        <v>0</v>
      </c>
      <c r="O1132" s="11" t="b">
        <f t="shared" si="1"/>
        <v>0</v>
      </c>
      <c r="P1132" s="16" t="b">
        <v>0</v>
      </c>
      <c r="Q1132" s="7"/>
    </row>
    <row r="1133">
      <c r="A1133" s="5" t="b">
        <v>1</v>
      </c>
      <c r="B1133" s="5" t="s">
        <v>1181</v>
      </c>
      <c r="C1133" s="7" t="str">
        <f>IFERROR(__xludf.DUMMYFUNCTION("""COMPUTED_VALUE"""),"10.1109/ICRE.2002.1048522")</f>
        <v>10.1109/ICRE.2002.1048522</v>
      </c>
      <c r="D1133" s="7" t="str">
        <f>IFERROR(__xludf.DUMMYFUNCTION("""COMPUTED_VALUE"""),"Hardiman S.")</f>
        <v>Hardiman S.</v>
      </c>
      <c r="E1133" s="7" t="str">
        <f>IFERROR(__xludf.DUMMYFUNCTION("""COMPUTED_VALUE"""),"REDEST - 14 best practice SME experiments with innovative requirements gathering techniques")</f>
        <v>REDEST - 14 best practice SME experiments with innovative requirements gathering techniques</v>
      </c>
      <c r="F1133" s="7" t="str">
        <f>IFERROR(__xludf.DUMMYFUNCTION("""COMPUTED_VALUE"""),"RE")</f>
        <v>RE</v>
      </c>
      <c r="G1133" s="7" t="str">
        <f>IFERROR(__xludf.DUMMYFUNCTION("""COMPUTED_VALUE"""),"The paper aims to convey the ongoing achievements of the REDEST project (EC funded). REDEST encompasses 14 independent SME experiments with new requirements gathering techniques. Project structure - 3 groups of SME experiments (Spanish, German, Hungarian)"&amp;", Local Coordinators (CARSA - Spain, ATB - Germany, MTA-SZTAKI - Hungary), and Technical Support (SQS - Spain). Each SME is developing and implementing their own innovative requirements engineering (RE) techniques into a baseline project. The SMEs design,"&amp;" manufacture and market their own equipment, and all possess different levels of RE experience and knowledge (very basic to skilled). The challenge of this project is not just to advance the technical capabilities of each SME through experimentation, but "&amp;"to connect 14 independent experiments, nurture experience-sharing, and tackle related issues such as organisational obstacles, communication, user involvement, etc. Aside from the technical, RE has a very definite human angle. The paper conveys efforts in"&amp;" this area. © 2002 IEEE.")</f>
        <v>The paper aims to convey the ongoing achievements of the REDEST project (EC funded). REDEST encompasses 14 independent SME experiments with new requirements gathering techniques. Project structure - 3 groups of SME experiments (Spanish, German, Hungarian), Local Coordinators (CARSA - Spain, ATB - Germany, MTA-SZTAKI - Hungary), and Technical Support (SQS - Spain). Each SME is developing and implementing their own innovative requirements engineering (RE) techniques into a baseline project. The SMEs design, manufacture and market their own equipment, and all possess different levels of RE experience and knowledge (very basic to skilled). The challenge of this project is not just to advance the technical capabilities of each SME through experimentation, but to connect 14 independent experiments, nurture experience-sharing, and tackle related issues such as organisational obstacles, communication, user involvement, etc. Aside from the technical, RE has a very definite human angle. The paper conveys efforts in this area. © 2002 IEEE.</v>
      </c>
      <c r="H1133" s="7" t="str">
        <f>IFERROR(__xludf.DUMMYFUNCTION("""COMPUTED_VALUE"""),"Best practices; Discussion forums; Employment; Extranets; Humans; Manufacturing; Quality management; Resource management; Software systems")</f>
        <v>Best practices; Discussion forums; Employment; Extranets; Humans; Manufacturing; Quality management; Resource management; Software systems</v>
      </c>
      <c r="I1133" s="10" t="b">
        <v>0</v>
      </c>
      <c r="J1133" s="10" t="b">
        <v>0</v>
      </c>
      <c r="K1133" s="10" t="b">
        <v>0</v>
      </c>
      <c r="L1133" s="10" t="b">
        <v>0</v>
      </c>
      <c r="M1133" s="10" t="b">
        <v>0</v>
      </c>
      <c r="N1133" s="10" t="b">
        <v>0</v>
      </c>
      <c r="O1133" s="11" t="b">
        <f t="shared" si="1"/>
        <v>0</v>
      </c>
      <c r="P1133" s="16" t="b">
        <v>0</v>
      </c>
      <c r="Q1133" s="7"/>
    </row>
    <row r="1134">
      <c r="A1134" s="5" t="b">
        <v>1</v>
      </c>
      <c r="B1134" s="5" t="s">
        <v>1182</v>
      </c>
      <c r="C1134" s="7" t="str">
        <f>IFERROR(__xludf.DUMMYFUNCTION("""COMPUTED_VALUE"""),"10.14236/ewic/ease2009.3")</f>
        <v>10.14236/ewic/ease2009.3</v>
      </c>
      <c r="D1134" s="7" t="str">
        <f>IFERROR(__xludf.DUMMYFUNCTION("""COMPUTED_VALUE"""),"Leuser J.; Porta N.; Bolz A.; Raschke A.")</f>
        <v>Leuser J.; Porta N.; Bolz A.; Raschke A.</v>
      </c>
      <c r="E1134" s="7" t="str">
        <f>IFERROR(__xludf.DUMMYFUNCTION("""COMPUTED_VALUE"""),"Empirical validation of a requirements engineering process guide")</f>
        <v>Empirical validation of a requirements engineering process guide</v>
      </c>
      <c r="F1134" s="7" t="str">
        <f>IFERROR(__xludf.DUMMYFUNCTION("""COMPUTED_VALUE"""),"EASE")</f>
        <v>EASE</v>
      </c>
      <c r="G1134" s="7" t="str">
        <f>IFERROR(__xludf.DUMMYFUNCTION("""COMPUTED_VALUE"""),"Current requirements engineering (RE) practice in industry lacks the availability of an integrated guide that defines and supports the requirements engineering part of embedded system development. Therefore, the RE part of a development project is not as "&amp;"structured and defined as desired. This paper presents results of an experiment validating a RE guide developed by a joint research project between industry and academia. In the experiment carried out for 14 weeks, embedded development projects using the "&amp;"guide were compared to projects following a state-of-the-practice process. The results suggest the guide to be suitable for mastering the RE part of an embedded system development. © 2009 BCS Learning and Development Ltd. All rights reserved.")</f>
        <v>Current requirements engineering (RE) practice in industry lacks the availability of an integrated guide that defines and supports the requirements engineering part of embedded system development. Therefore, the RE part of a development project is not as structured and defined as desired. This paper presents results of an experiment validating a RE guide developed by a joint research project between industry and academia. In the experiment carried out for 14 weeks, embedded development projects using the guide were compared to projects following a state-of-the-practice process. The results suggest the guide to be suitable for mastering the RE part of an embedded system development. © 2009 BCS Learning and Development Ltd. All rights reserved.</v>
      </c>
      <c r="H1134" s="7" t="str">
        <f>IFERROR(__xludf.DUMMYFUNCTION("""COMPUTED_VALUE"""),"Embedded systems; Experiment; Multi-stage validation; Process validation; RE process; REMsES; Systems engineering")</f>
        <v>Embedded systems; Experiment; Multi-stage validation; Process validation; RE process; REMsES; Systems engineering</v>
      </c>
      <c r="I1134" s="10" t="b">
        <v>0</v>
      </c>
      <c r="J1134" s="10" t="b">
        <v>0</v>
      </c>
      <c r="K1134" s="10" t="b">
        <v>0</v>
      </c>
      <c r="L1134" s="10" t="b">
        <v>0</v>
      </c>
      <c r="M1134" s="10" t="b">
        <v>0</v>
      </c>
      <c r="N1134" s="10" t="b">
        <v>0</v>
      </c>
      <c r="O1134" s="11" t="b">
        <f t="shared" si="1"/>
        <v>0</v>
      </c>
      <c r="P1134" s="16" t="b">
        <v>0</v>
      </c>
      <c r="Q1134" s="13" t="s">
        <v>1183</v>
      </c>
    </row>
    <row r="1135">
      <c r="A1135" s="5" t="b">
        <v>1</v>
      </c>
      <c r="B1135" s="5" t="s">
        <v>1184</v>
      </c>
      <c r="C1135" s="7" t="str">
        <f>IFERROR(__xludf.DUMMYFUNCTION("""COMPUTED_VALUE"""),"10.14236/ewic/ease2008.17")</f>
        <v>10.14236/ewic/ease2008.17</v>
      </c>
      <c r="D1135" s="7" t="str">
        <f>IFERROR(__xludf.DUMMYFUNCTION("""COMPUTED_VALUE"""),"Babar M.A.")</f>
        <v>Babar M.A.</v>
      </c>
      <c r="E1135" s="7" t="str">
        <f>IFERROR(__xludf.DUMMYFUNCTION("""COMPUTED_VALUE"""),"Assessment of a framework for designing and evaluating security sensitive architecture")</f>
        <v>Assessment of a framework for designing and evaluating security sensitive architecture</v>
      </c>
      <c r="F1135" s="7" t="str">
        <f>IFERROR(__xludf.DUMMYFUNCTION("""COMPUTED_VALUE"""),"EASE")</f>
        <v>EASE</v>
      </c>
      <c r="G1135" s="7" t="str">
        <f>IFERROR(__xludf.DUMMYFUNCTION("""COMPUTED_VALUE"""),"Background: We have developed an Architectural Level Security Analysis Framework (ALSAF), which can be used to consider and address security related issues at software architecture level. Goal: Our goal was to empirically assess the usefulness of ALSAF fo"&amp;"r identifying security attributes and security design patterns for satisfying those attributes during architecture design and evaluation. Assessment approach: The reported assessment was performed with one pilot study and one Quasi-experiment. In the main"&amp;" study, there were 19 software development professionals who participated in the study after attending a training course. The participants were required to identify security attributes and security design patterns suitable for achieving those attributes b"&amp;"ased on a given list of security properties. One group (control group) was given the textual description of security patterns, attributes, and properties, the other group (treatment group) was given ALSAF as well as the document provided to the control gr"&amp;"oup. The outcome variables were security attributes and security patterns for a Web-based system, whose requirements were provided to the participants. Result: The average score for identifying security attributes for the treatment group was 4.56 and for "&amp;"the control group was 2.60. The difference between the groups was significant using Mann-Whiney test (p=0.011). The average score for identifying the security patterns for the treatment group was 5.78 and for the control group was 2.8. Mann-Whitney test r"&amp;"evealed that the difference between the groups was again significant at (p=0.022). Post-study questionnaire revealed that majority of the participants were convinced of the usefulness of ALSAF in identifying and understanding the relationships between sec"&amp;"urity attributes, properties, and patterns for supporting architectural level security analysis. Conclusion: The findings provide an initial evidence to support the claim of the usefulness of ALSAF for supporting security sensitive analysis during archite"&amp;"cture design and evaluation. © 2008 Evaluation and Assessment in Software Engineering. All rights reserved.")</f>
        <v>Background: We have developed an Architectural Level Security Analysis Framework (ALSAF), which can be used to consider and address security related issues at software architecture level. Goal: Our goal was to empirically assess the usefulness of ALSAF for identifying security attributes and security design patterns for satisfying those attributes during architecture design and evaluation. Assessment approach: The reported assessment was performed with one pilot study and one Quasi-experiment. In the main study, there were 19 software development professionals who participated in the study after attending a training course. The participants were required to identify security attributes and security design patterns suitable for achieving those attributes based on a given list of security properties. One group (control group) was given the textual description of security patterns, attributes, and properties, the other group (treatment group) was given ALSAF as well as the document provided to the control group. The outcome variables were security attributes and security patterns for a Web-based system, whose requirements were provided to the participants. Result: The average score for identifying security attributes for the treatment group was 4.56 and for the control group was 2.60. The difference between the groups was significant using Mann-Whiney test (p=0.011). The average score for identifying the security patterns for the treatment group was 5.78 and for the control group was 2.8. Mann-Whitney test revealed that the difference between the groups was again significant at (p=0.022). Post-study questionnaire revealed that majority of the participants were convinced of the usefulness of ALSAF in identifying and understanding the relationships between security attributes, properties, and patterns for supporting architectural level security analysis. Conclusion: The findings provide an initial evidence to support the claim of the usefulness of ALSAF for supporting security sensitive analysis during architecture design and evaluation. © 2008 Evaluation and Assessment in Software Engineering. All rights reserved.</v>
      </c>
      <c r="H1135" s="7" t="str">
        <f>IFERROR(__xludf.DUMMYFUNCTION("""COMPUTED_VALUE"""),"Empirical studies; Security attributes; Software architecture evaluation; Technology assessment")</f>
        <v>Empirical studies; Security attributes; Software architecture evaluation; Technology assessment</v>
      </c>
      <c r="I1135" s="9" t="b">
        <v>1</v>
      </c>
      <c r="J1135" s="9" t="b">
        <v>1</v>
      </c>
      <c r="K1135" s="9" t="b">
        <v>1</v>
      </c>
      <c r="L1135" s="10" t="b">
        <v>0</v>
      </c>
      <c r="M1135" s="10" t="b">
        <v>0</v>
      </c>
      <c r="N1135" s="10" t="b">
        <v>0</v>
      </c>
      <c r="O1135" s="11" t="b">
        <f t="shared" si="1"/>
        <v>1</v>
      </c>
      <c r="P1135" s="16" t="b">
        <v>0</v>
      </c>
      <c r="Q1135" s="7"/>
    </row>
    <row r="1136">
      <c r="A1136" s="5" t="b">
        <v>1</v>
      </c>
      <c r="B1136" s="5" t="s">
        <v>1185</v>
      </c>
      <c r="C1136" s="7"/>
      <c r="D1136" s="7" t="str">
        <f>IFERROR(__xludf.DUMMYFUNCTION("""COMPUTED_VALUE"""),"Del Bianco V.; Gentile C.; Lavazza L.")</f>
        <v>Del Bianco V.; Gentile C.; Lavazza L.</v>
      </c>
      <c r="E1136" s="7" t="str">
        <f>IFERROR(__xludf.DUMMYFUNCTION("""COMPUTED_VALUE"""),"An evaluation of function point counting based on measurement-oriented models")</f>
        <v>An evaluation of function point counting based on measurement-oriented models</v>
      </c>
      <c r="F1136" s="7" t="str">
        <f>IFERROR(__xludf.DUMMYFUNCTION("""COMPUTED_VALUE"""),"EASE")</f>
        <v>EASE</v>
      </c>
      <c r="G1136" s="7" t="str">
        <f>IFERROR(__xludf.DUMMYFUNCTION("""COMPUTED_VALUE"""),"OBJECTIVE: It is well known that Function Point Analysis suffers from several problems. In particular, the measurement criteria and procedure are not defined precisely. Even the object of the measurement is not defined precisely: it is given by whatever s"&amp;"et of documents and information representing the user requirements. As a consequence, measurement needs to be performed by an “expert”, who can compensate the lack of precision of the method with the knowledge of common practices and interpretations. The "&amp;"paper aims at evaluating a methodology for function point measurement based on the representation of the system through UML models: this methodology aims at providing a precise definition of the object of the measurement, as well as the measurement proced"&amp;"ure and rules. METHODS: An experimental application of the methodology is presented. A set of analysts (having different degrees of experience) were trained in the methodology and were then given the same requirements to model. The resulting models were m"&amp;"easured by a few measurers, also trained in UML model-based counting. RESULTS: The results show that the variability of the FP measure is small compared to the one obtained after applying “plain” FPA, as described in the literature. More precisely, wherea"&amp;"s the influence of the modeller on the result appears to be negligible (i.e., a counter gets the same results from different models of the same application), the variability due to the measurer is more significant (i.e., different counters get different r"&amp;"esults from the same model), but still small when compared to the results reported in the literature on FPA. CONCLUSIONS: The number of data points that we were able to collect was not big enough to allow reliable conclusions from a rigorous statistical v"&amp;"iewpoint. Nevertheless, the results of the experiment tend to confirm that the considered technique decreases noticeably the variability of FP measures. © 2008 Evaluation and Assessment in Software Engineering. All rights reserved.")</f>
        <v>OBJECTIVE: It is well known that Function Point Analysis suffers from several problems. In particular, the measurement criteria and procedure are not defined precisely. Even the object of the measurement is not defined precisely: it is given by whatever set of documents and information representing the user requirements. As a consequence, measurement needs to be performed by an “expert”, who can compensate the lack of precision of the method with the knowledge of common practices and interpretations. The paper aims at evaluating a methodology for function point measurement based on the representation of the system through UML models: this methodology aims at providing a precise definition of the object of the measurement, as well as the measurement procedure and rules. METHODS: An experimental application of the methodology is presented. A set of analysts (having different degrees of experience) were trained in the methodology and were then given the same requirements to model. The resulting models were measured by a few measurers, also trained in UML model-based counting. RESULTS: The results show that the variability of the FP measure is small compared to the one obtained after applying “plain” FPA, as described in the literature. More precisely, whereas the influence of the modeller on the result appears to be negligible (i.e., a counter gets the same results from different models of the same application), the variability due to the measurer is more significant (i.e., different counters get different results from the same model), but still small when compared to the results reported in the literature on FPA. CONCLUSIONS: The number of data points that we were able to collect was not big enough to allow reliable conclusions from a rigorous statistical viewpoint. Nevertheless, the results of the experiment tend to confirm that the considered technique decreases noticeably the variability of FP measures. © 2008 Evaluation and Assessment in Software Engineering. All rights reserved.</v>
      </c>
      <c r="H1136" s="7" t="str">
        <f>IFERROR(__xludf.DUMMYFUNCTION("""COMPUTED_VALUE"""),"Experimental assessment; Function point analysis; Functional size measurement; Measurement techniques; Measurement-oriented modelling")</f>
        <v>Experimental assessment; Function point analysis; Functional size measurement; Measurement techniques; Measurement-oriented modelling</v>
      </c>
      <c r="I1136" s="10" t="b">
        <v>0</v>
      </c>
      <c r="J1136" s="9" t="b">
        <v>1</v>
      </c>
      <c r="K1136" s="9" t="b">
        <v>1</v>
      </c>
      <c r="L1136" s="10" t="b">
        <v>0</v>
      </c>
      <c r="M1136" s="10" t="b">
        <v>0</v>
      </c>
      <c r="N1136" s="10" t="b">
        <v>0</v>
      </c>
      <c r="O1136" s="11" t="b">
        <f t="shared" si="1"/>
        <v>0</v>
      </c>
      <c r="P1136" s="16" t="b">
        <v>0</v>
      </c>
      <c r="Q1136" s="7"/>
    </row>
    <row r="1137">
      <c r="A1137" s="5" t="b">
        <v>1</v>
      </c>
      <c r="B1137" s="5" t="s">
        <v>1186</v>
      </c>
      <c r="C1137" s="7" t="str">
        <f>IFERROR(__xludf.DUMMYFUNCTION("""COMPUTED_VALUE"""),"10.1145/1921705.1921710")</f>
        <v>10.1145/1921705.1921710</v>
      </c>
      <c r="D1137" s="7" t="str">
        <f>IFERROR(__xludf.DUMMYFUNCTION("""COMPUTED_VALUE"""),"Ochodek M.; Alchimowicz B.; Jurkiewicz J.; Nawrocki J.")</f>
        <v>Ochodek M.; Alchimowicz B.; Jurkiewicz J.; Nawrocki J.</v>
      </c>
      <c r="E1137" s="7" t="str">
        <f>IFERROR(__xludf.DUMMYFUNCTION("""COMPUTED_VALUE"""),"Reliability of transaction identification in use cases")</f>
        <v>Reliability of transaction identification in use cases</v>
      </c>
      <c r="F1137" s="7" t="str">
        <f>IFERROR(__xludf.DUMMYFUNCTION("""COMPUTED_VALUE"""),"ECOOP")</f>
        <v>ECOOP</v>
      </c>
      <c r="G1137" s="7" t="str">
        <f>IFERROR(__xludf.DUMMYFUNCTION("""COMPUTED_VALUE"""),"Context: The concept of transaction is used in Use Case Points (UCP), and in many other functional size measurement methods, to capture the smallest unit of functionality that should be considered while measuring the size of a system. Unfortunately, in th"&amp;"e case of the UCP method many different definitions of use-case transaction (and approaches to their identification) have been proposed thus far. Therefore, a question arises whether all of them define the same concept, and do they provide similar results"&amp;" when used by different people. Objective: The goal of this study was to investigate differences and similarities between the existing definitions of use-case transactions that can have an impact on reliability of the use-case-based functional size measur"&amp;"ement. Method: A controlled experiment was conducted on a group of 120 students. The independent variable was a technique used for transaction identification (four methods were investigated), while the dependent variable was the number of transactions ide"&amp;"ntified by participants in a use-case-based requirements specification. Results: A significant difference in the median number of transactions was observed between groups using the original Karner's definition, and the definition proposed by Diev, which i"&amp;"s based on the elementary process known from Function Point Analysis. In addition, a list of problems influencing intramethod reliability was defined based on the qualitative analysis of the experiment data. Conclusions: It seems that there are two main s"&amp;"ources of use-case transactions definitions. The Karner's definition of transaction is based on the concept of use-case transaction proposed by Jacobson - the inventor of use cases, while the second one proposed by Diev, is based on the elementary process"&amp;". There are also other methods for transaction identification that follow one of these definitions (e.g. Robiolo and Orosco stimuli-verbs approach). The important observation is that both main definitions of transactions yield different on-average results"&amp;" when used by different people. Therefore, it is important to consistently use only one in order to create a reliable historical database. © 2010 ACM.")</f>
        <v>Context: The concept of transaction is used in Use Case Points (UCP), and in many other functional size measurement methods, to capture the smallest unit of functionality that should be considered while measuring the size of a system. Unfortunately, in the case of the UCP method many different definitions of use-case transaction (and approaches to their identification) have been proposed thus far. Therefore, a question arises whether all of them define the same concept, and do they provide similar results when used by different people. Objective: The goal of this study was to investigate differences and similarities between the existing definitions of use-case transactions that can have an impact on reliability of the use-case-based functional size measurement. Method: A controlled experiment was conducted on a group of 120 students. The independent variable was a technique used for transaction identification (four methods were investigated), while the dependent variable was the number of transactions identified by participants in a use-case-based requirements specification. Results: A significant difference in the median number of transactions was observed between groups using the original Karner's definition, and the definition proposed by Diev, which is based on the elementary process known from Function Point Analysis. In addition, a list of problems influencing intramethod reliability was defined based on the qualitative analysis of the experiment data. Conclusions: It seems that there are two main sources of use-case transactions definitions. The Karner's definition of transaction is based on the concept of use-case transaction proposed by Jacobson - the inventor of use cases, while the second one proposed by Diev, is based on the elementary process. There are also other methods for transaction identification that follow one of these definitions (e.g. Robiolo and Orosco stimuli-verbs approach). The important observation is that both main definitions of transactions yield different on-average results when used by different people. Therefore, it is important to consistently use only one in order to create a reliable historical database. © 2010 ACM.</v>
      </c>
      <c r="H1137" s="7" t="str">
        <f>IFERROR(__xludf.DUMMYFUNCTION("""COMPUTED_VALUE"""),"Functional size measurement; Use Case Points; Use-case transactions")</f>
        <v>Functional size measurement; Use Case Points; Use-case transactions</v>
      </c>
      <c r="I1137" s="9" t="b">
        <v>1</v>
      </c>
      <c r="J1137" s="9" t="b">
        <v>1</v>
      </c>
      <c r="K1137" s="9" t="b">
        <v>1</v>
      </c>
      <c r="L1137" s="10" t="b">
        <v>0</v>
      </c>
      <c r="M1137" s="10" t="b">
        <v>0</v>
      </c>
      <c r="N1137" s="10" t="b">
        <v>0</v>
      </c>
      <c r="O1137" s="11" t="b">
        <f t="shared" si="1"/>
        <v>1</v>
      </c>
      <c r="P1137" s="12" t="b">
        <v>0</v>
      </c>
      <c r="Q1137" s="13"/>
    </row>
    <row r="1138">
      <c r="A1138" s="5" t="b">
        <v>1</v>
      </c>
      <c r="B1138" s="5" t="s">
        <v>1187</v>
      </c>
      <c r="C1138" s="7" t="str">
        <f>IFERROR(__xludf.DUMMYFUNCTION("""COMPUTED_VALUE"""),"10.1109/WICSA.2009.5290813")</f>
        <v>10.1109/WICSA.2009.5290813</v>
      </c>
      <c r="D1138" s="7" t="str">
        <f>IFERROR(__xludf.DUMMYFUNCTION("""COMPUTED_VALUE"""),"Tang A.; Van Vliet H.")</f>
        <v>Tang A.; Van Vliet H.</v>
      </c>
      <c r="E1138" s="7" t="str">
        <f>IFERROR(__xludf.DUMMYFUNCTION("""COMPUTED_VALUE"""),"Modeling constraints improves software architecture design reasoning")</f>
        <v>Modeling constraints improves software architecture design reasoning</v>
      </c>
      <c r="F1138" s="7" t="str">
        <f>IFERROR(__xludf.DUMMYFUNCTION("""COMPUTED_VALUE"""),"ECSA")</f>
        <v>ECSA</v>
      </c>
      <c r="G1138" s="7" t="str">
        <f>IFERROR(__xludf.DUMMYFUNCTION("""COMPUTED_VALUE"""),"Requirements and project-related factors influence architectural design in intricate and multivariate ways. We are only beginning to understand some of the tacit but fundamental mechanisms involved in reasoning about design decisions, and one of them conc"&amp;"erns the role of design constraints. This paper examines design constraints and how they shape design solutions. We introduce a design constraint model and an architectural design reasoning process for specifying design constraints and checking for design"&amp;" conflicts. We experiment with using logic for constraint verification with the Alloy tool. © 2009 IEEE.")</f>
        <v>Requirements and project-related factors influence architectural design in intricate and multivariate ways. We are only beginning to understand some of the tacit but fundamental mechanisms involved in reasoning about design decisions, and one of them concerns the role of design constraints. This paper examines design constraints and how they shape design solutions. We introduce a design constraint model and an architectural design reasoning process for specifying design constraints and checking for design conflicts. We experiment with using logic for constraint verification with the Alloy tool. © 2009 IEEE.</v>
      </c>
      <c r="H1138" s="7"/>
      <c r="I1138" s="10" t="b">
        <v>0</v>
      </c>
      <c r="J1138" s="10" t="b">
        <v>0</v>
      </c>
      <c r="K1138" s="10" t="b">
        <v>0</v>
      </c>
      <c r="L1138" s="10" t="b">
        <v>0</v>
      </c>
      <c r="M1138" s="10" t="b">
        <v>0</v>
      </c>
      <c r="N1138" s="10" t="b">
        <v>0</v>
      </c>
      <c r="O1138" s="11" t="b">
        <f t="shared" si="1"/>
        <v>0</v>
      </c>
      <c r="P1138" s="16" t="b">
        <v>0</v>
      </c>
      <c r="Q1138" s="7"/>
    </row>
    <row r="1139">
      <c r="A1139" s="5" t="b">
        <v>1</v>
      </c>
      <c r="B1139" s="5" t="s">
        <v>1188</v>
      </c>
      <c r="C1139" s="7" t="str">
        <f>IFERROR(__xludf.DUMMYFUNCTION("""COMPUTED_VALUE"""),"10.1109/ESEM.2017.41")</f>
        <v>10.1109/ESEM.2017.41</v>
      </c>
      <c r="D1139" s="7" t="str">
        <f>IFERROR(__xludf.DUMMYFUNCTION("""COMPUTED_VALUE"""),"Echeverria J.; Perez F.; Panach J.I.; Cetina C.; Pastor O.")</f>
        <v>Echeverria J.; Perez F.; Panach J.I.; Cetina C.; Pastor O.</v>
      </c>
      <c r="E1139" s="7" t="str">
        <f>IFERROR(__xludf.DUMMYFUNCTION("""COMPUTED_VALUE"""),"The Influence of Requirements in Software Model Development in an Industrial Environment")</f>
        <v>The Influence of Requirements in Software Model Development in an Industrial Environment</v>
      </c>
      <c r="F1139" s="7" t="str">
        <f>IFERROR(__xludf.DUMMYFUNCTION("""COMPUTED_VALUE"""),"ESEM")</f>
        <v>ESEM</v>
      </c>
      <c r="G1139" s="7" t="str">
        <f>IFERROR(__xludf.DUMMYFUNCTION("""COMPUTED_VALUE"""),"Textual description of requirements is a specification technique that is widely used in industry, where time is key for success. How requirements are specified textually greatly depends on human factors. In order to study how requirements processing is af"&amp;"fected by the level of detail in textual descriptions, this paper compares enriched textual requirements specifications with non-enriched ones. To do this, we have conducted an experiment in industry with 19 engineers of CAF (Construcciones y Auxiliares d"&amp;"e Ferrocarril), which is a supplier of railway solutions. The experiment is a crossover design that analyzes efficiency, effectiveness, and perceived difficulty starting from a written specification of requirements that subjects must process in order to b"&amp;"uild software models. The results show that effectiveness and efficiency for enriched requirements are better, while non-enriched requirements are slightly more difficult to deal with. Therefore, even though enriched requirements require more time to be s"&amp;"pecified, the results are more successfully when using them. © 2017 IEEE.")</f>
        <v>Textual description of requirements is a specification technique that is widely used in industry, where time is key for success. How requirements are specified textually greatly depends on human factors. In order to study how requirements processing is affected by the level of detail in textual descriptions, this paper compares enriched textual requirements specifications with non-enriched ones. To do this, we have conducted an experiment in industry with 19 engineers of CAF (Construcciones y Auxiliares de Ferrocarril), which is a supplier of railway solutions. The experiment is a crossover design that analyzes efficiency, effectiveness, and perceived difficulty starting from a written specification of requirements that subjects must process in order to build software models. The results show that effectiveness and efficiency for enriched requirements are better, while non-enriched requirements are slightly more difficult to deal with. Therefore, even though enriched requirements require more time to be specified, the results are more successfully when using them. © 2017 IEEE.</v>
      </c>
      <c r="H1139" s="7" t="str">
        <f>IFERROR(__xludf.DUMMYFUNCTION("""COMPUTED_VALUE"""),"Controlled Experiment; Model-Based Software Development; Software Requirements")</f>
        <v>Controlled Experiment; Model-Based Software Development; Software Requirements</v>
      </c>
      <c r="I1139" s="9" t="b">
        <v>1</v>
      </c>
      <c r="J1139" s="9" t="b">
        <v>1</v>
      </c>
      <c r="K1139" s="9" t="b">
        <v>1</v>
      </c>
      <c r="L1139" s="10" t="b">
        <v>0</v>
      </c>
      <c r="M1139" s="10" t="b">
        <v>0</v>
      </c>
      <c r="N1139" s="10" t="b">
        <v>0</v>
      </c>
      <c r="O1139" s="11" t="b">
        <f t="shared" si="1"/>
        <v>1</v>
      </c>
      <c r="P1139" s="16" t="b">
        <v>0</v>
      </c>
      <c r="Q1139" s="7"/>
    </row>
    <row r="1140">
      <c r="A1140" s="5" t="b">
        <v>1</v>
      </c>
      <c r="B1140" s="5" t="s">
        <v>1189</v>
      </c>
      <c r="C1140" s="7" t="str">
        <f>IFERROR(__xludf.DUMMYFUNCTION("""COMPUTED_VALUE"""),"10.1145/2652524.2652537")</f>
        <v>10.1145/2652524.2652537</v>
      </c>
      <c r="D1140" s="7" t="str">
        <f>IFERROR(__xludf.DUMMYFUNCTION("""COMPUTED_VALUE"""),"Calefato F.; Lanubile F.; Prikladnicki R.; Pinto J.H.S.")</f>
        <v>Calefato F.; Lanubile F.; Prikladnicki R.; Pinto J.H.S.</v>
      </c>
      <c r="E1140" s="7" t="str">
        <f>IFERROR(__xludf.DUMMYFUNCTION("""COMPUTED_VALUE"""),"An empirical simulation-based study of real-time speech translation for multilingual global project teams")</f>
        <v>An empirical simulation-based study of real-time speech translation for multilingual global project teams</v>
      </c>
      <c r="F1140" s="7" t="str">
        <f>IFERROR(__xludf.DUMMYFUNCTION("""COMPUTED_VALUE"""),"ESEM")</f>
        <v>ESEM</v>
      </c>
      <c r="G1140" s="7" t="str">
        <f>IFERROR(__xludf.DUMMYFUNCTION("""COMPUTED_VALUE"""),"Context: Real-time speech translation technology is today available but still lacks a complete understanding of how such technology may affect communication in global software projects. Goal: To investigate the adoption of combining speech recognition and"&amp;" machine translation in order to overcome language barriers among stakeholders who are remotely negotiating software requirements. Method: We performed an empirical simulation-based study including: Google Web Speech API and Google Translate service, two "&amp;"groups of four subjects, speaking Italian and Brazilian Portuguese, and a test set of 60 technical and non-technical utterances. Results: Our findings revealed that, overall: (i) a satisfactory accuracy in terms of speech recognition was achieved, althoug"&amp;"h significantly affected by speaker and utterance differences; (ii) adequate translations tend to follow accurate transcripts, meaning that speech recognition is the most critical part for speech translation technology. Conclusions: Results provide a posi"&amp;"tive albeit initial evidence towards the possibility to use speech translation technologies to help globally distributed team members to communicate in their native languages. © 2014 ACM.")</f>
        <v>Context: Real-time speech translation technology is today available but still lacks a complete understanding of how such technology may affect communication in global software projects. Goal: To investigate the adoption of combining speech recognition and machine translation in order to overcome language barriers among stakeholders who are remotely negotiating software requirements. Method: We performed an empirical simulation-based study including: Google Web Speech API and Google Translate service, two groups of four subjects, speaking Italian and Brazilian Portuguese, and a test set of 60 technical and non-technical utterances. Results: Our findings revealed that, overall: (i) a satisfactory accuracy in terms of speech recognition was achieved, although significantly affected by speaker and utterance differences; (ii) adequate translations tend to follow accurate transcripts, meaning that speech recognition is the most critical part for speech translation technology. Conclusions: Results provide a positive albeit initial evidence towards the possibility to use speech translation technologies to help globally distributed team members to communicate in their native languages. © 2014 ACM.</v>
      </c>
      <c r="H1140" s="7" t="str">
        <f>IFERROR(__xludf.DUMMYFUNCTION("""COMPUTED_VALUE"""),"controlled experiment; global software engineering; machine translation; requirements meetings")</f>
        <v>controlled experiment; global software engineering; machine translation; requirements meetings</v>
      </c>
      <c r="I1140" s="10" t="b">
        <v>0</v>
      </c>
      <c r="J1140" s="10" t="b">
        <v>0</v>
      </c>
      <c r="K1140" s="10" t="b">
        <v>0</v>
      </c>
      <c r="L1140" s="10" t="b">
        <v>0</v>
      </c>
      <c r="M1140" s="10" t="b">
        <v>0</v>
      </c>
      <c r="N1140" s="10" t="b">
        <v>0</v>
      </c>
      <c r="O1140" s="11" t="b">
        <f t="shared" si="1"/>
        <v>0</v>
      </c>
      <c r="P1140" s="16" t="b">
        <v>0</v>
      </c>
      <c r="Q1140" s="7"/>
    </row>
    <row r="1141">
      <c r="A1141" s="5" t="b">
        <v>1</v>
      </c>
      <c r="B1141" s="5" t="s">
        <v>1190</v>
      </c>
      <c r="C1141" s="7" t="str">
        <f>IFERROR(__xludf.DUMMYFUNCTION("""COMPUTED_VALUE"""),"10.1145/3382494.3410674")</f>
        <v>10.1145/3382494.3410674</v>
      </c>
      <c r="D1141" s="7" t="str">
        <f>IFERROR(__xludf.DUMMYFUNCTION("""COMPUTED_VALUE"""),"Meng Y.; Gay G.")</f>
        <v>Meng Y.; Gay G.</v>
      </c>
      <c r="E1141" s="7" t="str">
        <f>IFERROR(__xludf.DUMMYFUNCTION("""COMPUTED_VALUE"""),"Understanding the impact of solver choice in model-based test generation")</f>
        <v>Understanding the impact of solver choice in model-based test generation</v>
      </c>
      <c r="F1141" s="7" t="str">
        <f>IFERROR(__xludf.DUMMYFUNCTION("""COMPUTED_VALUE"""),"ESEM")</f>
        <v>ESEM</v>
      </c>
      <c r="G1141" s="7" t="str">
        <f>IFERROR(__xludf.DUMMYFUNCTION("""COMPUTED_VALUE"""),"Background: In model-based test generation, SMT solvers explore the state-space of the model in search of violations of specified properties. If the solver finds that a predicate can be violated, it produces a partial test specification demonstrating the "&amp;"violation. Aims: The choice of solvers is important, as each may produce differing counterexamples.We aim to understand how solver choice impacts the effectiveness of generated test suites at finding faults. Method: We have performed experiments examining"&amp;" the impact of solver choice across multiple dimensions, examining the ability to attain goal satisfaction and fault detection when satisfaction is achieved-varying the source of test goals, data types of model input, and test oracle. Results: The results"&amp;" of our experiment show that solvers vary in their ability to produce counterexamples, and-for models where all solvers achieve goal satisfaction-in the resulting fault detection of the generated test suites. The choice of solver has an impact on the resu"&amp;"lting test suite, regardless of the oracle, model structure, or source of testing goals. Conclusions: The results of this study identify factors that impact fault-detection effectiveness, and advice that could improve future approaches to model-based test"&amp;" generation. © 2020 IEEE Computer Society. All rights reserved.")</f>
        <v>Background: In model-based test generation, SMT solvers explore the state-space of the model in search of violations of specified properties. If the solver finds that a predicate can be violated, it produces a partial test specification demonstrating the violation. Aims: The choice of solvers is important, as each may produce differing counterexamples.We aim to understand how solver choice impacts the effectiveness of generated test suites at finding faults. Method: We have performed experiments examining the impact of solver choice across multiple dimensions, examining the ability to attain goal satisfaction and fault detection when satisfaction is achieved-varying the source of test goals, data types of model input, and test oracle. Results: The results of our experiment show that solvers vary in their ability to produce counterexamples, and-for models where all solvers achieve goal satisfaction-in the resulting fault detection of the generated test suites. The choice of solver has an impact on the resulting test suite, regardless of the oracle, model structure, or source of testing goals. Conclusions: The results of this study identify factors that impact fault-detection effectiveness, and advice that could improve future approaches to model-based test generation. © 2020 IEEE Computer Society. All rights reserved.</v>
      </c>
      <c r="H1141" s="7" t="str">
        <f>IFERROR(__xludf.DUMMYFUNCTION("""COMPUTED_VALUE"""),"Model-Based Test Generation; Model-Driven Development; Satisfiability Modulo Theories")</f>
        <v>Model-Based Test Generation; Model-Driven Development; Satisfiability Modulo Theories</v>
      </c>
      <c r="I1141" s="10" t="b">
        <v>0</v>
      </c>
      <c r="J1141" s="10" t="b">
        <v>0</v>
      </c>
      <c r="K1141" s="10" t="b">
        <v>0</v>
      </c>
      <c r="L1141" s="10" t="b">
        <v>0</v>
      </c>
      <c r="M1141" s="10" t="b">
        <v>0</v>
      </c>
      <c r="N1141" s="10" t="b">
        <v>0</v>
      </c>
      <c r="O1141" s="11" t="b">
        <f t="shared" si="1"/>
        <v>0</v>
      </c>
      <c r="P1141" s="16" t="b">
        <v>0</v>
      </c>
      <c r="Q1141" s="7"/>
    </row>
    <row r="1142">
      <c r="A1142" s="5" t="b">
        <v>1</v>
      </c>
      <c r="B1142" s="5" t="s">
        <v>1191</v>
      </c>
      <c r="C1142" s="7" t="str">
        <f>IFERROR(__xludf.DUMMYFUNCTION("""COMPUTED_VALUE"""),"10.1145/2652524.2652568")</f>
        <v>10.1145/2652524.2652568</v>
      </c>
      <c r="D1142" s="7" t="str">
        <f>IFERROR(__xludf.DUMMYFUNCTION("""COMPUTED_VALUE"""),"Biffl S.; Kalinowski M.; Ekaputra F.; Neto A.A.; Conte T.; Winkler D.")</f>
        <v>Biffl S.; Kalinowski M.; Ekaputra F.; Neto A.A.; Conte T.; Winkler D.</v>
      </c>
      <c r="E1142" s="7" t="str">
        <f>IFERROR(__xludf.DUMMYFUNCTION("""COMPUTED_VALUE"""),"Towards a semantic knowledge base on threats to validity and control actions in controlled experiments")</f>
        <v>Towards a semantic knowledge base on threats to validity and control actions in controlled experiments</v>
      </c>
      <c r="F1142" s="7" t="str">
        <f>IFERROR(__xludf.DUMMYFUNCTION("""COMPUTED_VALUE"""),"ESEM")</f>
        <v>ESEM</v>
      </c>
      <c r="G1142" s="7" t="str">
        <f>IFERROR(__xludf.DUMMYFUNCTION("""COMPUTED_VALUE"""),"[Context] Experiment planners need to be aware of relevant Threats to Validity (TTVs), so they can devise effective control actions or accept the risk. [Objective] The aim of this paper is to introduce a TTV knowledge base (KB) that supports experiment pl"&amp;"anners in identifying relevant TTVs in their research context and actions to control these TTVs. [Method] We identified requirements, designed and populated a TTV KB with data extracted during a systematic review: 63 TTVs and 149 control actions from 206 "&amp;"peer-reviewed published software engineering experiments. We conducted an initial proof of concept on the feasibility of using the TTV KB and analyzed its content. [Results] The proof of concept and content analysis provided indications that experiment pl"&amp;"anners can benefit from an extensible TTV KB for identifying relevant TTVs and control actions in their specific context. [Conclusions] The TTV KB should be further evaluated and evolved in a variety of software engineering contexts. Copyright 2014 ACM.")</f>
        <v>[Context] Experiment planners need to be aware of relevant Threats to Validity (TTVs), so they can devise effective control actions or accept the risk. [Objective] The aim of this paper is to introduce a TTV knowledge base (KB) that supports experiment planners in identifying relevant TTVs in their research context and actions to control these TTVs. [Method] We identified requirements, designed and populated a TTV KB with data extracted during a systematic review: 63 TTVs and 149 control actions from 206 peer-reviewed published software engineering experiments. We conducted an initial proof of concept on the feasibility of using the TTV KB and analyzed its content. [Results] The proof of concept and content analysis provided indications that experiment planners can benefit from an extensible TTV KB for identifying relevant TTVs and control actions in their specific context. [Conclusions] The TTV KB should be further evaluated and evolved in a variety of software engineering contexts. Copyright 2014 ACM.</v>
      </c>
      <c r="H1142" s="7" t="str">
        <f>IFERROR(__xludf.DUMMYFUNCTION("""COMPUTED_VALUE"""),"body of knowledge; controlled experiment; knowledge engineering; systematic review; threats to validity")</f>
        <v>body of knowledge; controlled experiment; knowledge engineering; systematic review; threats to validity</v>
      </c>
      <c r="I1142" s="10" t="b">
        <v>0</v>
      </c>
      <c r="J1142" s="10" t="b">
        <v>0</v>
      </c>
      <c r="K1142" s="10" t="b">
        <v>0</v>
      </c>
      <c r="L1142" s="10" t="b">
        <v>0</v>
      </c>
      <c r="M1142" s="10" t="b">
        <v>0</v>
      </c>
      <c r="N1142" s="10" t="b">
        <v>0</v>
      </c>
      <c r="O1142" s="11" t="b">
        <f t="shared" si="1"/>
        <v>0</v>
      </c>
      <c r="P1142" s="16" t="b">
        <v>0</v>
      </c>
      <c r="Q1142" s="7"/>
    </row>
    <row r="1143">
      <c r="A1143" s="5" t="b">
        <v>1</v>
      </c>
      <c r="B1143" s="5" t="s">
        <v>1192</v>
      </c>
      <c r="C1143" s="7" t="str">
        <f>IFERROR(__xludf.DUMMYFUNCTION("""COMPUTED_VALUE"""),"10.1145/2372251.2372300")</f>
        <v>10.1145/2372251.2372300</v>
      </c>
      <c r="D1143" s="7" t="str">
        <f>IFERROR(__xludf.DUMMYFUNCTION("""COMPUTED_VALUE"""),"Benestad H.C.; Hannay J.E.")</f>
        <v>Benestad H.C.; Hannay J.E.</v>
      </c>
      <c r="E1143" s="7" t="str">
        <f>IFERROR(__xludf.DUMMYFUNCTION("""COMPUTED_VALUE"""),"Does the prioritization technique affect stakeholders' selection of essential software product features?")</f>
        <v>Does the prioritization technique affect stakeholders' selection of essential software product features?</v>
      </c>
      <c r="F1143" s="7" t="str">
        <f>IFERROR(__xludf.DUMMYFUNCTION("""COMPUTED_VALUE"""),"ESEM")</f>
        <v>ESEM</v>
      </c>
      <c r="G1143" s="7" t="str">
        <f>IFERROR(__xludf.DUMMYFUNCTION("""COMPUTED_VALUE"""),"Context: To select the essential, non-negotiable product features is a key skill for stakeholders in software projects. Such selection relies on human judgment, possibly supported by structured prioritization techniques and tools. Goal: Our goal was to in"&amp;"vestigate whether certain attributes of prioritization techniques affect stakeholders' threshold for judging product features as essential. The four investigated techniques represent four combinations of granularity (low, high) and cognitive support (low,"&amp;" high). Method: To control for robustness and masking effects when investigating in the field, we conducted both an artificial experiment and a field experiment using the same prioritization techniques. In the artificial experiment, 94 subjects in four tr"&amp;"eatment groups indicated the features (from a list of 16) essential when buying a new cell phone. In the field experiment, 44 domain experts indicated the software product features that were essential for the fulfillment of the project's vision. The effec"&amp;"ts of granularity and cognitive support on the number of essential ratings were analyzed and compared between the experiments. Result : With lower granularity, significantly more features were rated as essential. The effect was large in the general experi"&amp;"ment and extreme in the field experiment. Added cognitive support had medium effect, but worked in opposite directions in the two experiments, and was not statistically significant in the field experiment. Implications: Software projects should avoid taki"&amp;"ng stakeholders' judgments of essentiality at face value. Practices and tools should be designed to counteract biases and to support the conscious knowledge-based elements of prioritizing. Copyright 2012 ACM.")</f>
        <v>Context: To select the essential, non-negotiable product features is a key skill for stakeholders in software projects. Such selection relies on human judgment, possibly supported by structured prioritization techniques and tools. Goal: Our goal was to investigate whether certain attributes of prioritization techniques affect stakeholders' threshold for judging product features as essential. The four investigated techniques represent four combinations of granularity (low, high) and cognitive support (low, high). Method: To control for robustness and masking effects when investigating in the field, we conducted both an artificial experiment and a field experiment using the same prioritization techniques. In the artificial experiment, 94 subjects in four treatment groups indicated the features (from a list of 16) essential when buying a new cell phone. In the field experiment, 44 domain experts indicated the software product features that were essential for the fulfillment of the project's vision. The effects of granularity and cognitive support on the number of essential ratings were analyzed and compared between the experiments. Result : With lower granularity, significantly more features were rated as essential. The effect was large in the general experiment and extreme in the field experiment. Added cognitive support had medium effect, but worked in opposite directions in the two experiments, and was not statistically significant in the field experiment. Implications: Software projects should avoid taking stakeholders' judgments of essentiality at face value. Practices and tools should be designed to counteract biases and to support the conscious knowledge-based elements of prioritizing. Copyright 2012 ACM.</v>
      </c>
      <c r="H1143" s="7" t="str">
        <f>IFERROR(__xludf.DUMMYFUNCTION("""COMPUTED_VALUE"""),"Essential features; Field experiment; Prioritization techniques; Requirements; Robustness; Stakeholders")</f>
        <v>Essential features; Field experiment; Prioritization techniques; Requirements; Robustness; Stakeholders</v>
      </c>
      <c r="I1143" s="9" t="b">
        <v>1</v>
      </c>
      <c r="J1143" s="9" t="b">
        <v>1</v>
      </c>
      <c r="K1143" s="9" t="b">
        <v>1</v>
      </c>
      <c r="L1143" s="10" t="b">
        <v>0</v>
      </c>
      <c r="M1143" s="10" t="b">
        <v>0</v>
      </c>
      <c r="N1143" s="10" t="b">
        <v>0</v>
      </c>
      <c r="O1143" s="11" t="b">
        <f t="shared" si="1"/>
        <v>1</v>
      </c>
      <c r="P1143" s="16" t="b">
        <v>0</v>
      </c>
      <c r="Q1143" s="7"/>
    </row>
    <row r="1144">
      <c r="A1144" s="5" t="b">
        <v>1</v>
      </c>
      <c r="B1144" s="5" t="s">
        <v>1193</v>
      </c>
      <c r="C1144" s="7" t="str">
        <f>IFERROR(__xludf.DUMMYFUNCTION("""COMPUTED_VALUE"""),"10.1109/ESEM.2017.69")</f>
        <v>10.1109/ESEM.2017.69</v>
      </c>
      <c r="D1144" s="7" t="str">
        <f>IFERROR(__xludf.DUMMYFUNCTION("""COMPUTED_VALUE"""),"Liaskos S.; Ronse A.; Zhian M.")</f>
        <v>Liaskos S.; Ronse A.; Zhian M.</v>
      </c>
      <c r="E1144" s="7" t="str">
        <f>IFERROR(__xludf.DUMMYFUNCTION("""COMPUTED_VALUE"""),"Assessing the Intuitiveness of Qualitative Contribution Relationships in Goal Models: An Exploratory Experiment")</f>
        <v>Assessing the Intuitiveness of Qualitative Contribution Relationships in Goal Models: An Exploratory Experiment</v>
      </c>
      <c r="F1144" s="7" t="str">
        <f>IFERROR(__xludf.DUMMYFUNCTION("""COMPUTED_VALUE"""),"ESEM")</f>
        <v>ESEM</v>
      </c>
      <c r="G1144" s="7" t="str">
        <f>IFERROR(__xludf.DUMMYFUNCTION("""COMPUTED_VALUE"""),"[Background]: Developing conceptual models is an integral part of the requirements engineering (RE) process. Goal models are requirements engineering conceptual models that allow diagrammatic representation of stakeholder intentions and how they affect ea"&amp;"ch other. A specific goal modeling language construct, the contribution of goal satisfaction of one goal to another, plays a central role in supporting decision problem exploration within goal models. We report on an experiment whose aim was to measure th"&amp;"e user perception of the meaning of the aforementioned modeling construct. A set of contributions under different scenarios were given to experimental participants who were asked what they thought the effect of the contribution was. We found that particip"&amp;"ants are not always in agreement either within themselves or with the designers' intentions on the meaning of the language. The results call for possible adaptations to the way goal modeling languages are used. © 2017 IEEE.")</f>
        <v>[Background]: Developing conceptual models is an integral part of the requirements engineering (RE) process. Goal models are requirements engineering conceptual models that allow diagrammatic representation of stakeholder intentions and how they affect each other. A specific goal modeling language construct, the contribution of goal satisfaction of one goal to another, plays a central role in supporting decision problem exploration within goal models. We report on an experiment whose aim was to measure the user perception of the meaning of the aforementioned modeling construct. A set of contributions under different scenarios were given to experimental participants who were asked what they thought the effect of the contribution was. We found that participants are not always in agreement either within themselves or with the designers' intentions on the meaning of the language. The results call for possible adaptations to the way goal modeling languages are used. © 2017 IEEE.</v>
      </c>
      <c r="H1144" s="7" t="str">
        <f>IFERROR(__xludf.DUMMYFUNCTION("""COMPUTED_VALUE"""),"Conceptual modeling; goal models; model comprehension; requirements engineering")</f>
        <v>Conceptual modeling; goal models; model comprehension; requirements engineering</v>
      </c>
      <c r="I1144" s="9" t="b">
        <v>1</v>
      </c>
      <c r="J1144" s="9" t="b">
        <v>1</v>
      </c>
      <c r="K1144" s="9" t="b">
        <v>1</v>
      </c>
      <c r="L1144" s="10" t="b">
        <v>0</v>
      </c>
      <c r="M1144" s="10" t="b">
        <v>0</v>
      </c>
      <c r="N1144" s="10" t="b">
        <v>0</v>
      </c>
      <c r="O1144" s="11" t="b">
        <f t="shared" si="1"/>
        <v>1</v>
      </c>
      <c r="P1144" s="16" t="b">
        <v>0</v>
      </c>
      <c r="Q1144" s="7"/>
    </row>
    <row r="1145">
      <c r="A1145" s="5" t="b">
        <v>1</v>
      </c>
      <c r="B1145" s="5" t="s">
        <v>1194</v>
      </c>
      <c r="C1145" s="7" t="str">
        <f>IFERROR(__xludf.DUMMYFUNCTION("""COMPUTED_VALUE"""),"10.1109/ESEM.2017.66")</f>
        <v>10.1109/ESEM.2017.66</v>
      </c>
      <c r="D1145" s="7" t="str">
        <f>IFERROR(__xludf.DUMMYFUNCTION("""COMPUTED_VALUE"""),"Liaskos S.; Dundjerovic T.; Alothman N.")</f>
        <v>Liaskos S.; Dundjerovic T.; Alothman N.</v>
      </c>
      <c r="E1145" s="7" t="str">
        <f>IFERROR(__xludf.DUMMYFUNCTION("""COMPUTED_VALUE"""),"Beyond Boxes and Lines: Creating and Empirically Evaluating Alternative Visualizations for Requirements Conceptual Models")</f>
        <v>Beyond Boxes and Lines: Creating and Empirically Evaluating Alternative Visualizations for Requirements Conceptual Models</v>
      </c>
      <c r="F1145" s="7" t="str">
        <f>IFERROR(__xludf.DUMMYFUNCTION("""COMPUTED_VALUE"""),"ESEM")</f>
        <v>ESEM</v>
      </c>
      <c r="G1145" s="7" t="str">
        <f>IFERROR(__xludf.DUMMYFUNCTION("""COMPUTED_VALUE"""),"[Background]: Conceptual modeling languages have been widely studied in requirements engineering as tools for capturing, representing and reasoning about domain problems. One of these languages, goal models, has been proposed for representing the structur"&amp;"e of stakeholder intentions. Like most other conceptual modeling languages, goal models are visualized using box-and-line diagrammatic notations. But is this box-and-line approach the best way for visualizing goals and relationships thereof? Through a ser"&amp;"ies of experimental studies we have recently endeavored to find out. In this presentation, we describe features of our alternative visualization proposals and present experiences gained from our attempts to empirically evaluate them. Central to what we le"&amp;"arned is the usefulness of distinguishing between language visualization and intended language semantics and of measuring the degree by which the former serves correct recognition of the latter. Our experience from these studies could be useful for those "&amp;"interested in experimentally-driven conceptual modeling language design. © 2017 IEEE.")</f>
        <v>[Background]: Conceptual modeling languages have been widely studied in requirements engineering as tools for capturing, representing and reasoning about domain problems. One of these languages, goal models, has been proposed for representing the structure of stakeholder intentions. Like most other conceptual modeling languages, goal models are visualized using box-and-line diagrammatic notations. But is this box-and-line approach the best way for visualizing goals and relationships thereof? Through a series of experimental studies we have recently endeavored to find out. In this presentation, we describe features of our alternative visualization proposals and present experiences gained from our attempts to empirically evaluate them. Central to what we learned is the usefulness of distinguishing between language visualization and intended language semantics and of measuring the degree by which the former serves correct recognition of the latter. Our experience from these studies could be useful for those interested in experimentally-driven conceptual modeling language design. © 2017 IEEE.</v>
      </c>
      <c r="H1145" s="7" t="str">
        <f>IFERROR(__xludf.DUMMYFUNCTION("""COMPUTED_VALUE"""),"Conceptual modeling; empirical methods; goal models; model comprehension; requirements engineering")</f>
        <v>Conceptual modeling; empirical methods; goal models; model comprehension; requirements engineering</v>
      </c>
      <c r="I1145" s="10" t="b">
        <v>0</v>
      </c>
      <c r="J1145" s="10" t="b">
        <v>0</v>
      </c>
      <c r="K1145" s="10" t="b">
        <v>0</v>
      </c>
      <c r="L1145" s="10" t="b">
        <v>0</v>
      </c>
      <c r="M1145" s="10" t="b">
        <v>0</v>
      </c>
      <c r="N1145" s="10" t="b">
        <v>0</v>
      </c>
      <c r="O1145" s="11" t="b">
        <f t="shared" si="1"/>
        <v>0</v>
      </c>
      <c r="P1145" s="16" t="b">
        <v>0</v>
      </c>
      <c r="Q1145" s="7"/>
    </row>
    <row r="1146">
      <c r="A1146" s="5" t="b">
        <v>1</v>
      </c>
      <c r="B1146" s="5" t="s">
        <v>1195</v>
      </c>
      <c r="C1146" s="7" t="str">
        <f>IFERROR(__xludf.DUMMYFUNCTION("""COMPUTED_VALUE"""),"10.1109/ESEM.2015.7321195")</f>
        <v>10.1109/ESEM.2015.7321195</v>
      </c>
      <c r="D1146" s="7" t="str">
        <f>IFERROR(__xludf.DUMMYFUNCTION("""COMPUTED_VALUE"""),"Mund J.; Méndez Fernández D.; Femmer H.; Eckhardt J.")</f>
        <v>Mund J.; Méndez Fernández D.; Femmer H.; Eckhardt J.</v>
      </c>
      <c r="E1146" s="7" t="str">
        <f>IFERROR(__xludf.DUMMYFUNCTION("""COMPUTED_VALUE"""),"Does Quality of Requirements Specifications Matter? Combined Results of Two Empirical Studies")</f>
        <v>Does Quality of Requirements Specifications Matter? Combined Results of Two Empirical Studies</v>
      </c>
      <c r="F1146" s="7" t="str">
        <f>IFERROR(__xludf.DUMMYFUNCTION("""COMPUTED_VALUE"""),"ESEM")</f>
        <v>ESEM</v>
      </c>
      <c r="G1146" s="7" t="str">
        <f>IFERROR(__xludf.DUMMYFUNCTION("""COMPUTED_VALUE"""),"[Background] Requirements Engineering is crucial for project success, and to this end, many measures for quality assurance of the software requirements specification (SRS) have been proposed. [Goal] However, we still need an empirical understanding on the"&amp;" extent to which SRS are created and used in practice, as well as the degree to which the quality of an SRS matters to subsequent development activities. [Method] We studied the relevance of SRS by relying on survey research and explored the impact of qua"&amp;"lity defects in SRS by relying on a controlled experiment. [Results] Our results suggest that the relevance of SRS quality depends both on particular project characteristics and what is considered as a quality defect; for instance, the domain of safety cr"&amp;"itical systems seems to motivate for an intense usage of SRS as a means for communication whereas defects hampering the pragmatic quality do not seem to be relevant as initially thought. [Conclusion] Efficient and effective quality assurance measures must"&amp;" be specific for carefully characterized contexts and carefully select defect classes. © 2015 IEEE.")</f>
        <v>[Background] Requirements Engineering is crucial for project success, and to this end, many measures for quality assurance of the software requirements specification (SRS) have been proposed. [Goal] However, we still need an empirical understanding on the extent to which SRS are created and used in practice, as well as the degree to which the quality of an SRS matters to subsequent development activities. [Method] We studied the relevance of SRS by relying on survey research and explored the impact of quality defects in SRS by relying on a controlled experiment. [Results] Our results suggest that the relevance of SRS quality depends both on particular project characteristics and what is considered as a quality defect; for instance, the domain of safety critical systems seems to motivate for an intense usage of SRS as a means for communication whereas defects hampering the pragmatic quality do not seem to be relevant as initially thought. [Conclusion] Efficient and effective quality assurance measures must be specific for carefully characterized contexts and carefully select defect classes. © 2015 IEEE.</v>
      </c>
      <c r="H1146" s="7" t="str">
        <f>IFERROR(__xludf.DUMMYFUNCTION("""COMPUTED_VALUE"""),"Conferences; Correlation; Documentation; Quality assurance; Requirements engineering; Safety; Stakeholders")</f>
        <v>Conferences; Correlation; Documentation; Quality assurance; Requirements engineering; Safety; Stakeholders</v>
      </c>
      <c r="I1146" s="10" t="b">
        <v>0</v>
      </c>
      <c r="J1146" s="10" t="b">
        <v>0</v>
      </c>
      <c r="K1146" s="10" t="b">
        <v>0</v>
      </c>
      <c r="L1146" s="10" t="b">
        <v>0</v>
      </c>
      <c r="M1146" s="10" t="b">
        <v>0</v>
      </c>
      <c r="N1146" s="10" t="b">
        <v>0</v>
      </c>
      <c r="O1146" s="11" t="b">
        <f t="shared" si="1"/>
        <v>0</v>
      </c>
      <c r="P1146" s="16" t="b">
        <v>0</v>
      </c>
      <c r="Q1146" s="7"/>
    </row>
    <row r="1147">
      <c r="A1147" s="5" t="b">
        <v>1</v>
      </c>
      <c r="B1147" s="5" t="s">
        <v>1196</v>
      </c>
      <c r="C1147" s="7" t="str">
        <f>IFERROR(__xludf.DUMMYFUNCTION("""COMPUTED_VALUE"""),"10.1109/ESEM.2009.5316004")</f>
        <v>10.1109/ESEM.2009.5316004</v>
      </c>
      <c r="D1147" s="7" t="str">
        <f>IFERROR(__xludf.DUMMYFUNCTION("""COMPUTED_VALUE"""),"Abrahão S.; Insfran E.; Gravino C.; Scanniello G.")</f>
        <v>Abrahão S.; Insfran E.; Gravino C.; Scanniello G.</v>
      </c>
      <c r="E1147" s="7" t="str">
        <f>IFERROR(__xludf.DUMMYFUNCTION("""COMPUTED_VALUE"""),"On the effectiveness of dynamic modeling in UML: Results from an external replication")</f>
        <v>On the effectiveness of dynamic modeling in UML: Results from an external replication</v>
      </c>
      <c r="F1147" s="7" t="str">
        <f>IFERROR(__xludf.DUMMYFUNCTION("""COMPUTED_VALUE"""),"ESEM")</f>
        <v>ESEM</v>
      </c>
      <c r="G1147" s="7" t="str">
        <f>IFERROR(__xludf.DUMMYFUNCTION("""COMPUTED_VALUE"""),"This paper describes the results of an external replication of an experiment for assessing whether the use of dynamic modeling influences the comprehension of software requirements. The results of the original experiment conducted in Italy did not confirm"&amp;" that there was a significant difference in the comprehension of software requirements when dynamic modeling is used. The goal of the replication was therefore to verify these findings with a group of more experienced students at the Universidad Politécni"&amp;"ca de Valencia (UPV) in Spain. The results shows that the use of dynamic modeling does significantly improve the comprehension of software requirements, thus providing evidence that dynamic modeling facilitates the interpretation and comprehension of requ"&amp;"irements. © 2009 IEEE.")</f>
        <v>This paper describes the results of an external replication of an experiment for assessing whether the use of dynamic modeling influences the comprehension of software requirements. The results of the original experiment conducted in Italy did not confirm that there was a significant difference in the comprehension of software requirements when dynamic modeling is used. The goal of the replication was therefore to verify these findings with a group of more experienced students at the Universidad Politécnica de Valencia (UPV) in Spain. The results shows that the use of dynamic modeling does significantly improve the comprehension of software requirements, thus providing evidence that dynamic modeling facilitates the interpretation and comprehension of requirements. © 2009 IEEE.</v>
      </c>
      <c r="H1147" s="7"/>
      <c r="I1147" s="9" t="b">
        <v>1</v>
      </c>
      <c r="J1147" s="9" t="b">
        <v>1</v>
      </c>
      <c r="K1147" s="9" t="b">
        <v>1</v>
      </c>
      <c r="L1147" s="10" t="b">
        <v>0</v>
      </c>
      <c r="M1147" s="10" t="b">
        <v>0</v>
      </c>
      <c r="N1147" s="10" t="b">
        <v>0</v>
      </c>
      <c r="O1147" s="11" t="b">
        <f t="shared" si="1"/>
        <v>1</v>
      </c>
      <c r="P1147" s="16" t="b">
        <v>0</v>
      </c>
      <c r="Q1147" s="7"/>
    </row>
    <row r="1148">
      <c r="A1148" s="5" t="b">
        <v>1</v>
      </c>
      <c r="B1148" s="5" t="s">
        <v>1197</v>
      </c>
      <c r="C1148" s="7" t="str">
        <f>IFERROR(__xludf.DUMMYFUNCTION("""COMPUTED_VALUE"""),"10.1109/ESEM.2007.5")</f>
        <v>10.1109/ESEM.2007.5</v>
      </c>
      <c r="D1148" s="7" t="str">
        <f>IFERROR(__xludf.DUMMYFUNCTION("""COMPUTED_VALUE"""),"Genero M.; Piattini M.; Abrahão S.; Insfrán E.; Carsí J.A.; Ramos I.")</f>
        <v>Genero M.; Piattini M.; Abrahão S.; Insfrán E.; Carsí J.A.; Ramos I.</v>
      </c>
      <c r="E1148" s="7" t="str">
        <f>IFERROR(__xludf.DUMMYFUNCTION("""COMPUTED_VALUE"""),"A controlled experiment for selecting transformations based on quality attributes in the context of MDA")</f>
        <v>A controlled experiment for selecting transformations based on quality attributes in the context of MDA</v>
      </c>
      <c r="F1148" s="7" t="str">
        <f>IFERROR(__xludf.DUMMYFUNCTION("""COMPUTED_VALUE"""),"ESEM")</f>
        <v>ESEM</v>
      </c>
      <c r="G1148" s="7" t="str">
        <f>IFERROR(__xludf.DUMMYFUNCTION("""COMPUTED_VALUE"""),"In this paper, we briefly introduce a controlled experiment to investigate the selection of alternative transformation rules through which to obtain UML class diagrams from a Requirements Model [2]. The main goal of this experiment was to determine which "&amp;"of the transformation rules for structural relationships between classes [1]. We focus upon the understandability of UML class diagrams because it is well recognized that if a model is easier to understand it will be easier to maintain, reuse, etc. © 2007"&amp;" IEEE.")</f>
        <v>In this paper, we briefly introduce a controlled experiment to investigate the selection of alternative transformation rules through which to obtain UML class diagrams from a Requirements Model [2]. The main goal of this experiment was to determine which of the transformation rules for structural relationships between classes [1]. We focus upon the understandability of UML class diagrams because it is well recognized that if a model is easier to understand it will be easier to maintain, reuse, etc. © 2007 IEEE.</v>
      </c>
      <c r="H1148" s="7"/>
      <c r="I1148" s="10" t="b">
        <v>0</v>
      </c>
      <c r="J1148" s="9" t="b">
        <v>1</v>
      </c>
      <c r="K1148" s="9" t="b">
        <v>1</v>
      </c>
      <c r="L1148" s="10" t="b">
        <v>0</v>
      </c>
      <c r="M1148" s="9" t="b">
        <v>1</v>
      </c>
      <c r="N1148" s="10" t="b">
        <v>0</v>
      </c>
      <c r="O1148" s="11" t="b">
        <f t="shared" si="1"/>
        <v>0</v>
      </c>
      <c r="P1148" s="12" t="b">
        <v>0</v>
      </c>
      <c r="Q1148" s="13"/>
    </row>
    <row r="1149">
      <c r="A1149" s="5" t="b">
        <v>1</v>
      </c>
      <c r="B1149" s="5" t="s">
        <v>1198</v>
      </c>
      <c r="C1149" s="7" t="str">
        <f>IFERROR(__xludf.DUMMYFUNCTION("""COMPUTED_VALUE"""),"10.1145/1414004.1414021")</f>
        <v>10.1145/1414004.1414021</v>
      </c>
      <c r="D1149" s="7" t="str">
        <f>IFERROR(__xludf.DUMMYFUNCTION("""COMPUTED_VALUE"""),"Lavazza L.A.; Bianco V.D.; Garavaglia C.")</f>
        <v>Lavazza L.A.; Bianco V.D.; Garavaglia C.</v>
      </c>
      <c r="E1149" s="7" t="str">
        <f>IFERROR(__xludf.DUMMYFUNCTION("""COMPUTED_VALUE"""),"Model-based functional size measurement")</f>
        <v>Model-based functional size measurement</v>
      </c>
      <c r="F1149" s="7" t="str">
        <f>IFERROR(__xludf.DUMMYFUNCTION("""COMPUTED_VALUE"""),"ESEM")</f>
        <v>ESEM</v>
      </c>
      <c r="G1149" s="7" t="str">
        <f>IFERROR(__xludf.DUMMYFUNCTION("""COMPUTED_VALUE"""),"Function Point Analysis (FPA) is the most widely used method for measuring the size of software requirements, usually for the purpose of cost estimation. Unfortunately, FPA is affected by several drawbacks: it must be performed by specifically skilled per"&amp;"sonnel, it is expensive, and the resulting measures are subject to high variability. In order to solve -at least partially- these problems, researchers have proposed to base FP counting on UML models. However, models built without having FPA in mind hardl"&amp;"y provide the required information at the proper detail level, so that the measures of the models tend to vary accordingly. On the contrary, building models that are suitable for FPA generally requires additional notations, skills and effort, thus partly "&amp;"spoiling the advantages of the approach. This paper illustrates a technique for building FPA-oriented UML models that do not need to include more information than usually required by the development process, and are easy to measure. As a result, FPA can b"&amp;"e performed in a seamless way, while yielding reliable results. The proposed technique was validated by means of a controlled experiment and a set of pilot applications, which are also briefly described in the paper. Copyright 2008 ACM.")</f>
        <v>Function Point Analysis (FPA) is the most widely used method for measuring the size of software requirements, usually for the purpose of cost estimation. Unfortunately, FPA is affected by several drawbacks: it must be performed by specifically skilled personnel, it is expensive, and the resulting measures are subject to high variability. In order to solve -at least partially- these problems, researchers have proposed to base FP counting on UML models. However, models built without having FPA in mind hardly provide the required information at the proper detail level, so that the measures of the models tend to vary accordingly. On the contrary, building models that are suitable for FPA generally requires additional notations, skills and effort, thus partly spoiling the advantages of the approach. This paper illustrates a technique for building FPA-oriented UML models that do not need to include more information than usually required by the development process, and are easy to measure. As a result, FPA can be performed in a seamless way, while yielding reliable results. The proposed technique was validated by means of a controlled experiment and a set of pilot applications, which are also briefly described in the paper. Copyright 2008 ACM.</v>
      </c>
      <c r="H1149" s="7" t="str">
        <f>IFERROR(__xludf.DUMMYFUNCTION("""COMPUTED_VALUE"""),"Function point analysis; Functional size measurement; Requirements modeling; UML")</f>
        <v>Function point analysis; Functional size measurement; Requirements modeling; UML</v>
      </c>
      <c r="I1149" s="9" t="b">
        <v>1</v>
      </c>
      <c r="J1149" s="9" t="b">
        <v>1</v>
      </c>
      <c r="K1149" s="9" t="b">
        <v>1</v>
      </c>
      <c r="L1149" s="10" t="b">
        <v>0</v>
      </c>
      <c r="M1149" s="10" t="b">
        <v>0</v>
      </c>
      <c r="N1149" s="10" t="b">
        <v>0</v>
      </c>
      <c r="O1149" s="11" t="b">
        <f t="shared" si="1"/>
        <v>1</v>
      </c>
      <c r="P1149" s="16" t="b">
        <v>0</v>
      </c>
      <c r="Q1149" s="7"/>
    </row>
    <row r="1150">
      <c r="A1150" s="5" t="b">
        <v>1</v>
      </c>
      <c r="B1150" s="5" t="s">
        <v>1199</v>
      </c>
      <c r="C1150" s="7" t="str">
        <f>IFERROR(__xludf.DUMMYFUNCTION("""COMPUTED_VALUE"""),"10.1145/2652524.2652554")</f>
        <v>10.1145/2652524.2652554</v>
      </c>
      <c r="D1150" s="7" t="str">
        <f>IFERROR(__xludf.DUMMYFUNCTION("""COMPUTED_VALUE"""),"Femmer H.; Kuera J.; Vetrò A.")</f>
        <v>Femmer H.; Kuera J.; Vetrò A.</v>
      </c>
      <c r="E1150" s="7" t="str">
        <f>IFERROR(__xludf.DUMMYFUNCTION("""COMPUTED_VALUE"""),"On the impact of passive voice requirements on domain modelling")</f>
        <v>On the impact of passive voice requirements on domain modelling</v>
      </c>
      <c r="F1150" s="7" t="str">
        <f>IFERROR(__xludf.DUMMYFUNCTION("""COMPUTED_VALUE"""),"ESEM")</f>
        <v>ESEM</v>
      </c>
      <c r="G1150" s="7" t="str">
        <f>IFERROR(__xludf.DUMMYFUNCTION("""COMPUTED_VALUE"""),"Context: The requirements specification is a central artefact in the software engineering (SE) process, and its quality (might) influence downstream activities like implementation or testing. One quality defect that is often mentioned in standards is the "&amp;"use of passive voice. However, the consequences of this defect are still unclear. Goal: We need to understand whether the use of passive voice in requirements has an influence on other activities in SE. In this work we focus on domain modelling. Method: W"&amp;"e designed an experiment, in which we ask students to draw a domain model from a given set of requirements written in active or passive voice. We compared the completeness of the resulting domain model by counting the number of missing actors, domain obje"&amp;"cts and their associations with respect to a specified solution. Results: While we could not see a difference in the number of missing actors and objects, participants which received passive sentences missed almost twice the associations. Conclusion: Our "&amp;"experiment indicates that, against common knowledge, actors and objects in a requirement can often be understood from the context. However, the study also shows that passive sentences complicate understanding how certain domain concepts are interconnected"&amp;". © 2014 ACM.")</f>
        <v>Context: The requirements specification is a central artefact in the software engineering (SE) process, and its quality (might) influence downstream activities like implementation or testing. One quality defect that is often mentioned in standards is the use of passive voice. However, the consequences of this defect are still unclear. Goal: We need to understand whether the use of passive voice in requirements has an influence on other activities in SE. In this work we focus on domain modelling. Method: We designed an experiment, in which we ask students to draw a domain model from a given set of requirements written in active or passive voice. We compared the completeness of the resulting domain model by counting the number of missing actors, domain objects and their associations with respect to a specified solution. Results: While we could not see a difference in the number of missing actors and objects, participants which received passive sentences missed almost twice the associations. Conclusion: Our experiment indicates that, against common knowledge, actors and objects in a requirement can often be understood from the context. However, the study also shows that passive sentences complicate understanding how certain domain concepts are interconnected. © 2014 ACM.</v>
      </c>
      <c r="H1150" s="7" t="str">
        <f>IFERROR(__xludf.DUMMYFUNCTION("""COMPUTED_VALUE"""),"analytical quality assurance; experimentation; natural language; quality assurance; requirements engineering")</f>
        <v>analytical quality assurance; experimentation; natural language; quality assurance; requirements engineering</v>
      </c>
      <c r="I1150" s="9" t="b">
        <v>1</v>
      </c>
      <c r="J1150" s="9" t="b">
        <v>1</v>
      </c>
      <c r="K1150" s="9" t="b">
        <v>1</v>
      </c>
      <c r="L1150" s="10" t="b">
        <v>0</v>
      </c>
      <c r="M1150" s="10" t="b">
        <v>0</v>
      </c>
      <c r="N1150" s="10" t="b">
        <v>0</v>
      </c>
      <c r="O1150" s="11" t="b">
        <f t="shared" si="1"/>
        <v>1</v>
      </c>
      <c r="P1150" s="16" t="b">
        <v>0</v>
      </c>
      <c r="Q1150" s="7"/>
    </row>
    <row r="1151">
      <c r="A1151" s="5" t="b">
        <v>1</v>
      </c>
      <c r="B1151" s="5" t="s">
        <v>1200</v>
      </c>
      <c r="C1151" s="7" t="str">
        <f>IFERROR(__xludf.DUMMYFUNCTION("""COMPUTED_VALUE"""),"10.1109/ESEM.2009.5316026")</f>
        <v>10.1109/ESEM.2009.5316026</v>
      </c>
      <c r="D1151" s="7" t="str">
        <f>IFERROR(__xludf.DUMMYFUNCTION("""COMPUTED_VALUE"""),"Ciolkowski M.")</f>
        <v>Ciolkowski M.</v>
      </c>
      <c r="E1151" s="7" t="str">
        <f>IFERROR(__xludf.DUMMYFUNCTION("""COMPUTED_VALUE"""),"What do we know about perspective-based reading? An approach for quantitative aggregation in software engineering")</f>
        <v>What do we know about perspective-based reading? An approach for quantitative aggregation in software engineering</v>
      </c>
      <c r="F1151" s="7" t="str">
        <f>IFERROR(__xludf.DUMMYFUNCTION("""COMPUTED_VALUE"""),"ESEM")</f>
        <v>ESEM</v>
      </c>
      <c r="G1151" s="7" t="str">
        <f>IFERROR(__xludf.DUMMYFUNCTION("""COMPUTED_VALUE"""),"One of the main challenges in empirical software engineering today lies in the aggregation of evidence. Existing summaries often use qualitative narrative approaches or ad-hoc quantitative methods, such as box plots. With these, information important for "&amp;"decision makers, such as existence and magnitude of a technology's effect, is hard to obtain objectively. Meta-analysis addresses this issue by providing objective quantitative information about a set of studies; however, its usefulness for software engin"&amp;"eering studies suffers from high heterogeneity of the studies and missing information. In this paper, we describe an approach for quantitative aggregation of controlled experiments that reduces these two problems. We demonstrate the approach by aggregatin"&amp;"g available experiments to investigate whether Perspective-Based reading (PBR) improves team effectiveness compared to alternative reading approaches. We then compare the results of our aggregation to previous summaries addressing PBR's team effectiveness"&amp;". Although the findings are similar, our approach is able to provide the required quantitative information objectively. Our aggregation showed that there is no clear positive effect of PBR: Inspection teams using PBR on requirements documents are more eff"&amp;"ective when compared to ad-hoc approaches, but are less effective when compared to checklists. In addition, we found strong indicators of researcher bias. © 2009 IEEE.")</f>
        <v>One of the main challenges in empirical software engineering today lies in the aggregation of evidence. Existing summaries often use qualitative narrative approaches or ad-hoc quantitative methods, such as box plots. With these, information important for decision makers, such as existence and magnitude of a technology's effect, is hard to obtain objectively. Meta-analysis addresses this issue by providing objective quantitative information about a set of studies; however, its usefulness for software engineering studies suffers from high heterogeneity of the studies and missing information. In this paper, we describe an approach for quantitative aggregation of controlled experiments that reduces these two problems. We demonstrate the approach by aggregating available experiments to investigate whether Perspective-Based reading (PBR) improves team effectiveness compared to alternative reading approaches. We then compare the results of our aggregation to previous summaries addressing PBR's team effectiveness. Although the findings are similar, our approach is able to provide the required quantitative information objectively. Our aggregation showed that there is no clear positive effect of PBR: Inspection teams using PBR on requirements documents are more effective when compared to ad-hoc approaches, but are less effective when compared to checklists. In addition, we found strong indicators of researcher bias. © 2009 IEEE.</v>
      </c>
      <c r="H1151" s="7"/>
      <c r="I1151" s="10" t="b">
        <v>0</v>
      </c>
      <c r="J1151" s="10" t="b">
        <v>0</v>
      </c>
      <c r="K1151" s="10" t="b">
        <v>0</v>
      </c>
      <c r="L1151" s="10" t="b">
        <v>0</v>
      </c>
      <c r="M1151" s="10" t="b">
        <v>0</v>
      </c>
      <c r="N1151" s="10" t="b">
        <v>0</v>
      </c>
      <c r="O1151" s="11" t="b">
        <f t="shared" si="1"/>
        <v>0</v>
      </c>
      <c r="P1151" s="16" t="b">
        <v>0</v>
      </c>
      <c r="Q1151" s="7"/>
    </row>
    <row r="1152">
      <c r="A1152" s="5" t="b">
        <v>1</v>
      </c>
      <c r="B1152" s="5" t="s">
        <v>1201</v>
      </c>
      <c r="C1152" s="7" t="str">
        <f>IFERROR(__xludf.DUMMYFUNCTION("""COMPUTED_VALUE"""),"10.1109/ESEM.2007.1")</f>
        <v>10.1109/ESEM.2007.1</v>
      </c>
      <c r="D1152" s="7" t="str">
        <f>IFERROR(__xludf.DUMMYFUNCTION("""COMPUTED_VALUE"""),"Torchiano M.; Ricca F.; Penta M.D.")</f>
        <v>Torchiano M.; Ricca F.; Penta M.D.</v>
      </c>
      <c r="E1152" s="7" t="str">
        <f>IFERROR(__xludf.DUMMYFUNCTION("""COMPUTED_VALUE"""),"""Talking tests"": A preliminary experimental study on fit user acceptance tests")</f>
        <v>"Talking tests": A preliminary experimental study on fit user acceptance tests</v>
      </c>
      <c r="F1152" s="7" t="str">
        <f>IFERROR(__xludf.DUMMYFUNCTION("""COMPUTED_VALUE"""),"ESEM")</f>
        <v>ESEM</v>
      </c>
      <c r="G1152" s="7" t="str">
        <f>IFERROR(__xludf.DUMMYFUNCTION("""COMPUTED_VALUE"""),"This short paper reports a pilot experiment conducted with master students, in which we investigated whether Fit test cases were helpful to clarify change requirements in a maintenance task. © 2007 IEEE.")</f>
        <v>This short paper reports a pilot experiment conducted with master students, in which we investigated whether Fit test cases were helpful to clarify change requirements in a maintenance task. © 2007 IEEE.</v>
      </c>
      <c r="H1152" s="7" t="str">
        <f>IFERROR(__xludf.DUMMYFUNCTION("""COMPUTED_VALUE"""),"Experiment; Fit tables; Fitncssc")</f>
        <v>Experiment; Fit tables; Fitncssc</v>
      </c>
      <c r="I1152" s="9" t="b">
        <v>1</v>
      </c>
      <c r="J1152" s="9" t="b">
        <v>1</v>
      </c>
      <c r="K1152" s="9" t="b">
        <v>1</v>
      </c>
      <c r="L1152" s="10" t="b">
        <v>0</v>
      </c>
      <c r="M1152" s="10" t="b">
        <v>0</v>
      </c>
      <c r="N1152" s="10" t="b">
        <v>0</v>
      </c>
      <c r="O1152" s="11" t="b">
        <f t="shared" si="1"/>
        <v>1</v>
      </c>
      <c r="P1152" s="12" t="b">
        <v>0</v>
      </c>
      <c r="Q1152" s="13"/>
    </row>
    <row r="1153">
      <c r="A1153" s="5" t="b">
        <v>1</v>
      </c>
      <c r="B1153" s="5" t="s">
        <v>1202</v>
      </c>
      <c r="C1153" s="7" t="str">
        <f>IFERROR(__xludf.DUMMYFUNCTION("""COMPUTED_VALUE"""),"10.1109/ESEM.2009.5314229")</f>
        <v>10.1109/ESEM.2009.5314229</v>
      </c>
      <c r="D1153" s="7" t="str">
        <f>IFERROR(__xludf.DUMMYFUNCTION("""COMPUTED_VALUE"""),"Albayrak O.")</f>
        <v>Albayrak O.</v>
      </c>
      <c r="E1153" s="7" t="str">
        <f>IFERROR(__xludf.DUMMYFUNCTION("""COMPUTED_VALUE"""),"An experiment to observe the impact of UML diagrams on the effectiveness of software requirements inspections")</f>
        <v>An experiment to observe the impact of UML diagrams on the effectiveness of software requirements inspections</v>
      </c>
      <c r="F1153" s="7" t="str">
        <f>IFERROR(__xludf.DUMMYFUNCTION("""COMPUTED_VALUE"""),"ESEM")</f>
        <v>ESEM</v>
      </c>
      <c r="G1153" s="7" t="str">
        <f>IFERROR(__xludf.DUMMYFUNCTION("""COMPUTED_VALUE"""),"Software inspections aim to find defects early in the development process and studies have found them to be effective. However, there is almost no data available regarding the impact of UML diagram utilization in software requirements specification docume"&amp;"nts on inspection effectiveness. This paper addresses this issue by investigating whether inclusion of UML diagrams impacts the effectiveness of requirements inspection. We conducted an experiment in an academic environment with 35 subjects to empirically"&amp;" investigate the impact of UML diagram inclusion on requirements inspections' effectiveness and the number of reported defects. The results show that including UML diagrams in requirements specification document significantly impacts the number of reporte"&amp;"d defects, and there is no significant impact on the effectiveness of individual i nspections. © 2009 IEEE.")</f>
        <v>Software inspections aim to find defects early in the development process and studies have found them to be effective. However, there is almost no data available regarding the impact of UML diagram utilization in software requirements specification documents on inspection effectiveness. This paper addresses this issue by investigating whether inclusion of UML diagrams impacts the effectiveness of requirements inspection. We conducted an experiment in an academic environment with 35 subjects to empirically investigate the impact of UML diagram inclusion on requirements inspections' effectiveness and the number of reported defects. The results show that including UML diagrams in requirements specification document significantly impacts the number of reported defects, and there is no significant impact on the effectiveness of individual i nspections. © 2009 IEEE.</v>
      </c>
      <c r="H1153" s="7"/>
      <c r="I1153" s="9" t="b">
        <v>1</v>
      </c>
      <c r="J1153" s="9" t="b">
        <v>1</v>
      </c>
      <c r="K1153" s="10" t="b">
        <v>0</v>
      </c>
      <c r="L1153" s="10" t="b">
        <v>0</v>
      </c>
      <c r="M1153" s="10" t="b">
        <v>0</v>
      </c>
      <c r="N1153" s="10" t="b">
        <v>0</v>
      </c>
      <c r="O1153" s="11" t="b">
        <f t="shared" si="1"/>
        <v>0</v>
      </c>
      <c r="P1153" s="16" t="b">
        <v>0</v>
      </c>
      <c r="Q1153" s="7"/>
    </row>
    <row r="1154">
      <c r="A1154" s="5" t="b">
        <v>1</v>
      </c>
      <c r="B1154" s="5" t="s">
        <v>1203</v>
      </c>
      <c r="C1154" s="7" t="str">
        <f>IFERROR(__xludf.DUMMYFUNCTION("""COMPUTED_VALUE"""),"10.1145/1852786.1852831")</f>
        <v>10.1145/1852786.1852831</v>
      </c>
      <c r="D1154" s="7" t="str">
        <f>IFERROR(__xludf.DUMMYFUNCTION("""COMPUTED_VALUE"""),"Pereira W.M.; Travassos G.H.")</f>
        <v>Pereira W.M.; Travassos G.H.</v>
      </c>
      <c r="E1154" s="7" t="str">
        <f>IFERROR(__xludf.DUMMYFUNCTION("""COMPUTED_VALUE"""),"Towards the conception of scientific workflows for in silico experiments in software engineering")</f>
        <v>Towards the conception of scientific workflows for in silico experiments in software engineering</v>
      </c>
      <c r="F1154" s="7" t="str">
        <f>IFERROR(__xludf.DUMMYFUNCTION("""COMPUTED_VALUE"""),"ESEM")</f>
        <v>ESEM</v>
      </c>
      <c r="G1154" s="7" t="str">
        <f>IFERROR(__xludf.DUMMYFUNCTION("""COMPUTED_VALUE"""),"The evolution of Science has been supported by complex computerized infrastructures with growing interest in simulation based experiments. This trend can also be observed in Software Engineering. Our capacity of acquiring evidences to describe phenomena o"&amp;"f interest in the field allowed the building of in silico models that can virtually replicate feasible software behaviors and improve our capacity of observation. In silico experiments demand additional concerns for its planning. One of them is regarding "&amp;"the scientific workflow conception. This task is not easy and to apply ad-hoc approaches can risky the experiment execution, validity and future replications. Regarding this topic, this paper presents some initial results from our research towards an appr"&amp;"oach to support the conception of scientific workflows for in silico experiments in Software Engineering are presented. © 2010 ACM.")</f>
        <v>The evolution of Science has been supported by complex computerized infrastructures with growing interest in simulation based experiments. This trend can also be observed in Software Engineering. Our capacity of acquiring evidences to describe phenomena of interest in the field allowed the building of in silico models that can virtually replicate feasible software behaviors and improve our capacity of observation. In silico experiments demand additional concerns for its planning. One of them is regarding the scientific workflow conception. This task is not easy and to apply ad-hoc approaches can risky the experiment execution, validity and future replications. Regarding this topic, this paper presents some initial results from our research towards an approach to support the conception of scientific workflows for in silico experiments in Software Engineering are presented. © 2010 ACM.</v>
      </c>
      <c r="H1154" s="7" t="str">
        <f>IFERROR(__xludf.DUMMYFUNCTION("""COMPUTED_VALUE"""),"experimental software engineering; in silico experiments; scientific workflow specification; simulation")</f>
        <v>experimental software engineering; in silico experiments; scientific workflow specification; simulation</v>
      </c>
      <c r="I1154" s="10" t="b">
        <v>0</v>
      </c>
      <c r="J1154" s="10" t="b">
        <v>0</v>
      </c>
      <c r="K1154" s="10" t="b">
        <v>0</v>
      </c>
      <c r="L1154" s="10" t="b">
        <v>0</v>
      </c>
      <c r="M1154" s="10" t="b">
        <v>0</v>
      </c>
      <c r="N1154" s="10" t="b">
        <v>0</v>
      </c>
      <c r="O1154" s="11" t="b">
        <f t="shared" si="1"/>
        <v>0</v>
      </c>
      <c r="P1154" s="16" t="b">
        <v>0</v>
      </c>
      <c r="Q1154" s="7"/>
    </row>
    <row r="1155">
      <c r="A1155" s="5" t="b">
        <v>1</v>
      </c>
      <c r="B1155" s="5" t="s">
        <v>1204</v>
      </c>
      <c r="C1155" s="7" t="str">
        <f>IFERROR(__xludf.DUMMYFUNCTION("""COMPUTED_VALUE"""),"10.1109/ESEM.2019.8870188")</f>
        <v>10.1109/ESEM.2019.8870188</v>
      </c>
      <c r="D1155" s="7" t="str">
        <f>IFERROR(__xludf.DUMMYFUNCTION("""COMPUTED_VALUE"""),"De Oliveira Barros M.; Gonçalves V.P.")</f>
        <v>De Oliveira Barros M.; Gonçalves V.P.</v>
      </c>
      <c r="E1155" s="7" t="str">
        <f>IFERROR(__xludf.DUMMYFUNCTION("""COMPUTED_VALUE"""),"A Function Point Formulation for the Software Release Planning Problem")</f>
        <v>A Function Point Formulation for the Software Release Planning Problem</v>
      </c>
      <c r="F1155" s="7" t="str">
        <f>IFERROR(__xludf.DUMMYFUNCTION("""COMPUTED_VALUE"""),"ESEM")</f>
        <v>ESEM</v>
      </c>
      <c r="G1155" s="7" t="str">
        <f>IFERROR(__xludf.DUMMYFUNCTION("""COMPUTED_VALUE"""),"Background: Function point analysis is frequently used to provide early effort estimations for software development. If the effort is large enough, the software tends to be delivered incrementally, its requirements being partitioned into a set of releases"&amp;". Aims: This work explores the structure of function point analysis to allow deploying more requirements into releases of a software system using the same amount of development effort. To afford these extra requirements, our approach exploits opportunitie"&amp;"s provided by the estimation procedure. Method: An experimental study was organized to compare the approach with the state-of-practice method of FPA-based estimation using data from four real-world projects. Results: Our findings suggest that stakeholder "&amp;"satisfaction, measured as the ratio of delivered to desired requirements, can be increased by 6.5% if data functions are grouped in estimation. Conclusions: We present actionable advice for companies providing or procuring software development services on"&amp;" the form of effort unit contracts. © 2019 IEEE.")</f>
        <v>Background: Function point analysis is frequently used to provide early effort estimations for software development. If the effort is large enough, the software tends to be delivered incrementally, its requirements being partitioned into a set of releases. Aims: This work explores the structure of function point analysis to allow deploying more requirements into releases of a software system using the same amount of development effort. To afford these extra requirements, our approach exploits opportunities provided by the estimation procedure. Method: An experimental study was organized to compare the approach with the state-of-practice method of FPA-based estimation using data from four real-world projects. Results: Our findings suggest that stakeholder satisfaction, measured as the ratio of delivered to desired requirements, can be increased by 6.5% if data functions are grouped in estimation. Conclusions: We present actionable advice for companies providing or procuring software development services on the form of effort unit contracts. © 2019 IEEE.</v>
      </c>
      <c r="H1155" s="7" t="str">
        <f>IFERROR(__xludf.DUMMYFUNCTION("""COMPUTED_VALUE"""),"function points; requirements selection; SBSE.")</f>
        <v>function points; requirements selection; SBSE.</v>
      </c>
      <c r="I1155" s="10" t="b">
        <v>0</v>
      </c>
      <c r="J1155" s="10" t="b">
        <v>0</v>
      </c>
      <c r="K1155" s="10" t="b">
        <v>0</v>
      </c>
      <c r="L1155" s="10" t="b">
        <v>0</v>
      </c>
      <c r="M1155" s="10" t="b">
        <v>0</v>
      </c>
      <c r="N1155" s="10" t="b">
        <v>0</v>
      </c>
      <c r="O1155" s="11" t="b">
        <f t="shared" si="1"/>
        <v>0</v>
      </c>
      <c r="P1155" s="16" t="b">
        <v>0</v>
      </c>
      <c r="Q1155" s="7"/>
    </row>
    <row r="1156">
      <c r="A1156" s="5" t="b">
        <v>1</v>
      </c>
      <c r="B1156" s="5" t="s">
        <v>1205</v>
      </c>
      <c r="C1156" s="7" t="str">
        <f>IFERROR(__xludf.DUMMYFUNCTION("""COMPUTED_VALUE"""),"10.1145/3239235.3267433")</f>
        <v>10.1145/3239235.3267433</v>
      </c>
      <c r="D1156" s="7" t="str">
        <f>IFERROR(__xludf.DUMMYFUNCTION("""COMPUTED_VALUE"""),"Abraho S.; Insfran E.; De Guevara F.G.-L.; Fernández-Diego M.; Cano-Genoves C.; De Oliveira R.P.")</f>
        <v>Abraho S.; Insfran E.; De Guevara F.G.-L.; Fernández-Diego M.; Cano-Genoves C.; De Oliveira R.P.</v>
      </c>
      <c r="E1156" s="7" t="str">
        <f>IFERROR(__xludf.DUMMYFUNCTION("""COMPUTED_VALUE"""),"Comparing the effectiveness of goal-oriented languages: Results from a controlled experiment")</f>
        <v>Comparing the effectiveness of goal-oriented languages: Results from a controlled experiment</v>
      </c>
      <c r="F1156" s="7" t="str">
        <f>IFERROR(__xludf.DUMMYFUNCTION("""COMPUTED_VALUE"""),"ESEM")</f>
        <v>ESEM</v>
      </c>
      <c r="G1156" s="7" t="str">
        <f>IFERROR(__xludf.DUMMYFUNCTION("""COMPUTED_VALUE"""),"Context. Several early requirements approaches focus on modeling objectives, interest or benefits of related stakeholders. However, as they can be used for different purposes as identifying problems, exploring system solutions, evaluating alternatives, et"&amp;"c., there are no clear guidelines on how to build these models, which constructs of the language must be used in each case, and most importantly, how to use these models downstream to the software requirements and design artifacts. Background. In a previo"&amp;"us work, we proposed a specialization of the GRL language (value@GRL) to specify stakeholders' goals when dealing with early requirements in the context of incremental software development. Goal/Method. This paper reports on a controlled experiment aimed "&amp;"at comparing the goal model quality and the productivity, perceived ease of use, and perceived usefulness of participants when using value@GRL and i∗languages. Results. The results showed that value@GRL obtained better results than i∗as a goal modeling la"&amp;"nguage indicating that it can be considered as a promising emerging approach in this area. Conclusions. Value@GRL allows obtaining goal models with good quality that may be later used downstream software development activities. © 2018 ACM.")</f>
        <v>Context. Several early requirements approaches focus on modeling objectives, interest or benefits of related stakeholders. However, as they can be used for different purposes as identifying problems, exploring system solutions, evaluating alternatives, etc., there are no clear guidelines on how to build these models, which constructs of the language must be used in each case, and most importantly, how to use these models downstream to the software requirements and design artifacts. Background. In a previous work, we proposed a specialization of the GRL language (value@GRL) to specify stakeholders' goals when dealing with early requirements in the context of incremental software development. Goal/Method. This paper reports on a controlled experiment aimed at comparing the goal model quality and the productivity, perceived ease of use, and perceived usefulness of participants when using value@GRL and i∗languages. Results. The results showed that value@GRL obtained better results than i∗as a goal modeling language indicating that it can be considered as a promising emerging approach in this area. Conclusions. Value@GRL allows obtaining goal models with good quality that may be later used downstream software development activities. © 2018 ACM.</v>
      </c>
      <c r="H1156" s="7" t="str">
        <f>IFERROR(__xludf.DUMMYFUNCTION("""COMPUTED_VALUE"""),"Experiment; Goal modeling; Requirements engineering")</f>
        <v>Experiment; Goal modeling; Requirements engineering</v>
      </c>
      <c r="I1156" s="9" t="b">
        <v>1</v>
      </c>
      <c r="J1156" s="9" t="b">
        <v>1</v>
      </c>
      <c r="K1156" s="9" t="b">
        <v>1</v>
      </c>
      <c r="L1156" s="10" t="b">
        <v>0</v>
      </c>
      <c r="M1156" s="10" t="b">
        <v>0</v>
      </c>
      <c r="N1156" s="10" t="b">
        <v>0</v>
      </c>
      <c r="O1156" s="11" t="b">
        <f t="shared" si="1"/>
        <v>1</v>
      </c>
      <c r="P1156" s="16" t="b">
        <v>0</v>
      </c>
      <c r="Q1156" s="13" t="s">
        <v>1206</v>
      </c>
    </row>
    <row r="1157">
      <c r="A1157" s="5" t="b">
        <v>1</v>
      </c>
      <c r="B1157" s="5" t="s">
        <v>1207</v>
      </c>
      <c r="C1157" s="7" t="str">
        <f>IFERROR(__xludf.DUMMYFUNCTION("""COMPUTED_VALUE"""),"10.1145/2961111.2962599")</f>
        <v>10.1145/2961111.2962599</v>
      </c>
      <c r="D1157" s="7" t="str">
        <f>IFERROR(__xludf.DUMMYFUNCTION("""COMPUTED_VALUE"""),"Riaz M.; Stallings J.; Singh M.P.; Slankas J.; Williams L.")</f>
        <v>Riaz M.; Stallings J.; Singh M.P.; Slankas J.; Williams L.</v>
      </c>
      <c r="E1157" s="7" t="str">
        <f>IFERROR(__xludf.DUMMYFUNCTION("""COMPUTED_VALUE"""),"DIGS: A Framework for Discovering Goals for Security Requirements Engineering")</f>
        <v>DIGS: A Framework for Discovering Goals for Security Requirements Engineering</v>
      </c>
      <c r="F1157" s="7" t="str">
        <f>IFERROR(__xludf.DUMMYFUNCTION("""COMPUTED_VALUE"""),"ESEM")</f>
        <v>ESEM</v>
      </c>
      <c r="G1157" s="7" t="str">
        <f>IFERROR(__xludf.DUMMYFUNCTION("""COMPUTED_VALUE"""),"Context: The security goals of a software system provide a foundation for security requirements engineering. Identifying security goals is a process of iteration and refinement, leveraging the knowledge and expertise of the analyst to secure not only the "&amp;"core functionality but the security mechanisms as well. Moreover, a comprehensive security plan should include goals for not only preventing a breach, but also for detecting and appropriately responding in case a breach does occur. Goal: The objective of "&amp;"this research is to support analysts in security requirements engineering by providing a framework that supports a systematic and comprehensive discovery of security goals for a software system. Method: We develop a framework, Discovering Goals for Securi"&amp;"ty (DIGS), that models the key entities in information security, including assets and security goals. We systematically develop a set of security goal patterns that capture multiple dimensions of security for assets. DIGS explicitly captures the relations"&amp;" and assumptions that underlie security goals to elicit implied goals. We map the goal patterns to NIST controls to help in operationalizing the goals. We evaluate DIGS via a controlled experiment where 28 participants analyzed systems from mobile banking"&amp;" and human resource management domains. Results: Participants considered security goals commensurate to the knowledge available to them. Although the overall recall was low given the empirical constraints, participants using DIGS identified more implied g"&amp;"oals and felt more confident in completing the task. Conclusion: Explicitly providing the additional knowledge for the identification of implied security goals significantly increased the chances of discovering such goals, thereby improving coverage of st"&amp;"akeholder security requirements, even if they are unstated. © 2016 ACM.")</f>
        <v>Context: The security goals of a software system provide a foundation for security requirements engineering. Identifying security goals is a process of iteration and refinement, leveraging the knowledge and expertise of the analyst to secure not only the core functionality but the security mechanisms as well. Moreover, a comprehensive security plan should include goals for not only preventing a breach, but also for detecting and appropriately responding in case a breach does occur. Goal: The objective of this research is to support analysts in security requirements engineering by providing a framework that supports a systematic and comprehensive discovery of security goals for a software system. Method: We develop a framework, Discovering Goals for Security (DIGS), that models the key entities in information security, including assets and security goals. We systematically develop a set of security goal patterns that capture multiple dimensions of security for assets. DIGS explicitly captures the relations and assumptions that underlie security goals to elicit implied goals. We map the goal patterns to NIST controls to help in operationalizing the goals. We evaluate DIGS via a controlled experiment where 28 participants analyzed systems from mobile banking and human resource management domains. Results: Participants considered security goals commensurate to the knowledge available to them. Although the overall recall was low given the empirical constraints, participants using DIGS identified more implied goals and felt more confident in completing the task. Conclusion: Explicitly providing the additional knowledge for the identification of implied security goals significantly increased the chances of discovering such goals, thereby improving coverage of stakeholder security requirements, even if they are unstated. © 2016 ACM.</v>
      </c>
      <c r="H1157" s="7" t="str">
        <f>IFERROR(__xludf.DUMMYFUNCTION("""COMPUTED_VALUE"""),"controlled experiment; Security goals; security requirements")</f>
        <v>controlled experiment; Security goals; security requirements</v>
      </c>
      <c r="I1157" s="9" t="b">
        <v>1</v>
      </c>
      <c r="J1157" s="9" t="b">
        <v>1</v>
      </c>
      <c r="K1157" s="10" t="b">
        <v>0</v>
      </c>
      <c r="L1157" s="10" t="b">
        <v>0</v>
      </c>
      <c r="M1157" s="10" t="b">
        <v>0</v>
      </c>
      <c r="N1157" s="10" t="b">
        <v>0</v>
      </c>
      <c r="O1157" s="11" t="b">
        <f t="shared" si="1"/>
        <v>0</v>
      </c>
      <c r="P1157" s="16" t="b">
        <v>0</v>
      </c>
      <c r="Q1157" s="7"/>
    </row>
    <row r="1158">
      <c r="A1158" s="5" t="b">
        <v>1</v>
      </c>
      <c r="B1158" s="5" t="s">
        <v>1208</v>
      </c>
      <c r="C1158" s="7" t="str">
        <f>IFERROR(__xludf.DUMMYFUNCTION("""COMPUTED_VALUE"""),"10.1145/3239235.3267428")</f>
        <v>10.1145/3239235.3267428</v>
      </c>
      <c r="D1158" s="7" t="str">
        <f>IFERROR(__xludf.DUMMYFUNCTION("""COMPUTED_VALUE"""),"Wang C.; Zhang F.; Liang P.; Daneva M.; Van Sinderen M.")</f>
        <v>Wang C.; Zhang F.; Liang P.; Daneva M.; Van Sinderen M.</v>
      </c>
      <c r="E1158" s="7" t="str">
        <f>IFERROR(__xludf.DUMMYFUNCTION("""COMPUTED_VALUE"""),"Can app changelogs improve requirements classification from app reviews?: An exploratory study")</f>
        <v>Can app changelogs improve requirements classification from app reviews?: An exploratory study</v>
      </c>
      <c r="F1158" s="7" t="str">
        <f>IFERROR(__xludf.DUMMYFUNCTION("""COMPUTED_VALUE"""),"ESEM")</f>
        <v>ESEM</v>
      </c>
      <c r="G1158" s="7" t="str">
        <f>IFERROR(__xludf.DUMMYFUNCTION("""COMPUTED_VALUE"""),"Background Recent research on mining app reviews for software evolution indicated that the elicitation and analysis of user requirements can benefit from supplementing user reviews by data from other sources. However, only a few studies reported results o"&amp;"f leveraging app changelogs together with app reviews. [Aims] Motivated by those findings, this exploratory experimental study looks into the role of app changelogs in the classification of requirements derived from app reviews. We aim at understanding if"&amp;" the use of app changelogs can lead to more accurate identification and classification of functional and non-functional requirements from app reviews. We also want to know which classification technique works better in this context. [Method] We did a case"&amp;" study on the effect of app changelogs on automatic classification of app reviews. Specifically, manual labeling, text preprocessing, and four supervised machine learning algorithms were applied to a series of experiments, varying in the number of app cha"&amp;"ngelogs in the experimental data. [Results] We compared the accuracy of requirements classification from app reviews, by training the four classifiers with varying combinations of app reviews and changelogs. Among the four algorithms, Na?ve Bayes was foun"&amp;"d to be more accurate for categorizing app reviews. [Conclusions] The results show that official app changelogs did not contribute to more accurate identification and classification of requirements from app reviews. In addition, Na?ve Bayes seems to be mo"&amp;"re suitable for our further research on this topic. © 2018 ACM.")</f>
        <v>Background Recent research on mining app reviews for software evolution indicated that the elicitation and analysis of user requirements can benefit from supplementing user reviews by data from other sources. However, only a few studies reported results of leveraging app changelogs together with app reviews. [Aims] Motivated by those findings, this exploratory experimental study looks into the role of app changelogs in the classification of requirements derived from app reviews. We aim at understanding if the use of app changelogs can lead to more accurate identification and classification of functional and non-functional requirements from app reviews. We also want to know which classification technique works better in this context. [Method] We did a case study on the effect of app changelogs on automatic classification of app reviews. Specifically, manual labeling, text preprocessing, and four supervised machine learning algorithms were applied to a series of experiments, varying in the number of app changelogs in the experimental data. [Results] We compared the accuracy of requirements classification from app reviews, by training the four classifiers with varying combinations of app reviews and changelogs. Among the four algorithms, Na?ve Bayes was found to be more accurate for categorizing app reviews. [Conclusions] The results show that official app changelogs did not contribute to more accurate identification and classification of requirements from app reviews. In addition, Na?ve Bayes seems to be more suitable for our further research on this topic. © 2018 ACM.</v>
      </c>
      <c r="H1158" s="7" t="str">
        <f>IFERROR(__xludf.DUMMYFUNCTION("""COMPUTED_VALUE"""),"App changelogs; App reviews; Data-driven requirements engineering; Machine learning; Requirements analysis")</f>
        <v>App changelogs; App reviews; Data-driven requirements engineering; Machine learning; Requirements analysis</v>
      </c>
      <c r="I1158" s="10" t="b">
        <v>0</v>
      </c>
      <c r="J1158" s="10" t="b">
        <v>0</v>
      </c>
      <c r="K1158" s="10" t="b">
        <v>0</v>
      </c>
      <c r="L1158" s="10" t="b">
        <v>0</v>
      </c>
      <c r="M1158" s="10" t="b">
        <v>0</v>
      </c>
      <c r="N1158" s="10" t="b">
        <v>0</v>
      </c>
      <c r="O1158" s="11" t="b">
        <f t="shared" si="1"/>
        <v>0</v>
      </c>
      <c r="P1158" s="16" t="b">
        <v>0</v>
      </c>
      <c r="Q1158" s="7"/>
    </row>
    <row r="1159">
      <c r="A1159" s="5" t="b">
        <v>1</v>
      </c>
      <c r="B1159" s="5" t="s">
        <v>1209</v>
      </c>
      <c r="C1159" s="7" t="str">
        <f>IFERROR(__xludf.DUMMYFUNCTION("""COMPUTED_VALUE"""),"10.1145/3239235.3240496")</f>
        <v>10.1145/3239235.3240496</v>
      </c>
      <c r="D1159" s="7" t="str">
        <f>IFERROR(__xludf.DUMMYFUNCTION("""COMPUTED_VALUE"""),"Romano S.; Scanniello G.; Fucci D.; Juristo N.; Turhan B.")</f>
        <v>Romano S.; Scanniello G.; Fucci D.; Juristo N.; Turhan B.</v>
      </c>
      <c r="E1159" s="7" t="str">
        <f>IFERROR(__xludf.DUMMYFUNCTION("""COMPUTED_VALUE"""),"The effect of noise on software engineers' performance")</f>
        <v>The effect of noise on software engineers' performance</v>
      </c>
      <c r="F1159" s="7" t="str">
        <f>IFERROR(__xludf.DUMMYFUNCTION("""COMPUTED_VALUE"""),"ESEM")</f>
        <v>ESEM</v>
      </c>
      <c r="G1159" s="7" t="str">
        <f>IFERROR(__xludf.DUMMYFUNCTION("""COMPUTED_VALUE"""),"Background: Noise, defined as an unwanted sound, is one of the commonest factors that could affect people's performance in their daily work activities. The software engineering research community has marginally investigated the effects of noise on softwar"&amp;"e engineers' performance. Aims: We studied if noise affects software engineers' performance in: (i) comprehending functional requirements and (ii) fixing faults in source code. Method: We conducted two experiments with final-year undergraduate students in"&amp;" Computer Science. In the first experiment, we asked 55 students to comprehend functional requirements exposing them or not to noise, while in the second experiment 42 students were asked to fix faults in Java code. Results: The participants in the second"&amp;" experiment, when exposed to noise, had significantly worse performance in fixing faults in source code. On the other hand, we did not observe any statistically significant difference in the first experiment. Conclusions: Fixing faults in source code seem"&amp;"s to be more vulnerable to noise than comprehending functional requirements. © 2018 ACM.")</f>
        <v>Background: Noise, defined as an unwanted sound, is one of the commonest factors that could affect people's performance in their daily work activities. The software engineering research community has marginally investigated the effects of noise on software engineers' performance. Aims: We studied if noise affects software engineers' performance in: (i) comprehending functional requirements and (ii) fixing faults in source code. Method: We conducted two experiments with final-year undergraduate students in Computer Science. In the first experiment, we asked 55 students to comprehend functional requirements exposing them or not to noise, while in the second experiment 42 students were asked to fix faults in Java code. Results: The participants in the second experiment, when exposed to noise, had significantly worse performance in fixing faults in source code. On the other hand, we did not observe any statistically significant difference in the first experiment. Conclusions: Fixing faults in source code seems to be more vulnerable to noise than comprehending functional requirements. © 2018 ACM.</v>
      </c>
      <c r="H1159" s="7" t="str">
        <f>IFERROR(__xludf.DUMMYFUNCTION("""COMPUTED_VALUE"""),"Bug fixing; Controlled experiment; Functional requirement; Noise")</f>
        <v>Bug fixing; Controlled experiment; Functional requirement; Noise</v>
      </c>
      <c r="I1159" s="9" t="b">
        <v>1</v>
      </c>
      <c r="J1159" s="9" t="b">
        <v>1</v>
      </c>
      <c r="K1159" s="9" t="b">
        <v>1</v>
      </c>
      <c r="L1159" s="10" t="b">
        <v>0</v>
      </c>
      <c r="M1159" s="10" t="b">
        <v>0</v>
      </c>
      <c r="N1159" s="10" t="b">
        <v>0</v>
      </c>
      <c r="O1159" s="11" t="b">
        <f t="shared" si="1"/>
        <v>1</v>
      </c>
      <c r="P1159" s="16" t="b">
        <v>0</v>
      </c>
      <c r="Q1159" s="13" t="s">
        <v>1210</v>
      </c>
    </row>
    <row r="1160">
      <c r="A1160" s="5" t="b">
        <v>1</v>
      </c>
      <c r="B1160" s="5" t="s">
        <v>1211</v>
      </c>
      <c r="C1160" s="7" t="str">
        <f>IFERROR(__xludf.DUMMYFUNCTION("""COMPUTED_VALUE"""),"10.1109/ESEM.2013.29")</f>
        <v>10.1109/ESEM.2013.29</v>
      </c>
      <c r="D1160" s="7" t="str">
        <f>IFERROR(__xludf.DUMMYFUNCTION("""COMPUTED_VALUE"""),"Labunets K.; Massacci F.; Paci F.; Tran L.M.S.")</f>
        <v>Labunets K.; Massacci F.; Paci F.; Tran L.M.S.</v>
      </c>
      <c r="E1160" s="7" t="str">
        <f>IFERROR(__xludf.DUMMYFUNCTION("""COMPUTED_VALUE"""),"An experimental comparison of two risk-based security methods")</f>
        <v>An experimental comparison of two risk-based security methods</v>
      </c>
      <c r="F1160" s="7" t="str">
        <f>IFERROR(__xludf.DUMMYFUNCTION("""COMPUTED_VALUE"""),"ESEM")</f>
        <v>ESEM</v>
      </c>
      <c r="G1160" s="7" t="str">
        <f>IFERROR(__xludf.DUMMYFUNCTION("""COMPUTED_VALUE"""),"A significant number of methods have been proposed to identify and analyze threats and security requirements, but there are few empirical evaluations that show these methods work in practice. This paper reports a controlled experiment conducted with 28 ma"&amp;"ster students to compare two classes of risk-based methods, visual methods (CORAS) and textual methods (SREP). The aim of the experiment was to compare the effectiveness and perception of the two methods. The participants divided in groups solved four dif"&amp;"ferent tasks by applying the two methods using a randomized block design. The dependent variables were effectiveness of the methods measured as number of threats and security requirements identified, and perception of the methods measured through a post-t"&amp;"ask questionnaire based on the Technology Acceptance Model. The experiment was complemented with participants' interviews to determine which features of the methods influence their effectiveness. The main findings were that the visual method is more effec"&amp;"tive for identifying threats than the textual one, while the textual method is slightly more effective for eliciting security requirements. In addition, visual method overall perception and intention to use were higher than for the textual method. © 2013 "&amp;"IEEE.")</f>
        <v>A significant number of methods have been proposed to identify and analyze threats and security requirements, but there are few empirical evaluations that show these methods work in practice. This paper reports a controlled experiment conducted with 28 master students to compare two classes of risk-based methods, visual methods (CORAS) and textual methods (SREP). The aim of the experiment was to compare the effectiveness and perception of the two methods. The participants divided in groups solved four different tasks by applying the two methods using a randomized block design. The dependent variables were effectiveness of the methods measured as number of threats and security requirements identified, and perception of the methods measured through a post-task questionnaire based on the Technology Acceptance Model. The experiment was complemented with participants' interviews to determine which features of the methods influence their effectiveness. The main findings were that the visual method is more effective for identifying threats than the textual one, while the textual method is slightly more effective for eliciting security requirements. In addition, visual method overall perception and intention to use were higher than for the textual method. © 2013 IEEE.</v>
      </c>
      <c r="H1160" s="7" t="str">
        <f>IFERROR(__xludf.DUMMYFUNCTION("""COMPUTED_VALUE"""),"controlled experiment; risk-based methods; technology acceptance model")</f>
        <v>controlled experiment; risk-based methods; technology acceptance model</v>
      </c>
      <c r="I1160" s="9" t="b">
        <v>1</v>
      </c>
      <c r="J1160" s="9" t="b">
        <v>1</v>
      </c>
      <c r="K1160" s="10" t="b">
        <v>0</v>
      </c>
      <c r="L1160" s="10" t="b">
        <v>0</v>
      </c>
      <c r="M1160" s="10" t="b">
        <v>0</v>
      </c>
      <c r="N1160" s="10" t="b">
        <v>0</v>
      </c>
      <c r="O1160" s="11" t="b">
        <f t="shared" si="1"/>
        <v>0</v>
      </c>
      <c r="P1160" s="16" t="b">
        <v>0</v>
      </c>
      <c r="Q1160" s="7"/>
    </row>
    <row r="1161">
      <c r="A1161" s="5" t="b">
        <v>1</v>
      </c>
      <c r="B1161" s="5" t="s">
        <v>1212</v>
      </c>
      <c r="C1161" s="7" t="str">
        <f>IFERROR(__xludf.DUMMYFUNCTION("""COMPUTED_VALUE"""),"10.1145/3239235.3240497")</f>
        <v>10.1145/3239235.3240497</v>
      </c>
      <c r="D1161" s="7" t="str">
        <f>IFERROR(__xludf.DUMMYFUNCTION("""COMPUTED_VALUE"""),"Coviello C.; Romano S.; Scanniello G.")</f>
        <v>Coviello C.; Romano S.; Scanniello G.</v>
      </c>
      <c r="E1161" s="7" t="str">
        <f>IFERROR(__xludf.DUMMYFUNCTION("""COMPUTED_VALUE"""),"An empirical study of inadequate and adequate test suite reduction approaches")</f>
        <v>An empirical study of inadequate and adequate test suite reduction approaches</v>
      </c>
      <c r="F1161" s="7" t="str">
        <f>IFERROR(__xludf.DUMMYFUNCTION("""COMPUTED_VALUE"""),"ESEM")</f>
        <v>ESEM</v>
      </c>
      <c r="G1161" s="7" t="str">
        <f>IFERROR(__xludf.DUMMYFUNCTION("""COMPUTED_VALUE"""),"Background. Regression testing is conducted after changes are made to a system in order to ensure that these changes did not alter its expected behavior. The problem with regression testing is that it can require too much time and/or too many resources. T"&amp;"his is why researchers have defined a number of regression testing approaches. Among these, Test Suite Reduction (TSR) approaches reduce the size of the original test suites, while preserving their capability to detect faults. TSR approaches can be classi"&amp;"fied as adequate or inadequate. Adequate approaches reduce test suites so that they completely preserve the test requirements (e.g., statement coverage) of the original test suite, while inadequate ones produce reduced test suites that partially preserve "&amp;"these test requirements. Aims. We studied adequate and inadequate TSR approaches in terms of tradeoff between reduction in test suite size and loss in fault detection capability. We also considered three different kinds of test requirements (i.e., stateme"&amp;"nt, method, and class coverages). Method. We conducted an experiment with six adequate (e.g., HGS) and 12 inadequate (e.g., the inadequate version of HGS) TSR approaches. In this experiment, we considered 19 experimental objects from a public dataset, i.e"&amp;"., SIR (Software-artifact Infrastructure Repository). Results. The most important result from our experiment is that inadequate approaches, as compared with adequate ones, allow achieving a better tradeoff between reduction in test suite size and loss in "&amp;"fault detection capability. This is especially true when these approaches are applied by considering statement and method coverages as test requirements. Conclusions. Although our results are not definitive, they might help the tester to chose both TSR ap"&amp;"proach and kind of code coverage that is closer to her needs when testing a software system. © 2018 ACM.")</f>
        <v>Background. Regression testing is conducted after changes are made to a system in order to ensure that these changes did not alter its expected behavior. The problem with regression testing is that it can require too much time and/or too many resources. This is why researchers have defined a number of regression testing approaches. Among these, Test Suite Reduction (TSR) approaches reduce the size of the original test suites, while preserving their capability to detect faults. TSR approaches can be classified as adequate or inadequate. Adequate approaches reduce test suites so that they completely preserve the test requirements (e.g., statement coverage) of the original test suite, while inadequate ones produce reduced test suites that partially preserve these test requirements. Aims. We studied adequate and inadequate TSR approaches in terms of tradeoff between reduction in test suite size and loss in fault detection capability. We also considered three different kinds of test requirements (i.e., statement, method, and class coverages). Method. We conducted an experiment with six adequate (e.g., HGS) and 12 inadequate (e.g., the inadequate version of HGS) TSR approaches. In this experiment, we considered 19 experimental objects from a public dataset, i.e., SIR (Software-artifact Infrastructure Repository). Results. The most important result from our experiment is that inadequate approaches, as compared with adequate ones, allow achieving a better tradeoff between reduction in test suite size and loss in fault detection capability. This is especially true when these approaches are applied by considering statement and method coverages as test requirements. Conclusions. Although our results are not definitive, they might help the tester to chose both TSR approach and kind of code coverage that is closer to her needs when testing a software system. © 2018 ACM.</v>
      </c>
      <c r="H1161" s="7" t="str">
        <f>IFERROR(__xludf.DUMMYFUNCTION("""COMPUTED_VALUE"""),"Controlled experiment; Regression testing; Test suite reduction")</f>
        <v>Controlled experiment; Regression testing; Test suite reduction</v>
      </c>
      <c r="I1161" s="9" t="b">
        <v>1</v>
      </c>
      <c r="J1161" s="10" t="b">
        <v>0</v>
      </c>
      <c r="K1161" s="10" t="b">
        <v>0</v>
      </c>
      <c r="L1161" s="10" t="b">
        <v>0</v>
      </c>
      <c r="M1161" s="10" t="b">
        <v>0</v>
      </c>
      <c r="N1161" s="10" t="b">
        <v>0</v>
      </c>
      <c r="O1161" s="11" t="b">
        <f t="shared" si="1"/>
        <v>0</v>
      </c>
      <c r="P1161" s="16" t="b">
        <v>0</v>
      </c>
      <c r="Q1161" s="7"/>
    </row>
    <row r="1162">
      <c r="A1162" s="5" t="b">
        <v>1</v>
      </c>
      <c r="B1162" s="5" t="s">
        <v>1213</v>
      </c>
      <c r="C1162" s="7" t="str">
        <f>IFERROR(__xludf.DUMMYFUNCTION("""COMPUTED_VALUE"""),"10.1109/ESEM.2013.33")</f>
        <v>10.1109/ESEM.2013.33</v>
      </c>
      <c r="D1162" s="7" t="str">
        <f>IFERROR(__xludf.DUMMYFUNCTION("""COMPUTED_VALUE"""),"De Mello R.M.; Travassos G.H.")</f>
        <v>De Mello R.M.; Travassos G.H.</v>
      </c>
      <c r="E1162" s="7" t="str">
        <f>IFERROR(__xludf.DUMMYFUNCTION("""COMPUTED_VALUE"""),"Would sociable software engineers observe better?")</f>
        <v>Would sociable software engineers observe better?</v>
      </c>
      <c r="F1162" s="7" t="str">
        <f>IFERROR(__xludf.DUMMYFUNCTION("""COMPUTED_VALUE"""),"ESEM")</f>
        <v>ESEM</v>
      </c>
      <c r="G1162" s="7" t="str">
        <f>IFERROR(__xludf.DUMMYFUNCTION("""COMPUTED_VALUE"""),"Quantitative studies in Software Engineering are frequently dependent on primary studies in which population is usually small and established by convenience. It brings several limitations for the analysis and strength of results due sampling issues. There"&amp;"fore, when these studies are reapplied, different and non-clustered populations are established, making unfeasible evidence generalization and contributing for an imbalance between research and practice. Aiming at investigating ways to overcome the absenc"&amp;"e of large sampling frames in Software Engineering studies, this short paper presents the results of an initial experience concerned with the systematic recruitment of subjects for a survey regarding software requirements effort factors by using social ne"&amp;"tworks compared with recruitment by convenience. We have observed in this particular case that using social networks technology does not guarantee sample enlargement by just posting invitations in specific forums. However, its usage can contribute to incr"&amp;"ease the subjects' heterogeneity and to increase the level of confidence of the sample, which consequently improve our capacity of observing the object under study, with the probable strengthen of results. © 2013 IEEE.")</f>
        <v>Quantitative studies in Software Engineering are frequently dependent on primary studies in which population is usually small and established by convenience. It brings several limitations for the analysis and strength of results due sampling issues. Therefore, when these studies are reapplied, different and non-clustered populations are established, making unfeasible evidence generalization and contributing for an imbalance between research and practice. Aiming at investigating ways to overcome the absence of large sampling frames in Software Engineering studies, this short paper presents the results of an initial experience concerned with the systematic recruitment of subjects for a survey regarding software requirements effort factors by using social networks compared with recruitment by convenience. We have observed in this particular case that using social networks technology does not guarantee sample enlargement by just posting invitations in specific forums. However, its usage can contribute to increase the subjects' heterogeneity and to increase the level of confidence of the sample, which consequently improve our capacity of observing the object under study, with the probable strengthen of results. © 2013 IEEE.</v>
      </c>
      <c r="H1162" s="7" t="str">
        <f>IFERROR(__xludf.DUMMYFUNCTION("""COMPUTED_VALUE"""),"experimental software engineering; population; quantitative studies; requirements engineering; sample; survey")</f>
        <v>experimental software engineering; population; quantitative studies; requirements engineering; sample; survey</v>
      </c>
      <c r="I1162" s="10" t="b">
        <v>0</v>
      </c>
      <c r="J1162" s="10" t="b">
        <v>0</v>
      </c>
      <c r="K1162" s="10" t="b">
        <v>0</v>
      </c>
      <c r="L1162" s="10" t="b">
        <v>0</v>
      </c>
      <c r="M1162" s="10" t="b">
        <v>0</v>
      </c>
      <c r="N1162" s="10" t="b">
        <v>0</v>
      </c>
      <c r="O1162" s="11" t="b">
        <f t="shared" si="1"/>
        <v>0</v>
      </c>
      <c r="P1162" s="16" t="b">
        <v>0</v>
      </c>
      <c r="Q1162" s="7"/>
    </row>
    <row r="1163">
      <c r="A1163" s="5" t="b">
        <v>1</v>
      </c>
      <c r="B1163" s="5" t="s">
        <v>1214</v>
      </c>
      <c r="C1163" s="7" t="str">
        <f>IFERROR(__xludf.DUMMYFUNCTION("""COMPUTED_VALUE"""),"10.1145/2652524.2652583")</f>
        <v>10.1145/2652524.2652583</v>
      </c>
      <c r="D1163" s="7" t="str">
        <f>IFERROR(__xludf.DUMMYFUNCTION("""COMPUTED_VALUE"""),"Rubin V.A.; Mitsyuk A.A.; Lomazova I.A.; Van Der Aalst W.M.P.")</f>
        <v>Rubin V.A.; Mitsyuk A.A.; Lomazova I.A.; Van Der Aalst W.M.P.</v>
      </c>
      <c r="E1163" s="7" t="str">
        <f>IFERROR(__xludf.DUMMYFUNCTION("""COMPUTED_VALUE"""),"Process mining can be applied to software too!")</f>
        <v>Process mining can be applied to software too!</v>
      </c>
      <c r="F1163" s="7" t="str">
        <f>IFERROR(__xludf.DUMMYFUNCTION("""COMPUTED_VALUE"""),"ESEM")</f>
        <v>ESEM</v>
      </c>
      <c r="G1163" s="7" t="str">
        <f>IFERROR(__xludf.DUMMYFUNCTION("""COMPUTED_VALUE"""),"Modern information systems produce tremendous amounts of event data. The area of process mining deals with extracting knowledge from this data. Real-life processes can be effectively discovered, analyzed and optimized with the help of mature process minin"&amp;"g techniques. There is a variety of process mining case studies and experience reports from such business areas as healthcare, public, transportation and education. Although nowadays, these techniques are mostly used for discovering business processes. Th"&amp;"e goal of this industrial paper is to show that process mining can be applied to software too. Here we present and analyze our experiences on applying process mining in different productive software systems used in the touristic domain. Process models and"&amp;" user interface workflows underlie the functional specifications of the systems we experiment with. When the systems are utilized, user interaction is recorded in event logs. After applying process mining methods to these logs, process and user interface "&amp;"flow models are automatically derived. These resulting models provide insight regarding the real usage of the software, motivate the changes in the functional specifications, enable usability improvements and software redesign. Thus, with the help of our "&amp;"examples we demonstrate that process mining facilitates new forms of software analysis. The user interaction with almost every software system can be mined in order to improve the software and to monitor and measure its real usage. © 2014 Authors.")</f>
        <v>Modern information systems produce tremendous amounts of event data. The area of process mining deals with extracting knowledge from this data. Real-life processes can be effectively discovered, analyzed and optimized with the help of mature process mining techniques. There is a variety of process mining case studies and experience reports from such business areas as healthcare, public, transportation and education. Although nowadays, these techniques are mostly used for discovering business processes. The goal of this industrial paper is to show that process mining can be applied to software too. Here we present and analyze our experiences on applying process mining in different productive software systems used in the touristic domain. Process models and user interface workflows underlie the functional specifications of the systems we experiment with. When the systems are utilized, user interaction is recorded in event logs. After applying process mining methods to these logs, process and user interface flow models are automatically derived. These resulting models provide insight regarding the real usage of the software, motivate the changes in the functional specifications, enable usability improvements and software redesign. Thus, with the help of our examples we demonstrate that process mining facilitates new forms of software analysis. The user interaction with almost every software system can be mined in order to improve the software and to monitor and measure its real usage. © 2014 Authors.</v>
      </c>
      <c r="H1163" s="7" t="str">
        <f>IFERROR(__xludf.DUMMYFUNCTION("""COMPUTED_VALUE"""),"client technology; process mining; software process mining; user interface design")</f>
        <v>client technology; process mining; software process mining; user interface design</v>
      </c>
      <c r="I1163" s="10" t="b">
        <v>0</v>
      </c>
      <c r="J1163" s="10" t="b">
        <v>0</v>
      </c>
      <c r="K1163" s="10" t="b">
        <v>0</v>
      </c>
      <c r="L1163" s="10" t="b">
        <v>0</v>
      </c>
      <c r="M1163" s="10" t="b">
        <v>0</v>
      </c>
      <c r="N1163" s="10" t="b">
        <v>0</v>
      </c>
      <c r="O1163" s="11" t="b">
        <f t="shared" si="1"/>
        <v>0</v>
      </c>
      <c r="P1163" s="16" t="b">
        <v>0</v>
      </c>
      <c r="Q1163" s="7"/>
    </row>
    <row r="1164">
      <c r="A1164" s="5" t="b">
        <v>1</v>
      </c>
      <c r="B1164" s="5" t="s">
        <v>1215</v>
      </c>
      <c r="C1164" s="7" t="str">
        <f>IFERROR(__xludf.DUMMYFUNCTION("""COMPUTED_VALUE"""),"10.1145/2372251.2372299")</f>
        <v>10.1145/2372251.2372299</v>
      </c>
      <c r="D1164" s="7" t="str">
        <f>IFERROR(__xludf.DUMMYFUNCTION("""COMPUTED_VALUE"""),"Calefato F.; Lanubile F.; Conte T.; Prikladnicki R.")</f>
        <v>Calefato F.; Lanubile F.; Conte T.; Prikladnicki R.</v>
      </c>
      <c r="E1164" s="7" t="str">
        <f>IFERROR(__xludf.DUMMYFUNCTION("""COMPUTED_VALUE"""),"Assessing the impact of real-time machine translation on requirements meetings: A replicated experiment")</f>
        <v>Assessing the impact of real-time machine translation on requirements meetings: A replicated experiment</v>
      </c>
      <c r="F1164" s="7" t="str">
        <f>IFERROR(__xludf.DUMMYFUNCTION("""COMPUTED_VALUE"""),"ESEM")</f>
        <v>ESEM</v>
      </c>
      <c r="G1164" s="7" t="str">
        <f>IFERROR(__xludf.DUMMYFUNCTION("""COMPUTED_VALUE"""),"Opportunities for global software development are limited in those countries with a lack of English-speaking professionals. Machine translation technology is today available in the form of cross-language web services and can be embedded into multiuser and"&amp;" multilingual chats without disrupting the conversation flow. However, we still lack a thorough understanding of how real-time machine translation may affect communication in global software teams. In this paper, we present the replication of a controlled"&amp;" experiment that assesses the effect of real-time machine translation on multilingual teams while engaged in distributed requirements meetings. In particular, in this replication we specifically evaluate whether non-English speaking groups benefit from co"&amp;"mmunicating in their own native languages when their English is not fluid enough for a fast-paced conversation. Copyright 2012 ACM.")</f>
        <v>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non-English speaking groups benefit from communicating in their own native languages when their English is not fluid enough for a fast-paced conversation. Copyright 2012 ACM.</v>
      </c>
      <c r="H1164" s="7" t="str">
        <f>IFERROR(__xludf.DUMMYFUNCTION("""COMPUTED_VALUE"""),"Controlled experiment; Global software engineering; Machine translation; Requirements meetings")</f>
        <v>Controlled experiment; Global software engineering; Machine translation; Requirements meetings</v>
      </c>
      <c r="I1164" s="9" t="b">
        <v>1</v>
      </c>
      <c r="J1164" s="9" t="b">
        <v>1</v>
      </c>
      <c r="K1164" s="9" t="b">
        <v>1</v>
      </c>
      <c r="L1164" s="10" t="b">
        <v>0</v>
      </c>
      <c r="M1164" s="10" t="b">
        <v>0</v>
      </c>
      <c r="N1164" s="10" t="b">
        <v>0</v>
      </c>
      <c r="O1164" s="11" t="b">
        <f t="shared" si="1"/>
        <v>1</v>
      </c>
      <c r="P1164" s="12" t="b">
        <v>0</v>
      </c>
      <c r="Q1164" s="13"/>
    </row>
    <row r="1165">
      <c r="A1165" s="5" t="b">
        <v>1</v>
      </c>
      <c r="B1165" s="5" t="s">
        <v>1216</v>
      </c>
      <c r="C1165" s="7" t="str">
        <f>IFERROR(__xludf.DUMMYFUNCTION("""COMPUTED_VALUE"""),"10.1145/2652524.2652532")</f>
        <v>10.1145/2652524.2652532</v>
      </c>
      <c r="D1165" s="7" t="str">
        <f>IFERROR(__xludf.DUMMYFUNCTION("""COMPUTED_VALUE"""),"Riaz M.; Slankas J.; King J.; Williams L.")</f>
        <v>Riaz M.; Slankas J.; King J.; Williams L.</v>
      </c>
      <c r="E1165" s="7" t="str">
        <f>IFERROR(__xludf.DUMMYFUNCTION("""COMPUTED_VALUE"""),"Using templates to elicit implied security requirements from functional requirements - A controlled experiment")</f>
        <v>Using templates to elicit implied security requirements from functional requirements - A controlled experiment</v>
      </c>
      <c r="F1165" s="7" t="str">
        <f>IFERROR(__xludf.DUMMYFUNCTION("""COMPUTED_VALUE"""),"ESEM")</f>
        <v>ESEM</v>
      </c>
      <c r="G1165" s="7" t="str">
        <f>IFERROR(__xludf.DUMMYFUNCTION("""COMPUTED_VALUE"""),"Context: Security requirements for software systems can be challenging to identify and are often overlooked during the requirements engineering process. Existing functional requirements of a system can imply the need for security requirements. Systems hav"&amp;"ing similar security objectives (e.g., confidentiality) often also share security requirements that can be captured in the form of reusable templates and instantiated in the context of a system to specify security requirements. Goal: We seek to improve th"&amp;"e security requirements elicitation process by automatically suggesting appropriate security requirement templates implied by existing functional requirements. Method: We conducted a controlled experiment involving 50 graduate students enrolled in a softw"&amp;"are security course to evaluate the use of automatically-suggested templates in eliciting implied security requirements. Participants were divided into treatment (automatically-suggested templates) and control groups (no templates provided). Results: Part"&amp;"icipants using our templates identified 42% of all the implied security requirements in the oracle as compared to the control group, which identified only 16% of the implied security requirements. Template usage increased the efficiency of security requir"&amp;"ements identified per unit of time. Conclusion: Automatically-suggested templates helped participants (security non-experts) think about security implications for the software system and consider more security requirements than they would have otherwise. "&amp;"We found that participants need more incentive than just a participatory grade when completing the task. Further, we recommend to ensure task completeness, participants either need a step-driven (i.e., wizard) approach or progress indicators to identify r"&amp;"emaining work. © 2014 ACM.")</f>
        <v>Context: Security requirements for software systems can be challenging to identify and are often overlooked during the requirements engineering process. Existing functional requirements of a system can imply the need for security requirements. Systems having similar security objectives (e.g., confidentiality) often also share security requirements that can be captured in the form of reusable templates and instantiated in the context of a system to specify security requirements. Goal: We seek to improve the security requirements elicitation process by automatically suggesting appropriate security requirement templates implied by existing functional requirements. Method: We conducted a controlled experiment involving 50 graduate students enrolled in a software security course to evaluate the use of automatically-suggested templates in eliciting implied security requirements. Participants were divided into treatment (automatically-suggested templates) and control groups (no templates provided). Results: Participants using our templates identified 42% of all the implied security requirements in the oracle as compared to the control group, which identified only 16% of the implied security requirements. Template usage increased the efficiency of security requirements identified per unit of time. Conclusion: Automatically-suggested templates helped participants (security non-experts) think about security implications for the software system and consider more security requirements than they would have otherwise. We found that participants need more incentive than just a participatory grade when completing the task. Further, we recommend to ensure task completeness, participants either need a step-driven (i.e., wizard) approach or progress indicators to identify remaining work. © 2014 ACM.</v>
      </c>
      <c r="H1165" s="7" t="str">
        <f>IFERROR(__xludf.DUMMYFUNCTION("""COMPUTED_VALUE"""),"controlled experiment; security requirements; templates")</f>
        <v>controlled experiment; security requirements; templates</v>
      </c>
      <c r="I1165" s="9" t="b">
        <v>1</v>
      </c>
      <c r="J1165" s="9" t="b">
        <v>1</v>
      </c>
      <c r="K1165" s="10" t="b">
        <v>0</v>
      </c>
      <c r="L1165" s="10" t="b">
        <v>0</v>
      </c>
      <c r="M1165" s="10" t="b">
        <v>0</v>
      </c>
      <c r="N1165" s="10" t="b">
        <v>0</v>
      </c>
      <c r="O1165" s="11" t="b">
        <f t="shared" si="1"/>
        <v>0</v>
      </c>
      <c r="P1165" s="16" t="b">
        <v>0</v>
      </c>
      <c r="Q1165" s="7"/>
    </row>
    <row r="1166">
      <c r="A1166" s="5" t="b">
        <v>1</v>
      </c>
      <c r="B1166" s="5" t="s">
        <v>1217</v>
      </c>
      <c r="C1166" s="7" t="str">
        <f>IFERROR(__xludf.DUMMYFUNCTION("""COMPUTED_VALUE"""),"10.1145/2372251.2372273")</f>
        <v>10.1145/2372251.2372273</v>
      </c>
      <c r="D1166" s="7" t="str">
        <f>IFERROR(__xludf.DUMMYFUNCTION("""COMPUTED_VALUE"""),"Stärk U.; Prechelt L.; Jolevski I.")</f>
        <v>Stärk U.; Prechelt L.; Jolevski I.</v>
      </c>
      <c r="E1166" s="7" t="str">
        <f>IFERROR(__xludf.DUMMYFUNCTION("""COMPUTED_VALUE"""),"Plat-Forms 2011: Finding emergent properties of web application development platforms")</f>
        <v>Plat-Forms 2011: Finding emergent properties of web application development platforms</v>
      </c>
      <c r="F1166" s="7" t="str">
        <f>IFERROR(__xludf.DUMMYFUNCTION("""COMPUTED_VALUE"""),"ESEM")</f>
        <v>ESEM</v>
      </c>
      <c r="G1166" s="7" t="str">
        <f>IFERROR(__xludf.DUMMYFUNCTION("""COMPUTED_VALUE"""),"Empirical evidence on emergent properties of different web development platforms when used in a non-trivial setting is rare to non-existent. In this paper we report on an experiment called Plat Forms 2011 where teams of professional software developers im"&amp;"plemented the same specification of a small to medium sized web application using different web development platforms, with 3 to 4 teams per platform. We define platforms by the main programming language used, in our case Java, Perl, PHP, or Ruby. In orde"&amp;"r to find properties that are similar within a web development platform but different across platforms, we analyzed several characteristics of the teams and their solutions, such as completeness, robustness, structure and aspects of the team's development"&amp;" process. We found certain characteristics that can be attributed to the platforms used but others that cannot. Our findings also indicate that for some characteristics the programming language might not be the best attribute by which to define the platfo"&amp;"rm anymore. Copyright 2012 ACM.")</f>
        <v>Empirical evidence on emergent properties of different web development platforms when used in a non-trivial setting is rare to non-existent. In this paper we report on an experiment called Plat Forms 2011 where teams of professional software developers implemented the same specification of a small to medium sized web application using different web development platforms, with 3 to 4 teams per platform. We define platforms by the main programming language used, in our case Java, Perl, PHP, or Ruby. In order to find properties that are similar within a web development platform but different across platforms, we analyzed several characteristics of the teams and their solutions, such as completeness, robustness, structure and aspects of the team's development process. We found certain characteristics that can be attributed to the platforms used but others that cannot. Our findings also indicate that for some characteristics the programming language might not be the best attribute by which to define the platform anymore. Copyright 2012 ACM.</v>
      </c>
      <c r="H1166" s="7" t="str">
        <f>IFERROR(__xludf.DUMMYFUNCTION("""COMPUTED_VALUE"""),"Comparison; Emergent properties; Empirical software engineering; Experiment; Languages; Platforms; Web development")</f>
        <v>Comparison; Emergent properties; Empirical software engineering; Experiment; Languages; Platforms; Web development</v>
      </c>
      <c r="I1166" s="9" t="b">
        <v>1</v>
      </c>
      <c r="J1166" s="9" t="b">
        <v>1</v>
      </c>
      <c r="K1166" s="9" t="b">
        <v>1</v>
      </c>
      <c r="L1166" s="10" t="b">
        <v>0</v>
      </c>
      <c r="M1166" s="10" t="b">
        <v>0</v>
      </c>
      <c r="N1166" s="10" t="b">
        <v>0</v>
      </c>
      <c r="O1166" s="11" t="b">
        <f t="shared" si="1"/>
        <v>1</v>
      </c>
      <c r="P1166" s="16" t="b">
        <v>0</v>
      </c>
      <c r="Q1166" s="7"/>
    </row>
    <row r="1167">
      <c r="A1167" s="5" t="b">
        <v>1</v>
      </c>
      <c r="B1167" s="5" t="s">
        <v>1218</v>
      </c>
      <c r="C1167" s="7" t="str">
        <f>IFERROR(__xludf.DUMMYFUNCTION("""COMPUTED_VALUE"""),"10.1145/1852786.1852821")</f>
        <v>10.1145/1852786.1852821</v>
      </c>
      <c r="D1167" s="7" t="str">
        <f>IFERROR(__xludf.DUMMYFUNCTION("""COMPUTED_VALUE"""),"Lind K.; Heldal R.")</f>
        <v>Lind K.; Heldal R.</v>
      </c>
      <c r="E1167" s="7" t="str">
        <f>IFERROR(__xludf.DUMMYFUNCTION("""COMPUTED_VALUE"""),"Categorization of real-time software components for code size estimation")</f>
        <v>Categorization of real-time software components for code size estimation</v>
      </c>
      <c r="F1167" s="7" t="str">
        <f>IFERROR(__xludf.DUMMYFUNCTION("""COMPUTED_VALUE"""),"ESEM")</f>
        <v>ESEM</v>
      </c>
      <c r="G1167" s="7" t="str">
        <f>IFERROR(__xludf.DUMMYFUNCTION("""COMPUTED_VALUE"""),"Background: To estimate Software Code Size early in the development process is important both for Cost/Effort estimation and electronic hardware design reasons. The COSMIC FSM (Functional Size Measurement) method treats the intended software to be measure"&amp;"d as a black box, and measures CFP (COSMIC Function Points) based only on data movement in and out of the software. Therefore, CFP can be measured on requirements defined early, and be used to estimate Code Size if there exists a strong correlation betwee"&amp;"n CFP and Code Size. We have conducted four experiments in the automotive industry showing strong correlation between CFP and implemented Code Size in Bytes. All four experiments, of which two have not been published before, show equally strong correlatio"&amp;"n but the linear relationship is different between the experiments. Goal: This paper aims to identify the factors affecting the linear relationship. With these factors, we can categorize new requirements to be measured and select the proper linear relatio"&amp;"nship to convert CFP into Bytes, i.e. estimate Code Size. Method: We replicate our earlier experiments with software components of new types, and review the results from all our experiments. Potential factors affecting implemented Code Size are identified"&amp;" by performing open-ended interviews with domain experts. Results: We have in the automotive industry identified a set of factors that can be used to categorize the software components we want to measure; functionality type, quality constraints, and devel"&amp;"opment methods and tools. Conclusions: COSMIC can produce accurate Code Size Estimates provided that sub-sets of cohesive and uniform requirements can be identified. Moreover, similar requirements must have been measured before to establish the linear rel"&amp;"ationship between CFP and Bytes. Finally, the sub-sets of requirements need to be able to categorize based on factors that affect the linear relationship. With this approach, even complex calculations can be measured, provided that they are proportional t"&amp;"o the number of data movements. © 2010 ACM.")</f>
        <v>Background: To estimate Software Code Size early in the development process is important both for Cost/Effort estimation and electronic hardware design reasons. The COSMIC FSM (Functional Size Measurement) method treats the intended software to be measured as a black box, and measures CFP (COSMIC Function Points) based only on data movement in and out of the software. Therefore, CFP can be measured on requirements defined early, and be used to estimate Code Size if there exists a strong correlation between CFP and Code Size. We have conducted four experiments in the automotive industry showing strong correlation between CFP and implemented Code Size in Bytes. All four experiments, of which two have not been published before, show equally strong correlation but the linear relationship is different between the experiments. Goal: This paper aims to identify the factors affecting the linear relationship. With these factors, we can categorize new requirements to be measured and select the proper linear relationship to convert CFP into Bytes, i.e. estimate Code Size. Method: We replicate our earlier experiments with software components of new types, and review the results from all our experiments. Potential factors affecting implemented Code Size are identified by performing open-ended interviews with domain experts. Results: We have in the automotive industry identified a set of factors that can be used to categorize the software components we want to measure; functionality type, quality constraints, and development methods and tools. Conclusions: COSMIC can produce accurate Code Size Estimates provided that sub-sets of cohesive and uniform requirements can be identified. Moreover, similar requirements must have been measured before to establish the linear relationship between CFP and Bytes. Finally, the sub-sets of requirements need to be able to categorize based on factors that affect the linear relationship. With this approach, even complex calculations can be measured, provided that they are proportional to the number of data movements. © 2010 ACM.</v>
      </c>
      <c r="H1167" s="7" t="str">
        <f>IFERROR(__xludf.DUMMYFUNCTION("""COMPUTED_VALUE"""),"categorization; COSMIC function points; functional size measurement; software code size; system architecture; UML components")</f>
        <v>categorization; COSMIC function points; functional size measurement; software code size; system architecture; UML components</v>
      </c>
      <c r="I1167" s="9" t="b">
        <v>1</v>
      </c>
      <c r="J1167" s="10" t="b">
        <v>0</v>
      </c>
      <c r="K1167" s="9" t="b">
        <v>1</v>
      </c>
      <c r="L1167" s="10" t="b">
        <v>0</v>
      </c>
      <c r="M1167" s="10" t="b">
        <v>0</v>
      </c>
      <c r="N1167" s="10" t="b">
        <v>0</v>
      </c>
      <c r="O1167" s="11" t="b">
        <f t="shared" si="1"/>
        <v>0</v>
      </c>
      <c r="P1167" s="12" t="b">
        <v>0</v>
      </c>
      <c r="Q1167" s="13"/>
    </row>
    <row r="1168">
      <c r="A1168" s="5" t="b">
        <v>1</v>
      </c>
      <c r="B1168" s="5" t="s">
        <v>1219</v>
      </c>
      <c r="C1168" s="7" t="str">
        <f>IFERROR(__xludf.DUMMYFUNCTION("""COMPUTED_VALUE"""),"10.1109/ESEM.2009.5314232")</f>
        <v>10.1109/ESEM.2009.5314232</v>
      </c>
      <c r="D1168" s="7" t="str">
        <f>IFERROR(__xludf.DUMMYFUNCTION("""COMPUTED_VALUE"""),"Condori-Fernandez N.; Daneva M.; Sikkel K.; Wieringa R.; Dieste O.; Pastor O.")</f>
        <v>Condori-Fernandez N.; Daneva M.; Sikkel K.; Wieringa R.; Dieste O.; Pastor O.</v>
      </c>
      <c r="E1168" s="7" t="str">
        <f>IFERROR(__xludf.DUMMYFUNCTION("""COMPUTED_VALUE"""),"A systematic mapping study on empirical evaluation of software requirements specifications techniques")</f>
        <v>A systematic mapping study on empirical evaluation of software requirements specifications techniques</v>
      </c>
      <c r="F1168" s="7" t="str">
        <f>IFERROR(__xludf.DUMMYFUNCTION("""COMPUTED_VALUE"""),"ESEM")</f>
        <v>ESEM</v>
      </c>
      <c r="G1168" s="7" t="str">
        <f>IFERROR(__xludf.DUMMYFUNCTION("""COMPUTED_VALUE"""),"This paper describes an empirical mapping study, which was designed to identify what aspects of Software Requirement Specifications (SRS) are empirically evaluated, in which context, and by using which research method. On the basis of 46 identified and ca"&amp;"tegorized primary studies, we found that understandability is the most commonly evaluated aspect of SRS, experiments are the most commonly used research method, and the academic environment is where most empirical evaluation takes place. © 2009 IEEE.")</f>
        <v>This paper describes an empirical mapping study, which was designed to identify what aspects of Software Requirement Specifications (SRS) are empirically evaluated, in which context, and by using which research method. On the basis of 46 identified and categorized primary studies, we found that understandability is the most commonly evaluated aspect of SRS, experiments are the most commonly used research method, and the academic environment is where most empirical evaluation takes place. © 2009 IEEE.</v>
      </c>
      <c r="H1168" s="7"/>
      <c r="I1168" s="10" t="b">
        <v>0</v>
      </c>
      <c r="J1168" s="10" t="b">
        <v>0</v>
      </c>
      <c r="K1168" s="10" t="b">
        <v>0</v>
      </c>
      <c r="L1168" s="10" t="b">
        <v>0</v>
      </c>
      <c r="M1168" s="10" t="b">
        <v>0</v>
      </c>
      <c r="N1168" s="10" t="b">
        <v>0</v>
      </c>
      <c r="O1168" s="11" t="b">
        <f t="shared" si="1"/>
        <v>0</v>
      </c>
      <c r="P1168" s="16" t="b">
        <v>0</v>
      </c>
      <c r="Q1168" s="7"/>
    </row>
    <row r="1169">
      <c r="A1169" s="5" t="b">
        <v>1</v>
      </c>
      <c r="B1169" s="5" t="s">
        <v>1220</v>
      </c>
      <c r="C1169" s="7" t="str">
        <f>IFERROR(__xludf.DUMMYFUNCTION("""COMPUTED_VALUE"""),"10.1145/1414004.1414053")</f>
        <v>10.1145/1414004.1414053</v>
      </c>
      <c r="D1169" s="7" t="str">
        <f>IFERROR(__xludf.DUMMYFUNCTION("""COMPUTED_VALUE"""),"Noël R.; Valdes G.; Visconti M.; Astudillo H.")</f>
        <v>Noël R.; Valdes G.; Visconti M.; Astudillo H.</v>
      </c>
      <c r="E1169" s="7" t="str">
        <f>IFERROR(__xludf.DUMMYFUNCTION("""COMPUTED_VALUE"""),"Adding planned design to XP might help novices' productivity (or might not): Two controlled experiments")</f>
        <v>Adding planned design to XP might help novices' productivity (or might not): Two controlled experiments</v>
      </c>
      <c r="F1169" s="7" t="str">
        <f>IFERROR(__xludf.DUMMYFUNCTION("""COMPUTED_VALUE"""),"ESEM")</f>
        <v>ESEM</v>
      </c>
      <c r="G1169" s="7" t="str">
        <f>IFERROR(__xludf.DUMMYFUNCTION("""COMPUTED_VALUE"""),"Extreme Programming (XP) suggests using Evolutionary design, always implementing the simplest solution that satisfies the current iteration's requirements, instead of Planned (or Traditional) up-front design. Some developers have questioned the usefulness"&amp;" of Evolutionary approach's enabling practices (e.g., refactoring, test-driven development) arguing for the naturalness of, and need for, Planned design. Two controlled experiments were conducted to compare both approaches regarding product quality and pr"&amp;"ogrammer productivity. Results from both studies show that (1) there is no significant difference in the product quality, independently of experience, but (2) novices are more productive using the Planned approach. Copyright 2008 ACM.")</f>
        <v>Extreme Programming (XP) suggests using Evolutionary design, always implementing the simplest solution that satisfies the current iteration's requirements, instead of Planned (or Traditional) up-front design. Some developers have questioned the usefulness of Evolutionary approach's enabling practices (e.g., refactoring, test-driven development) arguing for the naturalness of, and need for, Planned design. Two controlled experiments were conducted to compare both approaches regarding product quality and programmer productivity. Results from both studies show that (1) there is no significant difference in the product quality, independently of experience, but (2) novices are more productive using the Planned approach. Copyright 2008 ACM.</v>
      </c>
      <c r="H1169" s="7" t="str">
        <f>IFERROR(__xludf.DUMMYFUNCTION("""COMPUTED_VALUE"""),"Evolutionary software design; Experimental studies; Extreme programming; Planned software design")</f>
        <v>Evolutionary software design; Experimental studies; Extreme programming; Planned software design</v>
      </c>
      <c r="I1169" s="9" t="b">
        <v>1</v>
      </c>
      <c r="J1169" s="9" t="b">
        <v>1</v>
      </c>
      <c r="K1169" s="9" t="b">
        <v>1</v>
      </c>
      <c r="L1169" s="10" t="b">
        <v>0</v>
      </c>
      <c r="M1169" s="10" t="b">
        <v>0</v>
      </c>
      <c r="N1169" s="10" t="b">
        <v>0</v>
      </c>
      <c r="O1169" s="11" t="b">
        <f t="shared" si="1"/>
        <v>1</v>
      </c>
      <c r="P1169" s="16" t="b">
        <v>0</v>
      </c>
      <c r="Q1169" s="7"/>
    </row>
    <row r="1170">
      <c r="A1170" s="5" t="b">
        <v>1</v>
      </c>
      <c r="B1170" s="5" t="s">
        <v>1221</v>
      </c>
      <c r="C1170" s="7" t="str">
        <f>IFERROR(__xludf.DUMMYFUNCTION("""COMPUTED_VALUE"""),"10.1109/ESEM.2009.5314220")</f>
        <v>10.1109/ESEM.2009.5314220</v>
      </c>
      <c r="D1170" s="7" t="str">
        <f>IFERROR(__xludf.DUMMYFUNCTION("""COMPUTED_VALUE"""),"Scarfone K.; Mell P.")</f>
        <v>Scarfone K.; Mell P.</v>
      </c>
      <c r="E1170" s="7" t="str">
        <f>IFERROR(__xludf.DUMMYFUNCTION("""COMPUTED_VALUE"""),"An analysis of CVSS version 2 vulnerability scoring")</f>
        <v>An analysis of CVSS version 2 vulnerability scoring</v>
      </c>
      <c r="F1170" s="7" t="str">
        <f>IFERROR(__xludf.DUMMYFUNCTION("""COMPUTED_VALUE"""),"ESEM")</f>
        <v>ESEM</v>
      </c>
      <c r="G1170" s="7" t="str">
        <f>IFERROR(__xludf.DUMMYFUNCTION("""COMPUTED_VALUE"""),"The Common Vulnerability Scoring System (CVSS) is a specification for measuring the relative severity of software vulnerabilities. Finalized in 2007, CVSS version 2 was designed to address deficiencies found during analysis and use of the original CVSS ve"&amp;"rsion. This paper analyzes how effectively CVSS version 2 addresses these deficiencies and what new deficiencies it may have. This analysis is based primarily on an experiment that applied both version 1 and version 2 scoring to a large set of recent vuln"&amp;"erabilities. Theoretical characteristics of version 1 and version 2 scores were also examined. The results show that the goals for the changes were met, but that some changes had a negligible effect on scoring while complicating the scoring process. The c"&amp;"hanges also had unintended effects on organizations that prioritize vulnerability remediation based primarily on CVSS scores. © 2009 IEEE.")</f>
        <v>The Common Vulnerability Scoring System (CVSS) is a specification for measuring the relative severity of software vulnerabilities. Finalized in 2007, CVSS version 2 was designed to address deficiencies found during analysis and use of the original CVSS version. This paper analyzes how effectively CVSS version 2 addresses these deficiencies and what new deficiencies it may have. This analysis is based primarily on an experiment that applied both version 1 and version 2 scoring to a large set of recent vulnerabilities. Theoretical characteristics of version 1 and version 2 scores were also examined. The results show that the goals for the changes were met, but that some changes had a negligible effect on scoring while complicating the scoring process. The changes also had unintended effects on organizations that prioritize vulnerability remediation based primarily on CVSS scores. © 2009 IEEE.</v>
      </c>
      <c r="H1170" s="7"/>
      <c r="I1170" s="10" t="b">
        <v>0</v>
      </c>
      <c r="J1170" s="10" t="b">
        <v>0</v>
      </c>
      <c r="K1170" s="10" t="b">
        <v>0</v>
      </c>
      <c r="L1170" s="10" t="b">
        <v>0</v>
      </c>
      <c r="M1170" s="10" t="b">
        <v>0</v>
      </c>
      <c r="N1170" s="10" t="b">
        <v>0</v>
      </c>
      <c r="O1170" s="11" t="b">
        <f t="shared" si="1"/>
        <v>0</v>
      </c>
      <c r="P1170" s="16" t="b">
        <v>0</v>
      </c>
      <c r="Q1170" s="7"/>
    </row>
    <row r="1171">
      <c r="A1171" s="5" t="b">
        <v>1</v>
      </c>
      <c r="B1171" s="5" t="s">
        <v>1222</v>
      </c>
      <c r="C1171" s="7" t="str">
        <f>IFERROR(__xludf.DUMMYFUNCTION("""COMPUTED_VALUE"""),"10.1109/ESEM.2013.10")</f>
        <v>10.1109/ESEM.2013.10</v>
      </c>
      <c r="D1171" s="7" t="str">
        <f>IFERROR(__xludf.DUMMYFUNCTION("""COMPUTED_VALUE"""),"Nanz S.; West S.; Da Silveira K.S.; Meyer B.")</f>
        <v>Nanz S.; West S.; Da Silveira K.S.; Meyer B.</v>
      </c>
      <c r="E1171" s="7" t="str">
        <f>IFERROR(__xludf.DUMMYFUNCTION("""COMPUTED_VALUE"""),"Benchmarking usability and performance of multicore languages")</f>
        <v>Benchmarking usability and performance of multicore languages</v>
      </c>
      <c r="F1171" s="7" t="str">
        <f>IFERROR(__xludf.DUMMYFUNCTION("""COMPUTED_VALUE"""),"ESEM")</f>
        <v>ESEM</v>
      </c>
      <c r="G1171" s="7" t="str">
        <f>IFERROR(__xludf.DUMMYFUNCTION("""COMPUTED_VALUE"""),"Developers face a wide choice of programming languages and libraries supporting multicore computing. Ever more diverse paradigms for expressing parallelism and synchronization become available while their influence on usability and performance remains lar"&amp;"gely unclear. This paper describes an experiment comparing four markedly different approaches to parallel programming: Chapel, Cilk, Go, and Threading Building Blocks (TBB). Each language is used to implement sequential and parallel versions of six benchm"&amp;"ark programs. The implementations are then reviewed by notable experts in the language, thereby obtaining reference versions for each language and benchmark. The resulting pool of 96 implementations is used to compare the languages with respect to source "&amp;"code size, coding time, execution time, and speedup. The experiment uncovers strengths and weaknesses in all approaches, facilitating an informed selection of a language under a particular set of requirements. The expert review step furthermore highlights"&amp;" the importance of expert knowledge when using modern parallel programming approaches. © 2013 IEEE.")</f>
        <v>Developers face a wide choice of programming languages and libraries supporting multicore computing. Ever more diverse paradigms for expressing parallelism and synchronization become available while their influence on usability and performance remains largely unclear. This paper describes an experiment comparing four markedly different approaches to parallel programming: Chapel, Cilk, Go, and Threading Building Blocks (TBB). Each language is used to implement sequential and parallel versions of six benchmark programs. The implementations are then reviewed by notable experts in the language, thereby obtaining reference versions for each language and benchmark. The resulting pool of 96 implementations is used to compare the languages with respect to source code size, coding time, execution time, and speedup. The experiment uncovers strengths and weaknesses in all approaches, facilitating an informed selection of a language under a particular set of requirements. The expert review step furthermore highlights the importance of expert knowledge when using modern parallel programming approaches. © 2013 IEEE.</v>
      </c>
      <c r="H1171" s="7"/>
      <c r="I1171" s="9" t="b">
        <v>1</v>
      </c>
      <c r="J1171" s="10" t="b">
        <v>0</v>
      </c>
      <c r="K1171" s="9" t="b">
        <v>1</v>
      </c>
      <c r="L1171" s="10" t="b">
        <v>0</v>
      </c>
      <c r="M1171" s="10" t="b">
        <v>0</v>
      </c>
      <c r="N1171" s="10" t="b">
        <v>0</v>
      </c>
      <c r="O1171" s="11" t="b">
        <f t="shared" si="1"/>
        <v>0</v>
      </c>
      <c r="P1171" s="16" t="b">
        <v>0</v>
      </c>
      <c r="Q1171" s="7"/>
    </row>
    <row r="1172">
      <c r="A1172" s="5" t="b">
        <v>1</v>
      </c>
      <c r="B1172" s="5" t="s">
        <v>1223</v>
      </c>
      <c r="C1172" s="7" t="str">
        <f>IFERROR(__xludf.DUMMYFUNCTION("""COMPUTED_VALUE"""),"10.1145/3239235.3240499")</f>
        <v>10.1145/3239235.3240499</v>
      </c>
      <c r="D1172" s="7" t="str">
        <f>IFERROR(__xludf.DUMMYFUNCTION("""COMPUTED_VALUE"""),"Stratis P.; Yaneva V.; Rajan A.")</f>
        <v>Stratis P.; Yaneva V.; Rajan A.</v>
      </c>
      <c r="E1172" s="7" t="str">
        <f>IFERROR(__xludf.DUMMYFUNCTION("""COMPUTED_VALUE"""),"Assessing the effect of data transformations on test suite compilation")</f>
        <v>Assessing the effect of data transformations on test suite compilation</v>
      </c>
      <c r="F1172" s="7" t="str">
        <f>IFERROR(__xludf.DUMMYFUNCTION("""COMPUTED_VALUE"""),"ESEM")</f>
        <v>ESEM</v>
      </c>
      <c r="G1172" s="7" t="str">
        <f>IFERROR(__xludf.DUMMYFUNCTION("""COMPUTED_VALUE"""),"Background. The requirements and responsibilities assumed by software has increasingly rendered it to be large and complex. Testing to ensure that software meets all its requirements and is free from failures is a difficult and time-consuming task that ne"&amp;"cessitates the use of large test suites, containing many tests. Large test suites result in a corresponding increase in the size of the test code that sets up, exercises and verifies the tests. Time needed to compile and optimise the test code becomes pro"&amp;"hibitive for large test code sizes. Aims. In this paper we demonstrate for the first time optimisations to speedup compilation of test code. Reducing the compilation time of test code for large and complex systems will allow additional tests to be compile"&amp;"d and executed, while also enabling more frequent and rigorous testing. Methods. We propose transformations that reduce the number of instructions in the test code, which in turn reduces compilation time. Using two well known compilers, GCC and Clang, we "&amp;"conduct empirical evaluations using subject programs from industry standard benchmarks and an industry provided program. We evaluate compilation speedup, execution time, scalability and correctness of the proposed test code transformation. Results. Our ap"&amp;"proach resulted in significant compilation speedups in the range of 1.3X to 69X. Execution of the test code was just as fast with our transformation when compared to the original while also preserving correctness of execution. Finally, our experiments sho"&amp;"w that the gains in compilation time allow significantly more tests to be included in a single binary, improving scalability of test code compilation. Conclusions. The proposed transformation results in faster test code compilation for all the programs in"&amp;" our experiment, with more significant speedups for larger case studies and larger numbers of tests. As systems get more complex requiring frequent and extensive testing, we believe our approach provides a safe and efficient means of compiling test code. "&amp;"© 2018 ACM.")</f>
        <v>Background. The requirements and responsibilities assumed by software has increasingly rendered it to be large and complex. Testing to ensure that software meets all its requirements and is free from failures is a difficult and time-consuming task that necessitates the use of large test suites, containing many tests. Large test suites result in a corresponding increase in the size of the test code that sets up, exercises and verifies the tests. Time needed to compile and optimise the test code becomes prohibitive for large test code sizes. Aims. In this paper we demonstrate for the first time optimisations to speedup compilation of test code. Reducing the compilation time of test code for large and complex systems will allow additional tests to be compiled and executed, while also enabling more frequent and rigorous testing. Methods. We propose transformations that reduce the number of instructions in the test code, which in turn reduces compilation time. Using two well known compilers, GCC and Clang, we conduct empirical evaluations using subject programs from industry standard benchmarks and an industry provided program. We evaluate compilation speedup, execution time, scalability and correctness of the proposed test code transformation. Results. Our approach resulted in significant compilation speedups in the range of 1.3X to 69X. Execution of the test code was just as fast with our transformation when compared to the original while also preserving correctness of execution. Finally, our experiments show that the gains in compilation time allow significantly more tests to be included in a single binary, improving scalability of test code compilation. Conclusions. The proposed transformation results in faster test code compilation for all the programs in our experiment, with more significant speedups for larger case studies and larger numbers of tests. As systems get more complex requiring frequent and extensive testing, we believe our approach provides a safe and efficient means of compiling test code. © 2018 ACM.</v>
      </c>
      <c r="H1172" s="7" t="str">
        <f>IFERROR(__xludf.DUMMYFUNCTION("""COMPUTED_VALUE"""),"Compilers; Data transformations; Testing")</f>
        <v>Compilers; Data transformations; Testing</v>
      </c>
      <c r="I1172" s="10" t="b">
        <v>0</v>
      </c>
      <c r="J1172" s="10" t="b">
        <v>0</v>
      </c>
      <c r="K1172" s="10" t="b">
        <v>0</v>
      </c>
      <c r="L1172" s="10" t="b">
        <v>0</v>
      </c>
      <c r="M1172" s="10" t="b">
        <v>0</v>
      </c>
      <c r="N1172" s="10" t="b">
        <v>0</v>
      </c>
      <c r="O1172" s="11" t="b">
        <f t="shared" si="1"/>
        <v>0</v>
      </c>
      <c r="P1172" s="16" t="b">
        <v>0</v>
      </c>
      <c r="Q1172" s="7"/>
    </row>
    <row r="1173">
      <c r="A1173" s="5" t="b">
        <v>1</v>
      </c>
      <c r="B1173" s="5" t="s">
        <v>1224</v>
      </c>
      <c r="C1173" s="7" t="str">
        <f>IFERROR(__xludf.DUMMYFUNCTION("""COMPUTED_VALUE"""),"10.1145/1852786.1852809")</f>
        <v>10.1145/1852786.1852809</v>
      </c>
      <c r="D1173" s="7" t="str">
        <f>IFERROR(__xludf.DUMMYFUNCTION("""COMPUTED_VALUE"""),"Ricca F.; Scanniello G.; Torchiano M.; Reggio G.; Astesiano E.")</f>
        <v>Ricca F.; Scanniello G.; Torchiano M.; Reggio G.; Astesiano E.</v>
      </c>
      <c r="E1173" s="7" t="str">
        <f>IFERROR(__xludf.DUMMYFUNCTION("""COMPUTED_VALUE"""),"On the effectiveness of screen mockups in requirements engineering: Results from an internal replication")</f>
        <v>On the effectiveness of screen mockups in requirements engineering: Results from an internal replication</v>
      </c>
      <c r="F1173" s="7" t="str">
        <f>IFERROR(__xludf.DUMMYFUNCTION("""COMPUTED_VALUE"""),"ESEM")</f>
        <v>ESEM</v>
      </c>
      <c r="G1173" s="7" t="str">
        <f>IFERROR(__xludf.DUMMYFUNCTION("""COMPUTED_VALUE"""),"In this paper, we present and discuss the results of an internal replication of a controlled experiment for assessing the effectiveness of including screen mockups when adopting Use Cases. The results of the original experiment indicate a clear improvemen"&amp;"t in terms of understandability of functional requirements when screen mockups are present with no significant impact on effort. The data analysis of the replication, conducted also in this case with undergraduate students, confirms the results of the ori"&amp;"ginal experiment with slight differences, thus confirming that screen mockups facilitate the understanding of requirements without influencing the effort. We also sketch here some issues related to the documentation and communication between experimenters"&amp;". © 2010 ACM.")</f>
        <v>In this paper, we present and discuss the results of an internal replication of a controlled experiment for assessing the effectiveness of including screen mockups when adopting Use Cases. The results of the original experiment indicate a clear improvement in terms of understandability of functional requirements when screen mockups are present with no significant impact on effort. The data analysis of the replication, conducted also in this case with undergraduate students, confirms the results of the original experiment with slight differences, thus confirming that screen mockups facilitate the understanding of requirements without influencing the effort. We also sketch here some issues related to the documentation and communication between experimenters. © 2010 ACM.</v>
      </c>
      <c r="H1173" s="7" t="str">
        <f>IFERROR(__xludf.DUMMYFUNCTION("""COMPUTED_VALUE"""),"empirical studies; internal replication; screen mockups; use cases")</f>
        <v>empirical studies; internal replication; screen mockups; use cases</v>
      </c>
      <c r="I1173" s="9" t="b">
        <v>1</v>
      </c>
      <c r="J1173" s="9" t="b">
        <v>1</v>
      </c>
      <c r="K1173" s="9" t="b">
        <v>1</v>
      </c>
      <c r="L1173" s="10" t="b">
        <v>0</v>
      </c>
      <c r="M1173" s="10" t="b">
        <v>0</v>
      </c>
      <c r="N1173" s="10" t="b">
        <v>0</v>
      </c>
      <c r="O1173" s="11" t="b">
        <f t="shared" si="1"/>
        <v>1</v>
      </c>
      <c r="P1173" s="16" t="b">
        <v>0</v>
      </c>
      <c r="Q1173" s="7"/>
    </row>
    <row r="1174">
      <c r="A1174" s="5" t="b">
        <v>1</v>
      </c>
      <c r="B1174" s="5" t="s">
        <v>1225</v>
      </c>
      <c r="C1174" s="7" t="str">
        <f>IFERROR(__xludf.DUMMYFUNCTION("""COMPUTED_VALUE"""),"10.1145/2652524.2652567")</f>
        <v>10.1145/2652524.2652567</v>
      </c>
      <c r="D1174" s="7" t="str">
        <f>IFERROR(__xludf.DUMMYFUNCTION("""COMPUTED_VALUE"""),"De Mello R.M.; Da Silva P.C.; Runeson P.; Travassos G.H.")</f>
        <v>De Mello R.M.; Da Silva P.C.; Runeson P.; Travassos G.H.</v>
      </c>
      <c r="E1174" s="7" t="str">
        <f>IFERROR(__xludf.DUMMYFUNCTION("""COMPUTED_VALUE"""),"Towards a framework to support large scale sampling in software engineering surveys")</f>
        <v>Towards a framework to support large scale sampling in software engineering surveys</v>
      </c>
      <c r="F1174" s="7" t="str">
        <f>IFERROR(__xludf.DUMMYFUNCTION("""COMPUTED_VALUE"""),"ESEM")</f>
        <v>ESEM</v>
      </c>
      <c r="G1174" s="7" t="str">
        <f>IFERROR(__xludf.DUMMYFUNCTION("""COMPUTED_VALUE"""),"Context: The low quality and small size of samples in empirical studies in software engineering hamper the interpretation and generalization of their results. Therefore, enlarging sample sizes and improving their quality represent an important research ch"&amp;"allenge. Goal: We aim to define a conceptual framework, including requirements for establishing adequate sources for sampling subjects in software engineering surveys. Method: We use previous experience on applying systematic sampling strategies combined "&amp;"with contemporary web technologies in previously executed surveys, to organize the conceptual framework. We analyze its application to different sources of sampling. Results: The framework was observed to be feasible after its application to nine differen"&amp;"t large-scale sources of sampling. Conclusions: The analyzed crowdsourcing tools do not support essential requirements to be considered sources of sampling, while free-lancing tools and professional social network do. © 2014 ACM.")</f>
        <v>Context: The low quality and small size of samples in empirical studies in software engineering hamper the interpretation and generalization of their results. Therefore, enlarging sample sizes and improving their quality represent an important research challenge. Goal: We aim to define a conceptual framework, including requirements for establishing adequate sources for sampling subjects in software engineering surveys. Method: We use previous experience on applying systematic sampling strategies combined with contemporary web technologies in previously executed surveys, to organize the conceptual framework. We analyze its application to different sources of sampling. Results: The framework was observed to be feasible after its application to nine different large-scale sources of sampling. Conclusions: The analyzed crowdsourcing tools do not support essential requirements to be considered sources of sampling, while free-lancing tools and professional social network do. © 2014 ACM.</v>
      </c>
      <c r="H1174" s="7" t="str">
        <f>IFERROR(__xludf.DUMMYFUNCTION("""COMPUTED_VALUE"""),"experimental software engineering; population; quantitative studies; sampling; sampling frame; survey")</f>
        <v>experimental software engineering; population; quantitative studies; sampling; sampling frame; survey</v>
      </c>
      <c r="I1174" s="10" t="b">
        <v>0</v>
      </c>
      <c r="J1174" s="10" t="b">
        <v>0</v>
      </c>
      <c r="K1174" s="10" t="b">
        <v>0</v>
      </c>
      <c r="L1174" s="10" t="b">
        <v>0</v>
      </c>
      <c r="M1174" s="10" t="b">
        <v>0</v>
      </c>
      <c r="N1174" s="10" t="b">
        <v>0</v>
      </c>
      <c r="O1174" s="11" t="b">
        <f t="shared" si="1"/>
        <v>0</v>
      </c>
      <c r="P1174" s="16" t="b">
        <v>0</v>
      </c>
      <c r="Q1174" s="7"/>
    </row>
    <row r="1175">
      <c r="A1175" s="5" t="b">
        <v>1</v>
      </c>
      <c r="B1175" s="5" t="s">
        <v>1226</v>
      </c>
      <c r="C1175" s="7" t="str">
        <f>IFERROR(__xludf.DUMMYFUNCTION("""COMPUTED_VALUE"""),"10.1109/ESEM.2007.72")</f>
        <v>10.1109/ESEM.2007.72</v>
      </c>
      <c r="D1175" s="7" t="str">
        <f>IFERROR(__xludf.DUMMYFUNCTION("""COMPUTED_VALUE"""),"Mitani Y.; Matsumura T.; Barker M.; Tsuruho S.; Inoue K.; Matsumoto K.-I.")</f>
        <v>Mitani Y.; Matsumura T.; Barker M.; Tsuruho S.; Inoue K.; Matsumoto K.-I.</v>
      </c>
      <c r="E1175" s="7" t="str">
        <f>IFERROR(__xludf.DUMMYFUNCTION("""COMPUTED_VALUE"""),"Proposal of a complete life cycle in-process measurement model based on evaluation of an in-process measurement experiment using a standardized requirement definition process")</f>
        <v>Proposal of a complete life cycle in-process measurement model based on evaluation of an in-process measurement experiment using a standardized requirement definition process</v>
      </c>
      <c r="F1175" s="7" t="str">
        <f>IFERROR(__xludf.DUMMYFUNCTION("""COMPUTED_VALUE"""),"ESEM")</f>
        <v>ESEM</v>
      </c>
      <c r="G1175" s="7" t="str">
        <f>IFERROR(__xludf.DUMMYFUNCTION("""COMPUTED_VALUE"""),"This paper focuses on in-process measurements during requirements definition where measurements of processes and products are relatively difficult. However, development processes in Japan based on the Enterprise Architecture method provide standardized fo"&amp;"rmats for such upstream processes and products, allowing in-process measurements. Based on previous work and on this examination of in-process measurements of requirements definition with the Enterprise Architecture method and previous results of empirica"&amp;"l studies of in-process measurements and empirically validates of later development processes, this paper proposes a new measurement model, the ""Full In-Process Process and Product (I-PAP) Measurement Model,"" which includes the complete software develop"&amp;"ment process from requirements to maintenance. Standardization of the requirements definition phase using the Enterprise Architecture method in Japan allows in-process measurement across the complete development lifecycle. Combining this with collaborativ"&amp;"e filtering and a project benchmark database will support project evaluation, estimation, and prediction.© 2007 IEEE.")</f>
        <v>This paper focuses on in-process measurements during requirements definition where measurements of processes and products are relatively difficult. However, development processes in Japan based on the Enterprise Architecture method provide standardized formats for such upstream processes and products, allowing in-process measurements. Based on previous work and on this examination of in-process measurements of requirements definition with the Enterprise Architecture method and previous results of empirical studies of in-process measurements and empirically validates of later development processes, this paper proposes a new measurement model, the "Full In-Process Process and Product (I-PAP) Measurement Model," which includes the complete software development process from requirements to maintenance. Standardization of the requirements definition phase using the Enterprise Architecture method in Japan allows in-process measurement across the complete development lifecycle. Combining this with collaborative filtering and a project benchmark database will support project evaluation, estimation, and prediction.© 2007 IEEE.</v>
      </c>
      <c r="H1175" s="7" t="str">
        <f>IFERROR(__xludf.DUMMYFUNCTION("""COMPUTED_VALUE"""),"Empirical software engineering; Enterprise Architecture; In-process measurement; Requirement definition phase measurement.; Software process measurement")</f>
        <v>Empirical software engineering; Enterprise Architecture; In-process measurement; Requirement definition phase measurement.; Software process measurement</v>
      </c>
      <c r="I1175" s="10" t="b">
        <v>0</v>
      </c>
      <c r="J1175" s="10" t="b">
        <v>0</v>
      </c>
      <c r="K1175" s="10" t="b">
        <v>0</v>
      </c>
      <c r="L1175" s="10" t="b">
        <v>0</v>
      </c>
      <c r="M1175" s="10" t="b">
        <v>0</v>
      </c>
      <c r="N1175" s="10" t="b">
        <v>0</v>
      </c>
      <c r="O1175" s="11" t="b">
        <f t="shared" si="1"/>
        <v>0</v>
      </c>
      <c r="P1175" s="16" t="b">
        <v>0</v>
      </c>
      <c r="Q1175" s="7"/>
    </row>
    <row r="1176">
      <c r="A1176" s="5" t="b">
        <v>1</v>
      </c>
      <c r="B1176" s="5" t="s">
        <v>1227</v>
      </c>
      <c r="C1176" s="7" t="str">
        <f>IFERROR(__xludf.DUMMYFUNCTION("""COMPUTED_VALUE"""),"10.1145/1852786.1852854")</f>
        <v>10.1145/1852786.1852854</v>
      </c>
      <c r="D1176" s="7" t="str">
        <f>IFERROR(__xludf.DUMMYFUNCTION("""COMPUTED_VALUE"""),"Erra U.; Portnova A.; Scanniello G.")</f>
        <v>Erra U.; Portnova A.; Scanniello G.</v>
      </c>
      <c r="E1176" s="7" t="str">
        <f>IFERROR(__xludf.DUMMYFUNCTION("""COMPUTED_VALUE"""),"Comparing two communication media in use case modeling: Results from a controlled experiment")</f>
        <v>Comparing two communication media in use case modeling: Results from a controlled experiment</v>
      </c>
      <c r="F1176" s="7" t="str">
        <f>IFERROR(__xludf.DUMMYFUNCTION("""COMPUTED_VALUE"""),"ESEM")</f>
        <v>ESEM</v>
      </c>
      <c r="G1176" s="7" t="str">
        <f>IFERROR(__xludf.DUMMYFUNCTION("""COMPUTED_VALUE"""),"A critical claim in software requirements regards the assertion that the team performances improve when media with higher richness levels are used. To investigate this claim, we have conducted a controlled experiment to compare traditional face-to-face co"&amp;"mmunication, the richest medium, and a leaner medium, namely an advanced chat implementing a distributed version of Think-Pair-Square (i.e., a well known method for collaborative problem solving). The comparison has been performed considering the time nee"&amp;"ded to model functional requirements through a use case modeling technique. Since the only assessment of time could be meaningless, we have also analyzed the media effect on the quality of the produced use cases. The results indicate a significant differe"&amp;"nce in terms of time to model software requirements in favor of face-to-face communication with no significant impact on the quality. © 2010 ACM.")</f>
        <v>A critical claim in software requirements regards the assertion that the team performances improve when media with higher richness levels are used. To investigate this claim, we have conducted a controlled experiment to compare traditional face-to-face communication, the richest medium, and a leaner medium, namely an advanced chat implementing a distributed version of Think-Pair-Square (i.e., a well known method for collaborative problem solving). The comparison has been performed considering the time needed to model functional requirements through a use case modeling technique. Since the only assessment of time could be meaningless, we have also analyzed the media effect on the quality of the produced use cases. The results indicate a significant difference in terms of time to model software requirements in favor of face-to-face communication with no significant impact on the quality. © 2010 ACM.</v>
      </c>
      <c r="H1176" s="7" t="str">
        <f>IFERROR(__xludf.DUMMYFUNCTION("""COMPUTED_VALUE"""),"D.2.1 [Requirements/Specifications]: :Methodologies; Experimentation; Measurement")</f>
        <v>D.2.1 [Requirements/Specifications]: :Methodologies; Experimentation; Measurement</v>
      </c>
      <c r="I1176" s="9" t="b">
        <v>1</v>
      </c>
      <c r="J1176" s="9" t="b">
        <v>1</v>
      </c>
      <c r="K1176" s="9" t="b">
        <v>1</v>
      </c>
      <c r="L1176" s="10" t="b">
        <v>0</v>
      </c>
      <c r="M1176" s="10" t="b">
        <v>0</v>
      </c>
      <c r="N1176" s="10" t="b">
        <v>0</v>
      </c>
      <c r="O1176" s="11" t="b">
        <f t="shared" si="1"/>
        <v>1</v>
      </c>
      <c r="P1176" s="16" t="b">
        <v>0</v>
      </c>
      <c r="Q1176" s="7"/>
    </row>
    <row r="1177">
      <c r="A1177" s="5" t="b">
        <v>1</v>
      </c>
      <c r="B1177" s="5" t="s">
        <v>1228</v>
      </c>
      <c r="C1177" s="7"/>
      <c r="D1177" s="7"/>
      <c r="E1177" s="7" t="str">
        <f>IFERROR(__xludf.DUMMYFUNCTION("""COMPUTED_VALUE"""),"Proceedings - 1st International Symposium on Empirical Software Engineering and Measurement, ESEM 2007")</f>
        <v>Proceedings - 1st International Symposium on Empirical Software Engineering and Measurement, ESEM 2007</v>
      </c>
      <c r="F1177" s="7" t="str">
        <f>IFERROR(__xludf.DUMMYFUNCTION("""COMPUTED_VALUE"""),"ESEM")</f>
        <v>ESEM</v>
      </c>
      <c r="G1177" s="7" t="str">
        <f>IFERROR(__xludf.DUMMYFUNCTION("""COMPUTED_VALUE"""),"The proceedings contain 71 papers. The topics discussed include: a critical analysis of empirical research in software testing; proposal of a complete life cycle in-process measurement model based on evaluation of an in-process measurement experiment usin"&amp;"g a standardized requirement definition process; observing software testing practice from the viewpoint of organizations and knowledge management; an estimation model for test execution effort; cognitive limits of software cost estimation; impact analysis"&amp;" of missing values on the prediction accuracy of analogy-based software effort estimation method AQUA; static members and cycles in Java software; usability evaluation based on web design perspectives; an empirical study of the effects of Gestalt principl"&amp;"es on diagram understandability; a comparative study of aspect-oriented requirements engineering approaches; and evaluating the impact of adaptive maintenance process on open source software quality.")</f>
        <v>The proceedings contain 71 papers. The topics discussed include: a critical analysis of empirical research in software testing; proposal of a complete life cycle in-process measurement model based on evaluation of an in-process measurement experiment using a standardized requirement definition process; observing software testing practice from the viewpoint of organizations and knowledge management; an estimation model for test execution effort; cognitive limits of software cost estimation; impact analysis of missing values on the prediction accuracy of analogy-based software effort estimation method AQUA; static members and cycles in Java software; usability evaluation based on web design perspectives; an empirical study of the effects of Gestalt principles on diagram understandability; a comparative study of aspect-oriented requirements engineering approaches; and evaluating the impact of adaptive maintenance process on open source software quality.</v>
      </c>
      <c r="H1177" s="7"/>
      <c r="I1177" s="10" t="b">
        <v>0</v>
      </c>
      <c r="J1177" s="10" t="b">
        <v>0</v>
      </c>
      <c r="K1177" s="10" t="b">
        <v>0</v>
      </c>
      <c r="L1177" s="10" t="b">
        <v>0</v>
      </c>
      <c r="M1177" s="10" t="b">
        <v>0</v>
      </c>
      <c r="N1177" s="10" t="b">
        <v>0</v>
      </c>
      <c r="O1177" s="11" t="b">
        <f t="shared" si="1"/>
        <v>0</v>
      </c>
      <c r="P1177" s="16" t="b">
        <v>0</v>
      </c>
      <c r="Q1177" s="7"/>
    </row>
    <row r="1178">
      <c r="A1178" s="5" t="b">
        <v>1</v>
      </c>
      <c r="B1178" s="5" t="s">
        <v>1229</v>
      </c>
      <c r="C1178" s="7" t="str">
        <f>IFERROR(__xludf.DUMMYFUNCTION("""COMPUTED_VALUE"""),"10.1007/978-3-540-68237-0_11")</f>
        <v>10.1007/978-3-540-68237-0_11</v>
      </c>
      <c r="D1178" s="7" t="str">
        <f>IFERROR(__xludf.DUMMYFUNCTION("""COMPUTED_VALUE"""),"Furia CA,Pradella M,Rossi M")</f>
        <v>Furia CA,Pradella M,Rossi M</v>
      </c>
      <c r="E1178" s="7" t="str">
        <f>IFERROR(__xludf.DUMMYFUNCTION("""COMPUTED_VALUE"""),"Automated Verification of Dense-Time MTL Specifications Via Discrete-Time Approximation")</f>
        <v>Automated Verification of Dense-Time MTL Specifications Via Discrete-Time Approximation</v>
      </c>
      <c r="F1178" s="7" t="str">
        <f>IFERROR(__xludf.DUMMYFUNCTION("""COMPUTED_VALUE"""),"FM")</f>
        <v>FM</v>
      </c>
      <c r="G1178" s="7" t="str">
        <f>IFERROR(__xludf.DUMMYFUNCTION("""COMPUTED_VALUE"""),"This paper presents a verification technique for dense-time MTL based on discretization. The technique reduces the validity problem of MTL formulas from dense to discrete time, through the notion of sampling invariance , introduced in previous work [13]. "&amp;"Since the reduction is from an undecidable problem to a decidable one, the technique is necessarily incomplete, so it fails to provide conclusive answers for some formulas. The paper discusses this shortcoming and hints at how it can be mitigated in pract"&amp;"ice. The verification technique has been implemented on top of the ï ot tool [19] for discrete-time bounded validity checking; the paper also reports on in-the-small experiments with the tool, which show some results that are promising in terms of perform"&amp;"ance.")</f>
        <v>This paper presents a verification technique for dense-time MTL based on discretization. The technique reduces the validity problem of MTL formulas from dense to discrete time, through the notion of sampling invariance , introduced in previous work [13]. Since the reduction is from an undecidable problem to a decidable one, the technique is necessarily incomplete, so it fails to provide conclusive answers for some formulas. The paper discusses this shortcoming and hints at how it can be mitigated in practice. The verification technique has been implemented on top of the ï ot tool [19] for discrete-time bounded validity checking; the paper also reports on in-the-small experiments with the tool, which show some results that are promising in terms of performance.</v>
      </c>
      <c r="H1178" s="7" t="str">
        <f>IFERROR(__xludf.DUMMYFUNCTION("""COMPUTED_VALUE"""),"metric temporal logic, discretization, sampling, verification techniques, real-time, dense time")</f>
        <v>metric temporal logic, discretization, sampling, verification techniques, real-time, dense time</v>
      </c>
      <c r="I1178" s="10" t="b">
        <v>0</v>
      </c>
      <c r="J1178" s="10" t="b">
        <v>0</v>
      </c>
      <c r="K1178" s="10" t="b">
        <v>0</v>
      </c>
      <c r="L1178" s="10" t="b">
        <v>0</v>
      </c>
      <c r="M1178" s="10" t="b">
        <v>0</v>
      </c>
      <c r="N1178" s="10" t="b">
        <v>0</v>
      </c>
      <c r="O1178" s="11" t="b">
        <f t="shared" si="1"/>
        <v>0</v>
      </c>
      <c r="P1178" s="16" t="b">
        <v>0</v>
      </c>
      <c r="Q1178" s="7"/>
    </row>
    <row r="1179">
      <c r="A1179" s="5" t="b">
        <v>1</v>
      </c>
      <c r="B1179" s="5" t="s">
        <v>1230</v>
      </c>
      <c r="C1179" s="7" t="str">
        <f>IFERROR(__xludf.DUMMYFUNCTION("""COMPUTED_VALUE"""),"10.1145/2628136.2628143")</f>
        <v>10.1145/2628136.2628143</v>
      </c>
      <c r="D1179" s="7" t="str">
        <f>IFERROR(__xludf.DUMMYFUNCTION("""COMPUTED_VALUE"""),"Mulligan D.P.; Owens S.; Gray K.E.; Ridge T.; Sewell P.")</f>
        <v>Mulligan D.P.; Owens S.; Gray K.E.; Ridge T.; Sewell P.</v>
      </c>
      <c r="E1179" s="7" t="str">
        <f>IFERROR(__xludf.DUMMYFUNCTION("""COMPUTED_VALUE"""),"Lem: Reusable engineering of real-world semantics")</f>
        <v>Lem: Reusable engineering of real-world semantics</v>
      </c>
      <c r="F1179" s="7" t="str">
        <f>IFERROR(__xludf.DUMMYFUNCTION("""COMPUTED_VALUE"""),"ICFP")</f>
        <v>ICFP</v>
      </c>
      <c r="G1179" s="7" t="str">
        <f>IFERROR(__xludf.DUMMYFUNCTION("""COMPUTED_VALUE"""),"Recent years have seen remarkable successes in rigorous engineering: using mathematically rigorous semantic models (not just idealised calculi) of real-world processors, programming languages, protocols, and security mechanisms, for testing, proof, analys"&amp;"is, and design. Building these models is challenging, requiring experimentation, dialogue with vendors or standards bodies, and validation; their scale adds engineering issues akin to those of programming to the task of writing clear and usable mathematic"&amp;"s. But language and tool support for specification is lacking. Proof assistants can be used but bring their own difficulties, and a model produced in one, perhaps requiring many person-years effort and maintained over an extended period, cannot be used by"&amp;" those familiar with another. We introduce Lem, a language for engineering reusable large-scale semantic models. The Lem design takes inspiration both from functional programming languages and from proof assistants, and Lem definitions are translatable in"&amp;"to OCaml for testing, Coq, HOL4, and Isabelle/HOL for proof, and LaTeX and HTML for presentation. This requires a delicate balance of expressiveness, careful library design, and implementation of transformations - akin to compilation, but subject to the c"&amp;"onstraint of producing usable and human-readable code for each target. Lem's effectiveness is demonstrated by its use in practice. © 2014 ACM.")</f>
        <v>Recent years have seen remarkable successes in rigorous engineering: using mathematically rigorous semantic models (not just idealised calculi) of real-world processors, programming languages, protocols, and security mechanisms, for testing, proof, analysis, and design. Building these models is challenging, requiring experimentation, dialogue with vendors or standards bodies, and validation; their scale adds engineering issues akin to those of programming to the task of writing clear and usable mathematics. But language and tool support for specification is lacking. Proof assistants can be used but bring their own difficulties, and a model produced in one, perhaps requiring many person-years effort and maintained over an extended period, cannot be used by those familiar with another. We introduce Lem, a language for engineering reusable large-scale semantic models. The Lem design takes inspiration both from functional programming languages and from proof assistants, and Lem definitions are translatable into OCaml for testing, Coq, HOL4, and Isabelle/HOL for proof, and LaTeX and HTML for presentation. This requires a delicate balance of expressiveness, careful library design, and implementation of transformations - akin to compilation, but subject to the constraint of producing usable and human-readable code for each target. Lem's effectiveness is demonstrated by its use in practice. © 2014 ACM.</v>
      </c>
      <c r="H1179" s="7" t="str">
        <f>IFERROR(__xludf.DUMMYFUNCTION("""COMPUTED_VALUE"""),"lem; proof assistants; real-world semantics; specification languages")</f>
        <v>lem; proof assistants; real-world semantics; specification languages</v>
      </c>
      <c r="I1179" s="10" t="b">
        <v>0</v>
      </c>
      <c r="J1179" s="10" t="b">
        <v>0</v>
      </c>
      <c r="K1179" s="10" t="b">
        <v>0</v>
      </c>
      <c r="L1179" s="10" t="b">
        <v>0</v>
      </c>
      <c r="M1179" s="10" t="b">
        <v>0</v>
      </c>
      <c r="N1179" s="10" t="b">
        <v>0</v>
      </c>
      <c r="O1179" s="11" t="b">
        <f t="shared" si="1"/>
        <v>0</v>
      </c>
      <c r="P1179" s="16" t="b">
        <v>0</v>
      </c>
      <c r="Q1179" s="7"/>
    </row>
    <row r="1180">
      <c r="A1180" s="5" t="b">
        <v>1</v>
      </c>
      <c r="B1180" s="5" t="s">
        <v>1231</v>
      </c>
      <c r="C1180" s="7" t="str">
        <f>IFERROR(__xludf.DUMMYFUNCTION("""COMPUTED_VALUE"""),"10.1145/2628136.2628159")</f>
        <v>10.1145/2628136.2628159</v>
      </c>
      <c r="D1180" s="7" t="str">
        <f>IFERROR(__xludf.DUMMYFUNCTION("""COMPUTED_VALUE"""),"Kaki G.; Jagannathan S.")</f>
        <v>Kaki G.; Jagannathan S.</v>
      </c>
      <c r="E1180" s="7" t="str">
        <f>IFERROR(__xludf.DUMMYFUNCTION("""COMPUTED_VALUE"""),"A relational framework for higher-order shape analysis")</f>
        <v>A relational framework for higher-order shape analysis</v>
      </c>
      <c r="F1180" s="7" t="str">
        <f>IFERROR(__xludf.DUMMYFUNCTION("""COMPUTED_VALUE"""),"ICFP")</f>
        <v>ICFP</v>
      </c>
      <c r="G1180" s="7" t="str">
        <f>IFERROR(__xludf.DUMMYFUNCTION("""COMPUTED_VALUE"""),"We propose the integration of a relational specification framework within a dependent type system capable of verifying complex invariants over the shapes of algebraic datatypes. Our approach is based on the observation that structural properties of such d"&amp;"atatypes can often be naturally expressed as inductively-defined relations over the recursive structure evident in their definitions. By interpreting constructor applications (abstractly) in a relational domain, we can define expressive relational abstrac"&amp;"tions for a variety of complex data structures, whose structural and shape invariants can be automatically verified. Our specification language also allows for definitions of parametricrelations for polymorphic data types that enable highly composable spe"&amp;"cifications and naturally generalizes to higher-order polymorphic functions. We describe an algorithm that translates relational specifications into a decidable fragment of first-order logic that can be efficiently discharged by an SMT solver. We have imp"&amp;"lemented these ideas in a type checker called CATALYST that is incorporated within the MLton SML compiler. Experimental results and case studies indicate that our verification strategy is both practical and effective. © 2014 ACM.")</f>
        <v>We propose the integration of a relational specification framework within a dependent type system capable of verifying complex invariants over the shapes of algebraic datatypes. Our approach is based on the observation that structural properties of such datatypes can often be naturally expressed as inductively-defined relations over the recursive structure evident in their definitions. By interpreting constructor applications (abstractly) in a relational domain, we can define expressive relational abstractions for a variety of complex data structures, whose structural and shape invariants can be automatically verified. Our specification language also allows for definitions of parametricrelations for polymorphic data types that enable highly composable specifications and naturally generalizes to higher-order polymorphic functions. We describe an algorithm that translates relational specifications into a decidable fragment of first-order logic that can be efficiently discharged by an SMT solver. We have implemented these ideas in a type checker called CATALYST that is incorporated within the MLton SML compiler. Experimental results and case studies indicate that our verification strategy is both practical and effective. © 2014 ACM.</v>
      </c>
      <c r="H1180" s="7" t="str">
        <f>IFERROR(__xludf.DUMMYFUNCTION("""COMPUTED_VALUE"""),"decidability; dependent types; inductive relations; parametric relations; relational specifications; standard ml")</f>
        <v>decidability; dependent types; inductive relations; parametric relations; relational specifications; standard ml</v>
      </c>
      <c r="I1180" s="10" t="b">
        <v>0</v>
      </c>
      <c r="J1180" s="10" t="b">
        <v>0</v>
      </c>
      <c r="K1180" s="10" t="b">
        <v>0</v>
      </c>
      <c r="L1180" s="10" t="b">
        <v>0</v>
      </c>
      <c r="M1180" s="10" t="b">
        <v>0</v>
      </c>
      <c r="N1180" s="10" t="b">
        <v>0</v>
      </c>
      <c r="O1180" s="11" t="b">
        <f t="shared" si="1"/>
        <v>0</v>
      </c>
      <c r="P1180" s="16" t="b">
        <v>0</v>
      </c>
      <c r="Q1180" s="7"/>
    </row>
    <row r="1181">
      <c r="A1181" s="5" t="b">
        <v>1</v>
      </c>
      <c r="B1181" s="5" t="s">
        <v>1232</v>
      </c>
      <c r="C1181" s="7" t="str">
        <f>IFERROR(__xludf.DUMMYFUNCTION("""COMPUTED_VALUE"""),"10.1145/1411204.1411255")</f>
        <v>10.1145/1411204.1411255</v>
      </c>
      <c r="D1181" s="7" t="str">
        <f>IFERROR(__xludf.DUMMYFUNCTION("""COMPUTED_VALUE"""),"Dolstra E.; Löh A.")</f>
        <v>Dolstra E.; Löh A.</v>
      </c>
      <c r="E1181" s="7" t="str">
        <f>IFERROR(__xludf.DUMMYFUNCTION("""COMPUTED_VALUE"""),"NixOS: A purely functional Linux distribution")</f>
        <v>NixOS: A purely functional Linux distribution</v>
      </c>
      <c r="F1181" s="7" t="str">
        <f>IFERROR(__xludf.DUMMYFUNCTION("""COMPUTED_VALUE"""),"ICFP")</f>
        <v>ICFP</v>
      </c>
      <c r="G1181" s="7" t="str">
        <f>IFERROR(__xludf.DUMMYFUNCTION("""COMPUTED_VALUE"""),"Existing package and system configuration management tools suffer from an imperative model, where system administration actions such as upgrading packages or changes to system configuration files are stateful: they destructively update the state of the sy"&amp;"stem. This leads to many problems, such as the inability to roll back changes easily, to run multiple versions of a package side-by-side, to reproduce a configuration deterministically on another machine, or to reliably upgrade a system. In this paper we "&amp;"show that we can overcome these problems by moving to &amp; purely functional system configuration model. This means that all static parts of a system (such as software packages, configuration files and system startup scripts) are built by pure functions and "&amp;"are immutable, stored in a way analogously to a heap in a purely function language. We have implemented this model in NixOS, a non-trivial Linux distribution that uses the Nix package manager to build the entire system configuration from a purely function"&amp;"al specification. Copyright © 2008 ACM.")</f>
        <v>Existing package and system configuration management tools suffer from an imperative model, where system administration actions such as upgrading packages or changes to system configuration files are stateful: they destructively update the state of the system. This leads to many problems, such as the inability to roll back changes easily, to run multiple versions of a package side-by-side, to reproduce a configuration deterministically on another machine, or to reliably upgrade a system. In this paper we show that we can overcome these problems by moving to &amp; purely functional system configuration model. This means that all static parts of a system (such as software packages, configuration files and system startup scripts) are built by pure functions and are immutable, stored in a way analogously to a heap in a purely function language. We have implemented this model in NixOS, a non-trivial Linux distribution that uses the Nix package manager to build the entire system configuration from a purely functional specification. Copyright © 2008 ACM.</v>
      </c>
      <c r="H1181" s="7" t="str">
        <f>IFERROR(__xludf.DUMMYFUNCTION("""COMPUTED_VALUE"""),"General terms experimentation; Languages; Reliability")</f>
        <v>General terms experimentation; Languages; Reliability</v>
      </c>
      <c r="I1181" s="10" t="b">
        <v>0</v>
      </c>
      <c r="J1181" s="10" t="b">
        <v>0</v>
      </c>
      <c r="K1181" s="10" t="b">
        <v>0</v>
      </c>
      <c r="L1181" s="10" t="b">
        <v>0</v>
      </c>
      <c r="M1181" s="10" t="b">
        <v>0</v>
      </c>
      <c r="N1181" s="10" t="b">
        <v>0</v>
      </c>
      <c r="O1181" s="11" t="b">
        <f t="shared" si="1"/>
        <v>0</v>
      </c>
      <c r="P1181" s="16" t="b">
        <v>0</v>
      </c>
      <c r="Q1181" s="7"/>
    </row>
    <row r="1182">
      <c r="A1182" s="5" t="b">
        <v>1</v>
      </c>
      <c r="B1182" s="5" t="s">
        <v>1233</v>
      </c>
      <c r="C1182" s="7" t="str">
        <f>IFERROR(__xludf.DUMMYFUNCTION("""COMPUTED_VALUE"""),"10.1145/1159803.1159822")</f>
        <v>10.1145/1159803.1159822</v>
      </c>
      <c r="D1182" s="7" t="str">
        <f>IFERROR(__xludf.DUMMYFUNCTION("""COMPUTED_VALUE"""),"Ziarek L.; Schatz P.; Jagannathan S.")</f>
        <v>Ziarek L.; Schatz P.; Jagannathan S.</v>
      </c>
      <c r="E1182" s="7" t="str">
        <f>IFERROR(__xludf.DUMMYFUNCTION("""COMPUTED_VALUE"""),"Stabilizers: A modular checkpointing abstraction for concurrent functional programs")</f>
        <v>Stabilizers: A modular checkpointing abstraction for concurrent functional programs</v>
      </c>
      <c r="F1182" s="7" t="str">
        <f>IFERROR(__xludf.DUMMYFUNCTION("""COMPUTED_VALUE"""),"ICFP")</f>
        <v>ICFP</v>
      </c>
      <c r="G1182" s="7" t="str">
        <f>IFERROR(__xludf.DUMMYFUNCTION("""COMPUTED_VALUE"""),"Transient faults that arise in large-scale software systems can often be repaired by re-executing the code in which they occur. Ascribing a meaningful semantics for safe re-execution in multi-threaded code is not obvious, however. For a thread to correctl"&amp;"y re-execute a region of code, it must ensure that all other threads which have witnessed its unwanted effects within that region are also reverted to a meaningful earlier state. If not done properly, data inconsistencies and other undesirable behavior ma"&amp;"y result. However, automatically determining what constitutes a consistent global checkpoint is not straightforward since thread interactions are a dynamic property of the program. In this paper, we present a safe and efficient checkpointing mechanism for"&amp;" Concurrent ML (CML) that can be used to recover from transient faults. We introduce a new linguistic abstraction called stabilizers that permits the specification of per-thread monitors and the restoration of globally consistent checkpoints. Safe global "&amp;"states are computed through lightweight monitoring of communication events among threads (e.g. message-passing operations or updates to shared variables). Our experimental results on several realistic, multithreaded, server-style CML applications, includi"&amp;"ng a web server and a windowing toolkit, show that the overheads to use stabilizers are small, and lead us to conclude that they are a viable mechanism for defining safe checkpoints in concurrent functional programs. Copyright © 2006 ACM.")</f>
        <v>Transient faults that arise in large-scale software systems can often be repaired by re-executing the code in which they occur. Ascribing a meaningful semantics for safe re-execution in multi-threaded code is not obvious, however. For a thread to correctly re-execute a region of code, it must ensure that all other threads which have witnessed its unwanted effects within that region are also reverted to a meaningful earlier state. If not done properly, data inconsistencies and other undesirable behavior may result. However, automatically determining what constitutes a consistent global checkpoint is not straightforward since thread interactions are a dynamic property of the program. In this paper, we present a safe and efficient checkpointing mechanism for Concurrent ML (CML) that can be used to recover from transient faults. We introduce a new linguistic abstraction called stabilizers that permits the specification of per-thread monitors and the restoration of globally consistent checkpoints. Safe global states are computed through lightweight monitoring of communication events among threads (e.g. message-passing operations or updates to shared variables). Our experimental results on several realistic, multithreaded, server-style CML applications, including a web server and a windowing toolkit, show that the overheads to use stabilizers are small, and lead us to conclude that they are a viable mechanism for defining safe checkpoints in concurrent functional programs. Copyright © 2006 ACM.</v>
      </c>
      <c r="H1182" s="7" t="str">
        <f>IFERROR(__xludf.DUMMYFUNCTION("""COMPUTED_VALUE"""),"Checkpointing; Concurrent ML; Concurrent programming; Error recovery; Exception handling; Transactions")</f>
        <v>Checkpointing; Concurrent ML; Concurrent programming; Error recovery; Exception handling; Transactions</v>
      </c>
      <c r="I1182" s="10" t="b">
        <v>0</v>
      </c>
      <c r="J1182" s="10" t="b">
        <v>0</v>
      </c>
      <c r="K1182" s="10" t="b">
        <v>0</v>
      </c>
      <c r="L1182" s="10" t="b">
        <v>0</v>
      </c>
      <c r="M1182" s="10" t="b">
        <v>0</v>
      </c>
      <c r="N1182" s="10" t="b">
        <v>0</v>
      </c>
      <c r="O1182" s="11" t="b">
        <f t="shared" si="1"/>
        <v>0</v>
      </c>
      <c r="P1182" s="16" t="b">
        <v>0</v>
      </c>
      <c r="Q1182" s="7"/>
    </row>
    <row r="1183">
      <c r="A1183" s="5" t="b">
        <v>1</v>
      </c>
      <c r="B1183" s="5" t="s">
        <v>1234</v>
      </c>
      <c r="C1183" s="7"/>
      <c r="D1183" s="7"/>
      <c r="E1183" s="7" t="str">
        <f>IFERROR(__xludf.DUMMYFUNCTION("""COMPUTED_VALUE"""),"Proceedings of the 16th IEEE International Conference on Program Conprenension, ICPC")</f>
        <v>Proceedings of the 16th IEEE International Conference on Program Conprenension, ICPC</v>
      </c>
      <c r="F1183" s="7" t="str">
        <f>IFERROR(__xludf.DUMMYFUNCTION("""COMPUTED_VALUE"""),"ICPC")</f>
        <v>ICPC</v>
      </c>
      <c r="G1183" s="7" t="str">
        <f>IFERROR(__xludf.DUMMYFUNCTION("""COMPUTED_VALUE"""),"The proceedings contain 36 papers. The topics discussed include: scalable program comprehension for analyzing complex defects; the reuse of grammars with embedded semantic actions; partial domain comprehension in software evolution and maintenance; refini"&amp;"ng existing theories of program comprehension during maintenance for concurrent software; identifying architectural change patterns in object-oriented systems; a toolkit for visualizing the runtime behavior of TinyOS application; exploiting runtime inform"&amp;"ation inn the IDE; do dynamic object process graphs support program understanding? - a controlled experiment; data model comprehension: an empirical comparison of ER and UML class diagrams; a traceability technique for specifications; and identifying word"&amp;" relations in software: a comparative study of semantic similarity tools.")</f>
        <v>The proceedings contain 36 papers. The topics discussed include: scalable program comprehension for analyzing complex defects; the reuse of grammars with embedded semantic actions; partial domain comprehension in software evolution and maintenance; refining existing theories of program comprehension during maintenance for concurrent software; identifying architectural change patterns in object-oriented systems; a toolkit for visualizing the runtime behavior of TinyOS application; exploiting runtime information inn the IDE; do dynamic object process graphs support program understanding? - a controlled experiment; data model comprehension: an empirical comparison of ER and UML class diagrams; a traceability technique for specifications; and identifying word relations in software: a comparative study of semantic similarity tools.</v>
      </c>
      <c r="H1183" s="7"/>
      <c r="I1183" s="10" t="b">
        <v>0</v>
      </c>
      <c r="J1183" s="10" t="b">
        <v>0</v>
      </c>
      <c r="K1183" s="10" t="b">
        <v>0</v>
      </c>
      <c r="L1183" s="10" t="b">
        <v>0</v>
      </c>
      <c r="M1183" s="10" t="b">
        <v>0</v>
      </c>
      <c r="N1183" s="10" t="b">
        <v>0</v>
      </c>
      <c r="O1183" s="11" t="b">
        <f t="shared" si="1"/>
        <v>0</v>
      </c>
      <c r="P1183" s="16" t="b">
        <v>0</v>
      </c>
      <c r="Q1183" s="7"/>
    </row>
    <row r="1184">
      <c r="A1184" s="5" t="b">
        <v>1</v>
      </c>
      <c r="B1184" s="5" t="s">
        <v>1235</v>
      </c>
      <c r="C1184" s="7" t="str">
        <f>IFERROR(__xludf.DUMMYFUNCTION("""COMPUTED_VALUE"""),"10.1109/ICPC.2013.6613831")</f>
        <v>10.1109/ICPC.2013.6613831</v>
      </c>
      <c r="D1184" s="7" t="str">
        <f>IFERROR(__xludf.DUMMYFUNCTION("""COMPUTED_VALUE"""),"Sharafi Z.; Marchetto A.; Susi A.; Antoniol G.; Gueheneuc Y.-G.")</f>
        <v>Sharafi Z.; Marchetto A.; Susi A.; Antoniol G.; Gueheneuc Y.-G.</v>
      </c>
      <c r="E1184" s="7" t="str">
        <f>IFERROR(__xludf.DUMMYFUNCTION("""COMPUTED_VALUE"""),"An empirical study on the efficiency of graphical vs. textual representations in requirements comprehension")</f>
        <v>An empirical study on the efficiency of graphical vs. textual representations in requirements comprehension</v>
      </c>
      <c r="F1184" s="7" t="str">
        <f>IFERROR(__xludf.DUMMYFUNCTION("""COMPUTED_VALUE"""),"ICPC")</f>
        <v>ICPC</v>
      </c>
      <c r="G1184" s="7" t="str">
        <f>IFERROR(__xludf.DUMMYFUNCTION("""COMPUTED_VALUE"""),"Graphical representations are used to visualise, specify, and document software artifacts in all stages of software development process. In contrast with text, graphical representations are presented in two-dimensional form, which seems easy to process. H"&amp;"owever, few empirical studies investigated the efficiency of graphical representations vs. textual ones in modelling and presenting software requirements. Therefore, in this paper, we report the results of an eye-tracking experiment involving 28 participa"&amp;"nts to study the impact of structured textual vs. graphical representations on subjects' efficiency while performing requirement comprehension tasks. We measure subjects' efficiency in terms of the percentage of correct answers (accuracy) and of the time "&amp;"and effort spend to perform the tasks. We observe no statistically-significant difference in term of accuracy. However, our subjects spent more time and effort while working with the graphical representation although this extra time and effort does not af"&amp;"fect accuracy. Our findings challenge the general assumption that graphical representations are more efficient than the textual ones at least in the case of developers not familiar with the graphical representation. Indeed, our results emphasise that trai"&amp;"ning can significantly improve the efficiency of our subjects working with graphical representations. Moreover, by comparing the visual paths of our subjects, we observe that the spatial structure of the graphical representation leads our subjects to foll"&amp;"ow two different strategies (top-down vs. bottomup) and subsequently this hierarchical structure helps developers to ease the difficulty of model comprehension tasks. © 2013 IEEE.")</f>
        <v>Graphical representations are used to visualise, specify, and document software artifacts in all stages of software development process. In contrast with text, graphical representations are presented in two-dimensional form, which seems easy to process. However, few empirical studies investigated the efficiency of graphical representations vs. textual ones in modelling and presenting software requirements. Therefore, in this paper, we report the results of an eye-tracking experiment involving 28 participants to study the impact of structured textual vs. graphical representations on subjects' efficiency while performing requirement comprehension tasks. We measure subjects' efficiency in terms of the percentage of correct answers (accuracy) and of the time and effort spend to perform the tasks. We observe no statistically-significant difference in term of accuracy. However, our subjects spent more time and effort while working with the graphical representation although this extra time and effort does not affect accuracy. Our findings challenge the general assumption that graphical representations are more efficient than the textual ones at least in the case of developers not familiar with the graphical representation. Indeed, our results emphasise that training can significantly improve the efficiency of our subjects working with graphical representations. Moreover, by comparing the visual paths of our subjects, we observe that the spatial structure of the graphical representation leads our subjects to follow two different strategies (top-down vs. bottomup) and subsequently this hierarchical structure helps developers to ease the difficulty of model comprehension tasks. © 2013 IEEE.</v>
      </c>
      <c r="H1184" s="7" t="str">
        <f>IFERROR(__xludf.DUMMYFUNCTION("""COMPUTED_VALUE"""),"Eye-tracking study; Graphical representation; Textual representation; Visual path")</f>
        <v>Eye-tracking study; Graphical representation; Textual representation; Visual path</v>
      </c>
      <c r="I1184" s="9" t="b">
        <v>1</v>
      </c>
      <c r="J1184" s="9" t="b">
        <v>1</v>
      </c>
      <c r="K1184" s="9" t="b">
        <v>1</v>
      </c>
      <c r="L1184" s="10" t="b">
        <v>0</v>
      </c>
      <c r="M1184" s="10" t="b">
        <v>0</v>
      </c>
      <c r="N1184" s="10" t="b">
        <v>0</v>
      </c>
      <c r="O1184" s="11" t="b">
        <f t="shared" si="1"/>
        <v>1</v>
      </c>
      <c r="P1184" s="16" t="b">
        <v>0</v>
      </c>
      <c r="Q1184" s="7"/>
    </row>
    <row r="1185">
      <c r="A1185" s="5" t="b">
        <v>1</v>
      </c>
      <c r="B1185" s="5" t="s">
        <v>1236</v>
      </c>
      <c r="C1185" s="7" t="str">
        <f>IFERROR(__xludf.DUMMYFUNCTION("""COMPUTED_VALUE"""),"10.1145/3387904.3389258")</f>
        <v>10.1145/3387904.3389258</v>
      </c>
      <c r="D1185" s="7" t="str">
        <f>IFERROR(__xludf.DUMMYFUNCTION("""COMPUTED_VALUE"""),"Stapleton S.; Gambhir Y.; LeClair A.; Eberhart Z.; Weimer W.; Leach K.; Huang Y.")</f>
        <v>Stapleton S.; Gambhir Y.; LeClair A.; Eberhart Z.; Weimer W.; Leach K.; Huang Y.</v>
      </c>
      <c r="E1185" s="7" t="str">
        <f>IFERROR(__xludf.DUMMYFUNCTION("""COMPUTED_VALUE"""),"A human study of comprehension and code summarization")</f>
        <v>A human study of comprehension and code summarization</v>
      </c>
      <c r="F1185" s="7" t="str">
        <f>IFERROR(__xludf.DUMMYFUNCTION("""COMPUTED_VALUE"""),"ICPC")</f>
        <v>ICPC</v>
      </c>
      <c r="G1185" s="7" t="str">
        <f>IFERROR(__xludf.DUMMYFUNCTION("""COMPUTED_VALUE"""),"Software developers spend a great deal of time reading and understanding code that is poorly-documented, written by other developers, or developed using differing styles. During the past decade,researchers have investigated techniques for automatically do"&amp;"cumenting code to improve comprehensibility. In particular, recentadvances in deep learning have led to sophisticated summary generation techniques that convert functions or methods to simple English strings that succinctly describe that code's behavior. "&amp;"However,automatic summarization techniques are assessed using internalmetrics such as BLEU scores, which measure natural language properties in translational models, or ROUGE scores, which measureoverlap with human-written text. Unfortunately, these metri"&amp;"cs donot necessarily capture how machine-generated code summariesactually affect human comprehension or developer productivity.We conducted a human study involving both university studentsand professional developers (n = 45). Participants reviewed Javamet"&amp;"hods and summaries and answered established program comprehension questions. In addition, participants completed codingtasks given summaries as specifications. Critically, the experimentcontrolled the source of the summaries: for a given method, someparti"&amp;"cipants were shown human-written text and some were shownmachine-generated text.We found that participants performed significantly better (p =0.029) using human-written summaries versus machine-generatedsummaries. However, we found no evidence to support "&amp;"that participants perceive human-and machine-generated summaries to havedifferent qualities. In addition, participants' performance showedno correlation with the BLEU and ROUGE scores often used toassess the quality of machine-generated summaries. These r"&amp;"esultssuggest a need for revised metrics to assess and guide automaticsummarization techniques. © 2020 Copyright held by the owner/author(s). Publication rights licensed to ACM.")</f>
        <v>Software developers spend a great deal of time reading and understanding code that is poorly-documented, written by other developers, or developed using differing styles. During the past decade,researchers have investigated techniques for automatically documenting code to improve comprehensibility. In particular, recentadvances in deep learning have led to sophisticated summary generation techniques that convert functions or methods to simple English strings that succinctly describe that code's behavior. However,automatic summarization techniques are assessed using internalmetrics such as BLEU scores, which measure natural language properties in translational models, or ROUGE scores, which measureoverlap with human-written text. Unfortunately, these metrics donot necessarily capture how machine-generated code summariesactually affect human comprehension or developer productivity.We conducted a human study involving both university studentsand professional developers (n = 45). Participants reviewed Javamethods and summaries and answered established program comprehension questions. In addition, participants completed codingtasks given summaries as specifications. Critically, the experimentcontrolled the source of the summaries: for a given method, someparticipants were shown human-written text and some were shownmachine-generated text.We found that participants performed significantly better (p =0.029) using human-written summaries versus machine-generatedsummaries. However, we found no evidence to support that participants perceive human-and machine-generated summaries to havedifferent qualities. In addition, participants' performance showedno correlation with the BLEU and ROUGE scores often used toassess the quality of machine-generated summaries. These resultssuggest a need for revised metrics to assess and guide automaticsummarization techniques. © 2020 Copyright held by the owner/author(s). Publication rights licensed to ACM.</v>
      </c>
      <c r="H1185" s="7"/>
      <c r="I1185" s="9" t="b">
        <v>1</v>
      </c>
      <c r="J1185" s="10" t="b">
        <v>0</v>
      </c>
      <c r="K1185" s="10" t="b">
        <v>0</v>
      </c>
      <c r="L1185" s="10" t="b">
        <v>0</v>
      </c>
      <c r="M1185" s="10" t="b">
        <v>0</v>
      </c>
      <c r="N1185" s="10" t="b">
        <v>0</v>
      </c>
      <c r="O1185" s="11" t="b">
        <f t="shared" si="1"/>
        <v>0</v>
      </c>
      <c r="P1185" s="16" t="b">
        <v>0</v>
      </c>
      <c r="Q1185" s="7"/>
    </row>
    <row r="1186">
      <c r="A1186" s="5" t="b">
        <v>1</v>
      </c>
      <c r="B1186" s="5" t="s">
        <v>1237</v>
      </c>
      <c r="C1186" s="7" t="str">
        <f>IFERROR(__xludf.DUMMYFUNCTION("""COMPUTED_VALUE"""),"10.1145/2597008.2597156")</f>
        <v>10.1145/2597008.2597156</v>
      </c>
      <c r="D1186" s="7" t="str">
        <f>IFERROR(__xludf.DUMMYFUNCTION("""COMPUTED_VALUE"""),"Zapalowski V.; Nunes I.; Nunes D.J.")</f>
        <v>Zapalowski V.; Nunes I.; Nunes D.J.</v>
      </c>
      <c r="E1186" s="7" t="str">
        <f>IFERROR(__xludf.DUMMYFUNCTION("""COMPUTED_VALUE"""),"Revealing the relationship between architectural elements and source code characteristics")</f>
        <v>Revealing the relationship between architectural elements and source code characteristics</v>
      </c>
      <c r="F1186" s="7" t="str">
        <f>IFERROR(__xludf.DUMMYFUNCTION("""COMPUTED_VALUE"""),"ICPC")</f>
        <v>ICPC</v>
      </c>
      <c r="G1186" s="7" t="str">
        <f>IFERROR(__xludf.DUMMYFUNCTION("""COMPUTED_VALUE"""),"Understanding how a software system is structured, i.e. its architecture, is crucial for software comprehension. It allows developers to understand an implemented system and reason about how non-functional requirements are addressed. Yet, many systems lac"&amp;"k any architectural documentation, or it is often outdated due to software evolution. In current practice, the process of recovering a system's architecture relies primarily on developer knowledge. Although existing architecture recovery approaches can he"&amp;"lp to identify architectural elements, these approaches require improvement to identify architectural concepts of a system automatically. Towards this goal, we analyze the usefulness of adopting different code-level characteristics to group elements into "&amp;"architectural modules. Our main contributions are an evaluation of the relationships between different sets of characteristics and their corresponding accuracies, and the evaluation results, which help us to understand which characteristics reveal informa"&amp;"tion about the source code structure. Our experiment shows that an identified set of characteristics achieves an average accuracy of 80%, which indicates the usefulness of the considered characteristics for architecture recovery and thus to improving soft"&amp;"ware comprehension. Copyright © 2014 ACM.")</f>
        <v>Understanding how a software system is structured, i.e. its architecture, is crucial for software comprehension. It allows developers to understand an implemented system and reason about how non-functional requirements are addressed. Yet, many systems lack any architectural documentation, or it is often outdated due to software evolution. In current practice, the process of recovering a system's architecture relies primarily on developer knowledge. Although existing architecture recovery approaches can help to identify architectural elements, these approaches require improvement to identify architectural concepts of a system automatically. Towards this goal, we analyze the usefulness of adopting different code-level characteristics to group elements into architectural modules. Our main contributions are an evaluation of the relationships between different sets of characteristics and their corresponding accuracies, and the evaluation results, which help us to understand which characteristics reveal information about the source code structure. Our experiment shows that an identified set of characteristics achieves an average accuracy of 80%, which indicates the usefulness of the considered characteristics for architecture recovery and thus to improving software comprehension. Copyright © 2014 ACM.</v>
      </c>
      <c r="H1186" s="7" t="str">
        <f>IFERROR(__xludf.DUMMYFUNCTION("""COMPUTED_VALUE"""),"Architecture reconstruction; Architecture recovery; Software architecture; Source code characteristics")</f>
        <v>Architecture reconstruction; Architecture recovery; Software architecture; Source code characteristics</v>
      </c>
      <c r="I1186" s="10" t="b">
        <v>0</v>
      </c>
      <c r="J1186" s="10" t="b">
        <v>0</v>
      </c>
      <c r="K1186" s="10" t="b">
        <v>0</v>
      </c>
      <c r="L1186" s="10" t="b">
        <v>0</v>
      </c>
      <c r="M1186" s="10" t="b">
        <v>0</v>
      </c>
      <c r="N1186" s="10" t="b">
        <v>0</v>
      </c>
      <c r="O1186" s="11" t="b">
        <f t="shared" si="1"/>
        <v>0</v>
      </c>
      <c r="P1186" s="16" t="b">
        <v>0</v>
      </c>
      <c r="Q1186" s="7"/>
    </row>
    <row r="1187">
      <c r="A1187" s="5" t="b">
        <v>1</v>
      </c>
      <c r="B1187" s="5" t="s">
        <v>1238</v>
      </c>
      <c r="C1187" s="7" t="str">
        <f>IFERROR(__xludf.DUMMYFUNCTION("""COMPUTED_VALUE"""),"10.1145/3387904.3389291")</f>
        <v>10.1145/3387904.3389291</v>
      </c>
      <c r="D1187" s="7" t="str">
        <f>IFERROR(__xludf.DUMMYFUNCTION("""COMPUTED_VALUE"""),"Ishida T.; Uwano H.; Ikutani Y.")</f>
        <v>Ishida T.; Uwano H.; Ikutani Y.</v>
      </c>
      <c r="E1187" s="7" t="str">
        <f>IFERROR(__xludf.DUMMYFUNCTION("""COMPUTED_VALUE"""),"Combining biometric data with focused document types classifies a success of program comprehension")</f>
        <v>Combining biometric data with focused document types classifies a success of program comprehension</v>
      </c>
      <c r="F1187" s="7" t="str">
        <f>IFERROR(__xludf.DUMMYFUNCTION("""COMPUTED_VALUE"""),"ICPC")</f>
        <v>ICPC</v>
      </c>
      <c r="G1187" s="7" t="str">
        <f>IFERROR(__xludf.DUMMYFUNCTION("""COMPUTED_VALUE"""),"Program comprehension is one of the important cognitive processes in software maintenance. The process typically involves diverse mental activities such as understanding of source code, library usages, and requirements. Systematic supports would be improv"&amp;"ed if the supports can be aware of such fine-grained mental activities during program comprehension. Here we aim to investigate whether biometric data can be varied according to suchmental activity classes and conduct an experiment with programcomprehensi"&amp;"on tasks involving multiple documents. As a result,we successfully classified the success/failure of the tasks at 85.2%from electroencephalogram (EEG) combined with focused document types. This result suggests that our metrics based on EEGand focused docu"&amp;"ment types might be beneficial to detect developers' diverse mental activities triggered by different documents. © 2020 Copyright held by the owner/author(s). Publication rights licensed to ACM.")</f>
        <v>Program comprehension is one of the important cognitive processes in software maintenance. The process typically involves diverse mental activities such as understanding of source code, library usages, and requirements. Systematic supports would be improved if the supports can be aware of such fine-grained mental activities during program comprehension. Here we aim to investigate whether biometric data can be varied according to suchmental activity classes and conduct an experiment with programcomprehension tasks involving multiple documents. As a result,we successfully classified the success/failure of the tasks at 85.2%from electroencephalogram (EEG) combined with focused document types. This result suggests that our metrics based on EEGand focused document types might be beneficial to detect developers' diverse mental activities triggered by different documents. © 2020 Copyright held by the owner/author(s). Publication rights licensed to ACM.</v>
      </c>
      <c r="H1187" s="7" t="str">
        <f>IFERROR(__xludf.DUMMYFUNCTION("""COMPUTED_VALUE"""),"EEG; Eye movement; Machine learning; Program comprehension")</f>
        <v>EEG; Eye movement; Machine learning; Program comprehension</v>
      </c>
      <c r="I1187" s="9" t="b">
        <v>1</v>
      </c>
      <c r="J1187" s="9" t="b">
        <v>1</v>
      </c>
      <c r="K1187" s="9" t="b">
        <v>1</v>
      </c>
      <c r="L1187" s="10" t="b">
        <v>0</v>
      </c>
      <c r="M1187" s="10" t="b">
        <v>0</v>
      </c>
      <c r="N1187" s="10" t="b">
        <v>0</v>
      </c>
      <c r="O1187" s="11" t="b">
        <f t="shared" si="1"/>
        <v>1</v>
      </c>
      <c r="P1187" s="16" t="b">
        <v>0</v>
      </c>
      <c r="Q1187" s="7"/>
    </row>
    <row r="1188">
      <c r="A1188" s="5" t="b">
        <v>1</v>
      </c>
      <c r="B1188" s="5" t="s">
        <v>1239</v>
      </c>
      <c r="C1188" s="7" t="str">
        <f>IFERROR(__xludf.DUMMYFUNCTION("""COMPUTED_VALUE"""),"10.1109/ICPC.2019.00020")</f>
        <v>10.1109/ICPC.2019.00020</v>
      </c>
      <c r="D1188" s="7" t="str">
        <f>IFERROR(__xludf.DUMMYFUNCTION("""COMPUTED_VALUE"""),"Mashhadi M.J.; Hemmati H.")</f>
        <v>Mashhadi M.J.; Hemmati H.</v>
      </c>
      <c r="E1188" s="7" t="str">
        <f>IFERROR(__xludf.DUMMYFUNCTION("""COMPUTED_VALUE"""),"An empirical study on practicality of specification mining algorithms on a real-world application")</f>
        <v>An empirical study on practicality of specification mining algorithms on a real-world application</v>
      </c>
      <c r="F1188" s="7" t="str">
        <f>IFERROR(__xludf.DUMMYFUNCTION("""COMPUTED_VALUE"""),"ICPC")</f>
        <v>ICPC</v>
      </c>
      <c r="G1188" s="7" t="str">
        <f>IFERROR(__xludf.DUMMYFUNCTION("""COMPUTED_VALUE"""),"Dynamic model inference techniques have been the center of many research projects recently. There are now multiple open source implementations of state-of-the-art algorithms, which provide basic abstraction and merging capabilities. Most of these tools an"&amp;"d algorithms have been developed with one particular application in mind, which is program comprehension. The output models can abstract away the details of the program and represent the software behaviour in a concise and easy to understand form. However"&amp;", one application context that is less studied is using such inferred models for debugging, where the behaviour to abstract is a faulty behaviour (e.g., a set of execution traces including a failed test case). We tried to apply some of the existing model "&amp;"inference techniques in a real-world industrial context to support program comprehension for debugging. Our initial experiments have shown many limitations both in terms of implementation as well as the algorithms. The paper will discuss the root cause of"&amp;" the failures and proposes ideas for future improvement. © 2019 IEEE.")</f>
        <v>Dynamic model inference techniques have been the center of many research projects recently. There are now multiple open source implementations of state-of-the-art algorithms, which provide basic abstraction and merging capabilities. Most of these tools and algorithms have been developed with one particular application in mind, which is program comprehension. The output models can abstract away the details of the program and represent the software behaviour in a concise and easy to understand form. However, one application context that is less studied is using such inferred models for debugging, where the behaviour to abstract is a faulty behaviour (e.g., a set of execution traces including a failed test case). We tried to apply some of the existing model inference techniques in a real-world industrial context to support program comprehension for debugging. Our initial experiments have shown many limitations both in terms of implementation as well as the algorithms. The paper will discuss the root cause of the failures and proposes ideas for future improvement. © 2019 IEEE.</v>
      </c>
      <c r="H1188" s="7" t="str">
        <f>IFERROR(__xludf.DUMMYFUNCTION("""COMPUTED_VALUE"""),"Debugging; Empirical Study; Fault Localization; Model Inference; Specification Mining")</f>
        <v>Debugging; Empirical Study; Fault Localization; Model Inference; Specification Mining</v>
      </c>
      <c r="I1188" s="10" t="b">
        <v>0</v>
      </c>
      <c r="J1188" s="10" t="b">
        <v>0</v>
      </c>
      <c r="K1188" s="10" t="b">
        <v>0</v>
      </c>
      <c r="L1188" s="10" t="b">
        <v>0</v>
      </c>
      <c r="M1188" s="10" t="b">
        <v>0</v>
      </c>
      <c r="N1188" s="10" t="b">
        <v>0</v>
      </c>
      <c r="O1188" s="11" t="b">
        <f t="shared" si="1"/>
        <v>0</v>
      </c>
      <c r="P1188" s="16" t="b">
        <v>0</v>
      </c>
      <c r="Q1188" s="7"/>
    </row>
    <row r="1189">
      <c r="A1189" s="5" t="b">
        <v>1</v>
      </c>
      <c r="B1189" s="5" t="s">
        <v>1240</v>
      </c>
      <c r="C1189" s="7" t="str">
        <f>IFERROR(__xludf.DUMMYFUNCTION("""COMPUTED_VALUE"""),"10.1109/ICPC.2007.32")</f>
        <v>10.1109/ICPC.2007.32</v>
      </c>
      <c r="D1189" s="7" t="str">
        <f>IFERROR(__xludf.DUMMYFUNCTION("""COMPUTED_VALUE"""),"Hung M.; Zou Y.")</f>
        <v>Hung M.; Zou Y.</v>
      </c>
      <c r="E1189" s="7" t="str">
        <f>IFERROR(__xludf.DUMMYFUNCTION("""COMPUTED_VALUE"""),"Recovering workflows from multi tiered e-commerce systems")</f>
        <v>Recovering workflows from multi tiered e-commerce systems</v>
      </c>
      <c r="F1189" s="7" t="str">
        <f>IFERROR(__xludf.DUMMYFUNCTION("""COMPUTED_VALUE"""),"ICPC")</f>
        <v>ICPC</v>
      </c>
      <c r="G1189" s="7" t="str">
        <f>IFERROR(__xludf.DUMMYFUNCTION("""COMPUTED_VALUE"""),"A workflow is a computerized specification of a business process. A workflow describes how tasks are executed and ordered following business policies. E-commerce systems implement the workflows of the daily operations of an organization. Organizations mus"&amp;"t continuously modify their e-commerce systems in order to accommodate workflow changes. However, e-commerce systems are often designed and developed without referring to the workflows. Modifying e-commerce systems is a time consuming and error prone task"&amp;". In order to correctly perform this task, developers require an in-depth understanding of multi tiered e-commerce systems and the workflows that they implement. In this paper, we present an approach which automatically recovers workflows from three tier "&amp;"e-commerce systems. Given the starting UI page of a particular workflow, the approach traces the flow of control throughout the different tiers of the e-commerce system in order to recover that workflow. We demonstrate the effectiveness of our approach th"&amp;"rough experiments on an open source e-commerce system. © 2007 IEEE.")</f>
        <v>A workflow is a computerized specification of a business process. A workflow describes how tasks are executed and ordered following business policies. E-commerce systems implement the workflows of the daily operations of an organization. Organizations must continuously modify their e-commerce systems in order to accommodate workflow changes. However, e-commerce systems are often designed and developed without referring to the workflows. Modifying e-commerce systems is a time consuming and error prone task. In order to correctly perform this task, developers require an in-depth understanding of multi tiered e-commerce systems and the workflows that they implement. In this paper, we present an approach which automatically recovers workflows from three tier e-commerce systems. Given the starting UI page of a particular workflow, the approach traces the flow of control throughout the different tiers of the e-commerce system in order to recover that workflow. We demonstrate the effectiveness of our approach through experiments on an open source e-commerce system. © 2007 IEEE.</v>
      </c>
      <c r="H1189" s="7"/>
      <c r="I1189" s="10" t="b">
        <v>0</v>
      </c>
      <c r="J1189" s="10" t="b">
        <v>0</v>
      </c>
      <c r="K1189" s="10" t="b">
        <v>0</v>
      </c>
      <c r="L1189" s="10" t="b">
        <v>0</v>
      </c>
      <c r="M1189" s="10" t="b">
        <v>0</v>
      </c>
      <c r="N1189" s="10" t="b">
        <v>0</v>
      </c>
      <c r="O1189" s="11" t="b">
        <f t="shared" si="1"/>
        <v>0</v>
      </c>
      <c r="P1189" s="16" t="b">
        <v>0</v>
      </c>
      <c r="Q1189" s="7"/>
    </row>
    <row r="1190">
      <c r="A1190" s="5" t="b">
        <v>1</v>
      </c>
      <c r="B1190" s="5" t="s">
        <v>1241</v>
      </c>
      <c r="C1190" s="7" t="str">
        <f>IFERROR(__xludf.DUMMYFUNCTION("""COMPUTED_VALUE"""),"10.1109/ICPC.2015.40")</f>
        <v>10.1109/ICPC.2015.40</v>
      </c>
      <c r="D1190" s="7" t="str">
        <f>IFERROR(__xludf.DUMMYFUNCTION("""COMPUTED_VALUE"""),"Chittimalli P.K.; Shah V.")</f>
        <v>Chittimalli P.K.; Shah V.</v>
      </c>
      <c r="E1190" s="7" t="str">
        <f>IFERROR(__xludf.DUMMYFUNCTION("""COMPUTED_VALUE"""),"Fault Localization during System Testing")</f>
        <v>Fault Localization during System Testing</v>
      </c>
      <c r="F1190" s="7" t="str">
        <f>IFERROR(__xludf.DUMMYFUNCTION("""COMPUTED_VALUE"""),"ICPC")</f>
        <v>ICPC</v>
      </c>
      <c r="G1190" s="7" t="str">
        <f>IFERROR(__xludf.DUMMYFUNCTION("""COMPUTED_VALUE"""),"Functional testing of business applications in the enterprise is carried out by independent test teams. Test scripts are generated manually or automatically from requirements, treating the IT systems as a black box. For every release, when test scripts fa"&amp;"il to execute, the test teams need to ascertain the cause of failure, which could be due to mismatch between the requirements and the test models and test scripts, or faults in the test scripts or faults in the source code. The process is cumbersome and t"&amp;"ime consuming. While several techniques have been developed to localize source code faults, these target testing carried out by the developer. To help test teams localize faults, we propose the novel idea of applying source code based fault localization t"&amp;"echnique to process models that represent the system functionality. Experimental results show that the techniques when applied to models, were able to localize both test script and source code faults. © 2015 IEEE.")</f>
        <v>Functional testing of business applications in the enterprise is carried out by independent test teams. Test scripts are generated manually or automatically from requirements, treating the IT systems as a black box. For every release, when test scripts fail to execute, the test teams need to ascertain the cause of failure, which could be due to mismatch between the requirements and the test models and test scripts, or faults in the test scripts or faults in the source code. The process is cumbersome and time consuming. While several techniques have been developed to localize source code faults, these target testing carried out by the developer. To help test teams localize faults, we propose the novel idea of applying source code based fault localization technique to process models that represent the system functionality. Experimental results show that the techniques when applied to models, were able to localize both test script and source code faults. © 2015 IEEE.</v>
      </c>
      <c r="H1190" s="7" t="str">
        <f>IFERROR(__xludf.DUMMYFUNCTION("""COMPUTED_VALUE"""),"BPMN; Fault Localization; Functional Testing; System Testing; Test-case Generation; Test-case Modelling")</f>
        <v>BPMN; Fault Localization; Functional Testing; System Testing; Test-case Generation; Test-case Modelling</v>
      </c>
      <c r="I1190" s="10" t="b">
        <v>0</v>
      </c>
      <c r="J1190" s="10" t="b">
        <v>0</v>
      </c>
      <c r="K1190" s="10" t="b">
        <v>0</v>
      </c>
      <c r="L1190" s="10" t="b">
        <v>0</v>
      </c>
      <c r="M1190" s="10" t="b">
        <v>0</v>
      </c>
      <c r="N1190" s="10" t="b">
        <v>0</v>
      </c>
      <c r="O1190" s="11" t="b">
        <f t="shared" si="1"/>
        <v>0</v>
      </c>
      <c r="P1190" s="16" t="b">
        <v>0</v>
      </c>
      <c r="Q1190" s="7"/>
    </row>
    <row r="1191">
      <c r="A1191" s="5" t="b">
        <v>1</v>
      </c>
      <c r="B1191" s="5" t="s">
        <v>1242</v>
      </c>
      <c r="C1191" s="7" t="str">
        <f>IFERROR(__xludf.DUMMYFUNCTION("""COMPUTED_VALUE"""),"10.1109/ICPC.2008.39")</f>
        <v>10.1109/ICPC.2008.39</v>
      </c>
      <c r="D1191" s="7" t="str">
        <f>IFERROR(__xludf.DUMMYFUNCTION("""COMPUTED_VALUE"""),"Eaddy M.; Aho A.V.; Antoniol G.; Guéhéneuc Y.-G.")</f>
        <v>Eaddy M.; Aho A.V.; Antoniol G.; Guéhéneuc Y.-G.</v>
      </c>
      <c r="E1191" s="7" t="str">
        <f>IFERROR(__xludf.DUMMYFUNCTION("""COMPUTED_VALUE"""),"CERBERUS: Tracing requirements to source code using information retrieval, dynamic analysis, and program analysis")</f>
        <v>CERBERUS: Tracing requirements to source code using information retrieval, dynamic analysis, and program analysis</v>
      </c>
      <c r="F1191" s="7" t="str">
        <f>IFERROR(__xludf.DUMMYFUNCTION("""COMPUTED_VALUE"""),"ICPC")</f>
        <v>ICPC</v>
      </c>
      <c r="G1191" s="7" t="str">
        <f>IFERROR(__xludf.DUMMYFUNCTION("""COMPUTED_VALUE"""),"The concern location problem is to identify the source code within a program related to the features, requirements, or other concerns of the program. This problem is central to program development and maintenance. We present a new technique called prune d"&amp;"ependency analysis that can be combined with existing techniques to dramatically improve the accuracy of concern location. We developed CERBERUS, a potent hybrid technique for concern location that combines information retrieval, execution tracing, and pr"&amp;"une dependency analysis. We used CERBERUS to trace the 360 requirements of RHINO, a 32,134 line Java program that implements the ECMA Script international standard. In our experiment, prune dependency analysis boosted the recall of information retrieval b"&amp;"y 155% and execution tracing by 104%. Moreover, we show that our combined technique outperformed the other techniques when run individually or in pairs. © 2008 IEEE.")</f>
        <v>The concern location problem is to identify the source code within a program related to the features, requirements, or other concerns of the program. This problem is central to program development and maintenance. We present a new technique called prune dependency analysis that can be combined with existing techniques to dramatically improve the accuracy of concern location. We developed CERBERUS, a potent hybrid technique for concern location that combines information retrieval, execution tracing, and prune dependency analysis. We used CERBERUS to trace the 360 requirements of RHINO, a 32,134 line Java program that implements the ECMA Script international standard. In our experiment, prune dependency analysis boosted the recall of information retrieval by 155% and execution tracing by 104%. Moreover, we show that our combined technique outperformed the other techniques when run individually or in pairs. © 2008 IEEE.</v>
      </c>
      <c r="H1191" s="7"/>
      <c r="I1191" s="10" t="b">
        <v>0</v>
      </c>
      <c r="J1191" s="10" t="b">
        <v>0</v>
      </c>
      <c r="K1191" s="10" t="b">
        <v>0</v>
      </c>
      <c r="L1191" s="10" t="b">
        <v>0</v>
      </c>
      <c r="M1191" s="10" t="b">
        <v>0</v>
      </c>
      <c r="N1191" s="10" t="b">
        <v>0</v>
      </c>
      <c r="O1191" s="11" t="b">
        <f t="shared" si="1"/>
        <v>0</v>
      </c>
      <c r="P1191" s="16" t="b">
        <v>0</v>
      </c>
      <c r="Q1191" s="7"/>
    </row>
    <row r="1192">
      <c r="A1192" s="5" t="b">
        <v>1</v>
      </c>
      <c r="B1192" s="5" t="s">
        <v>1243</v>
      </c>
      <c r="C1192" s="7"/>
      <c r="D1192" s="7"/>
      <c r="E1192" s="7" t="str">
        <f>IFERROR(__xludf.DUMMYFUNCTION("""COMPUTED_VALUE"""),"Proceedings - 2011 IEEE 19th International Conference on Program Comprehension, ICPC 2011")</f>
        <v>Proceedings - 2011 IEEE 19th International Conference on Program Comprehension, ICPC 2011</v>
      </c>
      <c r="F1192" s="7" t="str">
        <f>IFERROR(__xludf.DUMMYFUNCTION("""COMPUTED_VALUE"""),"ICPC")</f>
        <v>ICPC</v>
      </c>
      <c r="G1192" s="7" t="str">
        <f>IFERROR(__xludf.DUMMYFUNCTION("""COMPUTED_VALUE"""),"The proceedings contain 45 papers. The topics discussed include: generating parameter comments and integrating with method summaries; design defects detection and correction by example; obstacles in using frameworks and APIs: an exploratory study of progr"&amp;"ammers' newsgroup discussions; collective code bookmarks for program comprehension; trust-based requirements traceability; AspectMaps: a scalable visualization of join point shadows; reasoning about faults in aspect-oriented programs: a metrics-based eval"&amp;"uation; comparison of a visual and a textual notation to express data constraints in aspect-oriented join point selections: a controlled experiment; exploring large-scale system similarity using incremental clone detection and live scatterplots; software "&amp;"evolution comprehension: replay to the rescue; feature profiling for evolving systems; and MTF: a scalable exchange format for traces of high performance computing systems.")</f>
        <v>The proceedings contain 45 papers. The topics discussed include: generating parameter comments and integrating with method summaries; design defects detection and correction by example; obstacles in using frameworks and APIs: an exploratory study of programmers' newsgroup discussions; collective code bookmarks for program comprehension; trust-based requirements traceability; AspectMaps: a scalable visualization of join point shadows; reasoning about faults in aspect-oriented programs: a metrics-based evaluation; comparison of a visual and a textual notation to express data constraints in aspect-oriented join point selections: a controlled experiment; exploring large-scale system similarity using incremental clone detection and live scatterplots; software evolution comprehension: replay to the rescue; feature profiling for evolving systems; and MTF: a scalable exchange format for traces of high performance computing systems.</v>
      </c>
      <c r="H1192" s="7"/>
      <c r="I1192" s="10" t="b">
        <v>0</v>
      </c>
      <c r="J1192" s="10" t="b">
        <v>0</v>
      </c>
      <c r="K1192" s="10" t="b">
        <v>0</v>
      </c>
      <c r="L1192" s="10" t="b">
        <v>0</v>
      </c>
      <c r="M1192" s="10" t="b">
        <v>0</v>
      </c>
      <c r="N1192" s="10" t="b">
        <v>0</v>
      </c>
      <c r="O1192" s="11" t="b">
        <f t="shared" si="1"/>
        <v>0</v>
      </c>
      <c r="P1192" s="16" t="b">
        <v>0</v>
      </c>
      <c r="Q1192" s="7"/>
    </row>
    <row r="1193">
      <c r="A1193" s="5" t="b">
        <v>1</v>
      </c>
      <c r="B1193" s="5" t="s">
        <v>1244</v>
      </c>
      <c r="C1193" s="7" t="str">
        <f>IFERROR(__xludf.DUMMYFUNCTION("""COMPUTED_VALUE"""),"10.1109/ICPC.2011.9")</f>
        <v>10.1109/ICPC.2011.9</v>
      </c>
      <c r="D1193" s="7" t="str">
        <f>IFERROR(__xludf.DUMMYFUNCTION("""COMPUTED_VALUE"""),"Stein D.; Hanenberg S.")</f>
        <v>Stein D.; Hanenberg S.</v>
      </c>
      <c r="E1193" s="7" t="str">
        <f>IFERROR(__xludf.DUMMYFUNCTION("""COMPUTED_VALUE"""),"Comparison of a visual and a textual notation to express data constraints in aspect-oriented join point selections: A controlled experiment")</f>
        <v>Comparison of a visual and a textual notation to express data constraints in aspect-oriented join point selections: A controlled experiment</v>
      </c>
      <c r="F1193" s="7" t="str">
        <f>IFERROR(__xludf.DUMMYFUNCTION("""COMPUTED_VALUE"""),"ICPC")</f>
        <v>ICPC</v>
      </c>
      <c r="G1193" s="7" t="str">
        <f>IFERROR(__xludf.DUMMYFUNCTION("""COMPUTED_VALUE"""),"Many language constructs have been brought forth by research in aspect-oriented software development which permit a succinct and abstract specification of join point selections (aka pointcuts). These language constructs are believed to improve the compreh"&amp;"ensibility of the point cuts in comparison to their manually implemented counterparts. The case of comprehensibility gets undecided, though, if two notations permit to specify join point selection constraints in a likewise succinct and abstract manner. Th"&amp;"is paper reports on a controlled experiment which compares two notations to specify point cuts, i.e. Trace matches and Join Point Designation Diagrams, with respect to their ability to facilitate the comprehension of data constraints in join point selecti"&amp;"ons. Two comprehension tasks are investigated on a basis of 28 point cuts in a three-factorial within-subject design with 35 participants. The experiment results show that JPDDs improve over Trace matches in most cases. © 2011 IEEE.")</f>
        <v>Many language constructs have been brought forth by research in aspect-oriented software development which permit a succinct and abstract specification of join point selections (aka pointcuts). These language constructs are believed to improve the comprehensibility of the point cuts in comparison to their manually implemented counterparts. The case of comprehensibility gets undecided, though, if two notations permit to specify join point selection constraints in a likewise succinct and abstract manner. This paper reports on a controlled experiment which compares two notations to specify point cuts, i.e. Trace matches and Join Point Designation Diagrams, with respect to their ability to facilitate the comprehension of data constraints in join point selections. Two comprehension tasks are investigated on a basis of 28 point cuts in a three-factorial within-subject design with 35 participants. The experiment results show that JPDDs improve over Trace matches in most cases. © 2011 IEEE.</v>
      </c>
      <c r="H1193" s="7" t="str">
        <f>IFERROR(__xludf.DUMMYFUNCTION("""COMPUTED_VALUE"""),"Aspect-Oriented Software Development; Controlled Experiment; Data Constraints; Join Point Designation Diagrams; Join Point Selection; Pointcut; Tracematches")</f>
        <v>Aspect-Oriented Software Development; Controlled Experiment; Data Constraints; Join Point Designation Diagrams; Join Point Selection; Pointcut; Tracematches</v>
      </c>
      <c r="I1193" s="9" t="b">
        <v>1</v>
      </c>
      <c r="J1193" s="10" t="b">
        <v>0</v>
      </c>
      <c r="K1193" s="9" t="b">
        <v>1</v>
      </c>
      <c r="L1193" s="10" t="b">
        <v>0</v>
      </c>
      <c r="M1193" s="10" t="b">
        <v>0</v>
      </c>
      <c r="N1193" s="10" t="b">
        <v>0</v>
      </c>
      <c r="O1193" s="11" t="b">
        <f t="shared" si="1"/>
        <v>0</v>
      </c>
      <c r="P1193" s="16" t="b">
        <v>0</v>
      </c>
      <c r="Q1193" s="7"/>
    </row>
    <row r="1194">
      <c r="A1194" s="5" t="b">
        <v>1</v>
      </c>
      <c r="B1194" s="5" t="s">
        <v>1245</v>
      </c>
      <c r="C1194" s="7" t="str">
        <f>IFERROR(__xludf.DUMMYFUNCTION("""COMPUTED_VALUE"""),"10.1109/ICPC.2011.19")</f>
        <v>10.1109/ICPC.2011.19</v>
      </c>
      <c r="D1194" s="7" t="str">
        <f>IFERROR(__xludf.DUMMYFUNCTION("""COMPUTED_VALUE"""),"Guzzi A.; Hattori L.; Lanza M.; Pinzger M.; Deursen A.V.")</f>
        <v>Guzzi A.; Hattori L.; Lanza M.; Pinzger M.; Deursen A.V.</v>
      </c>
      <c r="E1194" s="7" t="str">
        <f>IFERROR(__xludf.DUMMYFUNCTION("""COMPUTED_VALUE"""),"Collective code bookmarks for program comprehension")</f>
        <v>Collective code bookmarks for program comprehension</v>
      </c>
      <c r="F1194" s="7" t="str">
        <f>IFERROR(__xludf.DUMMYFUNCTION("""COMPUTED_VALUE"""),"ICPC")</f>
        <v>ICPC</v>
      </c>
      <c r="G1194" s="7" t="str">
        <f>IFERROR(__xludf.DUMMYFUNCTION("""COMPUTED_VALUE"""),"The program comprehension research community has been developing useful tools and techniques to support developers in the time-consuming activity of understanding software artifacts. However, the majority of the tools do not bring collective benefit to th"&amp;"e team: After gaining the necessary understanding of an artifact (e.g., using a technique based on visualization, feature localization, architecture reconstruction, etc.), developers seldom document what they have learned, thus not sharing their knowledge"&amp;". We argue that code bookmarking can be effectively used to document a developer's findings, to retrieve this valuable knowledge later on, and to share the findings with other team members. We present a tool, called Pollicino, for collective code bookmark"&amp;"ing. To gather requirements for our bookmarking tool, we conducted an online survey and interviewed professional software engineers about their current usage and needs of code bookmarks. We describe our approach and the tool we implemented. To assess the "&amp;"tool's effectiveness, adequacy, and usability, we present an exploratory pre-experimental user study we have performed with 11 participants. © 2011 IEEE.")</f>
        <v>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 © 2011 IEEE.</v>
      </c>
      <c r="H1194" s="7"/>
      <c r="I1194" s="10" t="b">
        <v>0</v>
      </c>
      <c r="J1194" s="10" t="b">
        <v>0</v>
      </c>
      <c r="K1194" s="10" t="b">
        <v>0</v>
      </c>
      <c r="L1194" s="10" t="b">
        <v>0</v>
      </c>
      <c r="M1194" s="10" t="b">
        <v>0</v>
      </c>
      <c r="N1194" s="10" t="b">
        <v>0</v>
      </c>
      <c r="O1194" s="11" t="b">
        <f t="shared" si="1"/>
        <v>0</v>
      </c>
      <c r="P1194" s="16" t="b">
        <v>0</v>
      </c>
      <c r="Q1194" s="7"/>
    </row>
    <row r="1195">
      <c r="A1195" s="5" t="b">
        <v>1</v>
      </c>
      <c r="B1195" s="5" t="s">
        <v>1246</v>
      </c>
      <c r="C1195" s="7" t="str">
        <f>IFERROR(__xludf.DUMMYFUNCTION("""COMPUTED_VALUE"""),"10.1109/ICSA.2017.22")</f>
        <v>10.1109/ICSA.2017.22</v>
      </c>
      <c r="D1195" s="7" t="str">
        <f>IFERROR(__xludf.DUMMYFUNCTION("""COMPUTED_VALUE"""),"Yasaweerasinghelage R.; Staples M.; Weber I.")</f>
        <v>Yasaweerasinghelage R.; Staples M.; Weber I.</v>
      </c>
      <c r="E1195" s="7" t="str">
        <f>IFERROR(__xludf.DUMMYFUNCTION("""COMPUTED_VALUE"""),"Predicting Latency of Blockchain-Based Systems Using Architectural Modelling and Simulation")</f>
        <v>Predicting Latency of Blockchain-Based Systems Using Architectural Modelling and Simulation</v>
      </c>
      <c r="F1195" s="7" t="str">
        <f>IFERROR(__xludf.DUMMYFUNCTION("""COMPUTED_VALUE"""),"ICSA")</f>
        <v>ICSA</v>
      </c>
      <c r="G1195" s="7" t="str">
        <f>IFERROR(__xludf.DUMMYFUNCTION("""COMPUTED_VALUE"""),"Blockchain is an emerging technology for sharing transactional data and computation without using a central trusted third party. It is an architectural choice to use a blockchain instead of traditional databases or protocols, and this creates trade-offs b"&amp;"etween non-functional requirements such as performance, cost, and security. However, little is known about predicting the behaviour of blockchain-based systems. This paper shows the feasibility of using architectural performance modelling and simulation t"&amp;"ools to predict the latency of blockchain-based systems. We use established tools and techniques, but explore new blockchain-specific issues such as the configuration of the number of confirmation blocks and inter-block times. We report on a lab-based exp"&amp;"erimental study using an incident management system, showing predictions of median system level response time with a relative error mostly under 10%. We discuss how the approach can be used to support architectural decision-making, during the design of bl"&amp;"ockchain-based systems. © 2017 IEEE.")</f>
        <v>Blockchain is an emerging technology for sharing transactional data and computation without using a central trusted third party. It is an architectural choice to use a blockchain instead of traditional databases or protocols, and this creates trade-offs between non-functional requirements such as performance, cost, and security. However, little is known about predicting the behaviour of blockchain-based systems. This paper shows the feasibility of using architectural performance modelling and simulation tools to predict the latency of blockchain-based systems. We use established tools and techniques, but explore new blockchain-specific issues such as the configuration of the number of confirmation blocks and inter-block times. We report on a lab-based experimental study using an incident management system, showing predictions of median system level response time with a relative error mostly under 10%. We discuss how the approach can be used to support architectural decision-making, during the design of blockchain-based systems. © 2017 IEEE.</v>
      </c>
      <c r="H1195" s="7" t="str">
        <f>IFERROR(__xludf.DUMMYFUNCTION("""COMPUTED_VALUE"""),"Distributed databases; Software architecture; Software performance")</f>
        <v>Distributed databases; Software architecture; Software performance</v>
      </c>
      <c r="I1195" s="10" t="b">
        <v>0</v>
      </c>
      <c r="J1195" s="10" t="b">
        <v>0</v>
      </c>
      <c r="K1195" s="10" t="b">
        <v>0</v>
      </c>
      <c r="L1195" s="10" t="b">
        <v>0</v>
      </c>
      <c r="M1195" s="10" t="b">
        <v>0</v>
      </c>
      <c r="N1195" s="10" t="b">
        <v>0</v>
      </c>
      <c r="O1195" s="11" t="b">
        <f t="shared" si="1"/>
        <v>0</v>
      </c>
      <c r="P1195" s="16" t="b">
        <v>0</v>
      </c>
      <c r="Q1195" s="7"/>
    </row>
    <row r="1196">
      <c r="A1196" s="5" t="b">
        <v>1</v>
      </c>
      <c r="B1196" s="5" t="s">
        <v>1247</v>
      </c>
      <c r="C1196" s="7" t="str">
        <f>IFERROR(__xludf.DUMMYFUNCTION("""COMPUTED_VALUE"""),"10.1109/ICSA.2017.45")</f>
        <v>10.1109/ICSA.2017.45</v>
      </c>
      <c r="D1196" s="7" t="str">
        <f>IFERROR(__xludf.DUMMYFUNCTION("""COMPUTED_VALUE"""),"Bang J.Y.; Brun Y.; Medvidovic N.")</f>
        <v>Bang J.Y.; Brun Y.; Medvidovic N.</v>
      </c>
      <c r="E1196" s="7" t="str">
        <f>IFERROR(__xludf.DUMMYFUNCTION("""COMPUTED_VALUE"""),"Continuous Analysis of Collaborative Design")</f>
        <v>Continuous Analysis of Collaborative Design</v>
      </c>
      <c r="F1196" s="7" t="str">
        <f>IFERROR(__xludf.DUMMYFUNCTION("""COMPUTED_VALUE"""),"ICSA")</f>
        <v>ICSA</v>
      </c>
      <c r="G1196" s="7" t="str">
        <f>IFERROR(__xludf.DUMMYFUNCTION("""COMPUTED_VALUE"""),"In collaborative design, architects' individual design decisions may conflict and, when joined, may violate system consistency rules or non-functional requirements. These design conflicts can hinder collaboration and result in wasted effort. Proactive det"&amp;"ection of code-level conflicts has been shown to improve collaborative productivity, however, the computational resource requirements for proactively computing design conflicts have hindered its applicability in practice. Our survey and interviews of 50 a"&amp;"rchitects from six large software companies find that 60% of their projects involve collaborative design, that architects consider integration costly, and that design conflicts are frequent and lead to lost work. To aid collaborative design, we re-enginee"&amp;"r FLAME, our prior design conflict detection technique, to use cloud resources and a novel prioritization algorithm that, together, achieve efficient and nonintrusive conflict detection, and guarantee a bound on the time before a conflict is discovered. T"&amp;"wo controlled experiments with 90 students trained in software architecture in a professional graduate program, demonstrate that architects using FLAME design more efficiently, produce higher-quality designs, repair conflicts faster, and prefer using FLAM"&amp;"E. An empirical performance evaluation demonstrates FLAME's scalability and verifies its time-bound guarantees. © 2017 IEEE.")</f>
        <v>In collaborative design, architects' individual design decisions may conflict and, when joined, may violate system consistency rules or non-functional requirements. These design conflicts can hinder collaboration and result in wasted effort. Proactive detection of code-level conflicts has been shown to improve collaborative productivity, however, the computational resource requirements for proactively computing design conflicts have hindered its applicability in practice. Our survey and interviews of 50 architects from six large software companies find that 60% of their projects involve collaborative design, that architects consider integration costly, and that design conflicts are frequent and lead to lost work. To aid collaborative design, we re-engineer FLAME, our prior design conflict detection technique, to use cloud resources and a novel prioritization algorithm that, together, achieve efficient and nonintrusive conflict detection, and guarantee a bound on the time before a conflict is discovered. Two controlled experiments with 90 students trained in software architecture in a professional graduate program, demonstrate that architects using FLAME design more efficiently, produce higher-quality designs, repair conflicts faster, and prefer using FLAME. An empirical performance evaluation demonstrates FLAME's scalability and verifies its time-bound guarantees. © 2017 IEEE.</v>
      </c>
      <c r="H1196" s="7" t="str">
        <f>IFERROR(__xludf.DUMMYFUNCTION("""COMPUTED_VALUE"""),"collaborative design; conflict detection; proactive conflict detection; speculative analysis")</f>
        <v>collaborative design; conflict detection; proactive conflict detection; speculative analysis</v>
      </c>
      <c r="I1196" s="9" t="b">
        <v>1</v>
      </c>
      <c r="J1196" s="10" t="b">
        <v>0</v>
      </c>
      <c r="K1196" s="9" t="b">
        <v>1</v>
      </c>
      <c r="L1196" s="10" t="b">
        <v>0</v>
      </c>
      <c r="M1196" s="10" t="b">
        <v>0</v>
      </c>
      <c r="N1196" s="10" t="b">
        <v>0</v>
      </c>
      <c r="O1196" s="11" t="b">
        <f t="shared" si="1"/>
        <v>0</v>
      </c>
      <c r="P1196" s="16" t="b">
        <v>0</v>
      </c>
      <c r="Q1196" s="7"/>
    </row>
    <row r="1197">
      <c r="A1197" s="5" t="b">
        <v>1</v>
      </c>
      <c r="B1197" s="5" t="s">
        <v>1248</v>
      </c>
      <c r="C1197" s="7" t="str">
        <f>IFERROR(__xludf.DUMMYFUNCTION("""COMPUTED_VALUE"""),"10.1109/ICSA.2017.10")</f>
        <v>10.1109/ICSA.2017.10</v>
      </c>
      <c r="D1197" s="7" t="str">
        <f>IFERROR(__xludf.DUMMYFUNCTION("""COMPUTED_VALUE"""),"Czepa C.; Tran H.; Zdun U.; Kim T.T.T.; Weiss E.; Ruhsam C.")</f>
        <v>Czepa C.; Tran H.; Zdun U.; Kim T.T.T.; Weiss E.; Ruhsam C.</v>
      </c>
      <c r="E1197" s="7" t="str">
        <f>IFERROR(__xludf.DUMMYFUNCTION("""COMPUTED_VALUE"""),"On the Understandability of Semantic Constraints for Behavioral Software Architecture Compliance: A Controlled Experiment")</f>
        <v>On the Understandability of Semantic Constraints for Behavioral Software Architecture Compliance: A Controlled Experiment</v>
      </c>
      <c r="F1197" s="7" t="str">
        <f>IFERROR(__xludf.DUMMYFUNCTION("""COMPUTED_VALUE"""),"ICSA")</f>
        <v>ICSA</v>
      </c>
      <c r="G1197" s="7" t="str">
        <f>IFERROR(__xludf.DUMMYFUNCTION("""COMPUTED_VALUE"""),"Software architecture compliance is concerned with the alignment of implementation with its desired architecture and detecting potential inconsistencies. The work presented in this paper is specifically concerned with behavioral architecture compliance. T"&amp;"hat is, the focus is on semantic alignment of implementation and architecture. In particular, this paper evaluates three representative approaches for describing semantic constraints in terms of their understandability, namely natural language description"&amp;"s as used in many architecture documentations today, a structured language based on specification patterns that abstract underlying temporal logic formulas, and a structured cause-effect language that is based on Complex Event Processing. We conducted a c"&amp;"ontrolled experiment with 190 participants using a simple randomized design with one alternative per experimental unit. Overall all approaches support a high level of correct understanding, and the statistical inference suggests that all tested approaches"&amp;" are equally well suited for describing semantic constraints for behavioral architecture compliance in terms of understandability. In consequence this indicates that it is possible to benefit from the tested structured languages with underlying formal rep"&amp;"resentations for automated verification without having to suffer from decreased understandability. Vice versa, the results suggest that the use of natural language can be a suitable way to document architecture semantics when reliable automated support fo"&amp;"r formal verification is of minor importance. © 2017 IEEE.")</f>
        <v>Software architecture compliance is concerned with the alignment of implementation with its desired architecture and detecting potential inconsistencies. The work presented in this paper is specifically concerned with behavioral architecture compliance. That is, the focus is on semantic alignment of implementation and architecture. In particular, this paper evaluates three representative approaches for describing semantic constraints in terms of their understandability, namely natural language descriptions as used in many architecture documentations today, a structured language based on specification patterns that abstract underlying temporal logic formulas, and a structured cause-effect language that is based on Complex Event Processing. We conducted a controlled experiment with 190 participants using a simple randomized design with one alternative per experimental unit. Overall all approaches support a high level of correct understanding, and the statistical inference suggests that all tested approaches are equally well suited for describing semantic constraints for behavioral architecture compliance in terms of understandability. In consequence this indicates that it is possible to benefit from the tested structured languages with underlying formal representations for automated verification without having to suffer from decreased understandability. Vice versa, the results suggest that the use of natural language can be a suitable way to document architecture semantics when reliable automated support for formal verification is of minor importance. © 2017 IEEE.</v>
      </c>
      <c r="H1197" s="7" t="str">
        <f>IFERROR(__xludf.DUMMYFUNCTION("""COMPUTED_VALUE"""),"Behavioral Software Architecture Compliance; Controlled Experiment; Semantic Constraints; Understandability")</f>
        <v>Behavioral Software Architecture Compliance; Controlled Experiment; Semantic Constraints; Understandability</v>
      </c>
      <c r="I1197" s="9" t="b">
        <v>1</v>
      </c>
      <c r="J1197" s="10" t="b">
        <v>0</v>
      </c>
      <c r="K1197" s="9" t="b">
        <v>1</v>
      </c>
      <c r="L1197" s="10" t="b">
        <v>0</v>
      </c>
      <c r="M1197" s="10" t="b">
        <v>0</v>
      </c>
      <c r="N1197" s="10" t="b">
        <v>0</v>
      </c>
      <c r="O1197" s="11" t="b">
        <f t="shared" si="1"/>
        <v>0</v>
      </c>
      <c r="P1197" s="16" t="b">
        <v>0</v>
      </c>
      <c r="Q1197" s="7"/>
    </row>
    <row r="1198">
      <c r="A1198" s="5" t="b">
        <v>1</v>
      </c>
      <c r="B1198" s="5" t="s">
        <v>1249</v>
      </c>
      <c r="C1198" s="7" t="str">
        <f>IFERROR(__xludf.DUMMYFUNCTION("""COMPUTED_VALUE"""),"10.1109/ICSA.2017.36")</f>
        <v>10.1109/ICSA.2017.36</v>
      </c>
      <c r="D1198" s="7" t="str">
        <f>IFERROR(__xludf.DUMMYFUNCTION("""COMPUTED_VALUE"""),"Giaimo F.; Berger C.")</f>
        <v>Giaimo F.; Berger C.</v>
      </c>
      <c r="E1198" s="7" t="str">
        <f>IFERROR(__xludf.DUMMYFUNCTION("""COMPUTED_VALUE"""),"Design Criteria to Architect Continuous Experimentation for Self-Driving Vehicles")</f>
        <v>Design Criteria to Architect Continuous Experimentation for Self-Driving Vehicles</v>
      </c>
      <c r="F1198" s="7" t="str">
        <f>IFERROR(__xludf.DUMMYFUNCTION("""COMPUTED_VALUE"""),"ICSA")</f>
        <v>ICSA</v>
      </c>
      <c r="G1198" s="7" t="str">
        <f>IFERROR(__xludf.DUMMYFUNCTION("""COMPUTED_VALUE"""),"The software powering today's vehicles surpasses mechatronics as the dominating engineering challenge due to its fast evolving and innovative nature. In addition, the software and system architecture for upcoming vehicles with automated driving functional"&amp;"ity is already processing ∼750MB/s - corresponding to over 180 simultaneous 4K-video streams from popular video-on-demand services. Hence, self-driving cars will run so much software to resemble 'small data centers on wheels' rather than just transportati"&amp;"on vehicles. Continuous Integration, Deployment, and Experimentation have been successfully adopted for software-only products as enabling methodology for feedback-based software development. For example, a popular search engine conducts ∼250 experiments "&amp;"each day to improve the software based on its users' behavior. This work investigates design criteria for the software architecture and the corresponding software development and deployment process for complex cyber-physical systems, with the goal of enab"&amp;"ling Continuous Experimentation as a way to achieve continuous software evolution. Our research involved reviewing related literature on the topic to extract relevant design requirements. The study is concluded by describing the software development and d"&amp;"eployment process and software architecture adopted by our self-driving vehicle laboratory, both based on the extracted criteria. © 2017 IEEE.")</f>
        <v>The software powering today's vehicles surpasses mechatronics as the dominating engineering challenge due to its fast evolving and innovative nature. In addition, the software and system architecture for upcoming vehicles with automated driving functionality is already processing ∼750MB/s - corresponding to over 180 simultaneous 4K-video streams from popular video-on-demand services. Hence, self-driving cars will run so much software to resemble 'small data centers on wheels' rather than just transportation vehicles. Continuous Integration, Deployment, and Experimentation have been successfully adopted for software-only products as enabling methodology for feedback-based software development. For example, a popular search engine conducts ∼250 experiments each day to improve the software based on its users' behavior. This work investigates design criteria for the software architecture and the corresponding software development and deployment process for complex cyber-physical systems, with the goal of enabling Continuous Experimentation as a way to achieve continuous software evolution. Our research involved reviewing related literature on the topic to extract relevant design requirements. The study is concluded by describing the software development and deployment process and software architecture adopted by our self-driving vehicle laboratory, both based on the extracted criteria. © 2017 IEEE.</v>
      </c>
      <c r="H1198" s="7" t="str">
        <f>IFERROR(__xludf.DUMMYFUNCTION("""COMPUTED_VALUE"""),"Automotive application; Autonomous automobiles; Cyber-physical systems; Intelligent vehicles; Message-oriented middleware; Open-source software; Software architecture; Software engineering; Software systems")</f>
        <v>Automotive application; Autonomous automobiles; Cyber-physical systems; Intelligent vehicles; Message-oriented middleware; Open-source software; Software architecture; Software engineering; Software systems</v>
      </c>
      <c r="I1198" s="10" t="b">
        <v>0</v>
      </c>
      <c r="J1198" s="10" t="b">
        <v>0</v>
      </c>
      <c r="K1198" s="10" t="b">
        <v>0</v>
      </c>
      <c r="L1198" s="10" t="b">
        <v>0</v>
      </c>
      <c r="M1198" s="10" t="b">
        <v>0</v>
      </c>
      <c r="N1198" s="10" t="b">
        <v>0</v>
      </c>
      <c r="O1198" s="11" t="b">
        <f t="shared" si="1"/>
        <v>0</v>
      </c>
      <c r="P1198" s="16" t="b">
        <v>0</v>
      </c>
      <c r="Q1198" s="7"/>
    </row>
    <row r="1199">
      <c r="A1199" s="5" t="b">
        <v>1</v>
      </c>
      <c r="B1199" s="5" t="s">
        <v>1250</v>
      </c>
      <c r="C1199" s="7" t="str">
        <f>IFERROR(__xludf.DUMMYFUNCTION("""COMPUTED_VALUE"""),"10.1109/ICSME.2019.00063")</f>
        <v>10.1109/ICSME.2019.00063</v>
      </c>
      <c r="D1199" s="7" t="str">
        <f>IFERROR(__xludf.DUMMYFUNCTION("""COMPUTED_VALUE"""),"Shah M.")</f>
        <v>Shah M.</v>
      </c>
      <c r="E1199" s="7" t="str">
        <f>IFERROR(__xludf.DUMMYFUNCTION("""COMPUTED_VALUE"""),"Lib Metamorphosis: A Performance Analysis Framework for Exchanging Data Structures in Performance Sensitive Applications")</f>
        <v>Lib Metamorphosis: A Performance Analysis Framework for Exchanging Data Structures in Performance Sensitive Applications</v>
      </c>
      <c r="F1199" s="7" t="str">
        <f>IFERROR(__xludf.DUMMYFUNCTION("""COMPUTED_VALUE"""),"ICSME")</f>
        <v>ICSME</v>
      </c>
      <c r="G1199" s="7" t="str">
        <f>IFERROR(__xludf.DUMMYFUNCTION("""COMPUTED_VALUE"""),"When software does not meet performance requirements, difficult decisions are made to change central data structures which may be costly financially and increase development time. In addition, monitoring how these data structures are used, and trying to u"&amp;"nderstand performance implications of any change may prevent any evolution of the original infrastructure. Thus, radical revisions to software may be avoided due to the barriers of time and engineering complexity costs. Our solution to helping developers "&amp;"make infrastructure changes to improve performance is to provide a refactoring tool where developers may swap data structures. Our tool preserves correctness by utilizing the software's test suite and also measures performance automatically of the swapped"&amp;" data structure. We believe there is need for such a tool to help encourage more radical revisions and experimentation in large software projects to improve performance. Our frameworks success will be evaluated based on preserving the correctness of the s"&amp;"oftware within a developer created test suite while providing performance information based on modified data structures. © 2019 IEEE.")</f>
        <v>When software does not meet performance requirements, difficult decisions are made to change central data structures which may be costly financially and increase development time. In addition, monitoring how these data structures are used, and trying to understand performance implications of any change may prevent any evolution of the original infrastructure. Thus, radical revisions to software may be avoided due to the barriers of time and engineering complexity costs. Our solution to helping developers make infrastructure changes to improve performance is to provide a refactoring tool where developers may swap data structures. Our tool preserves correctness by utilizing the software's test suite and also measures performance automatically of the swapped data structure. We believe there is need for such a tool to help encourage more radical revisions and experimentation in large software projects to improve performance. Our frameworks success will be evaluated based on preserving the correctness of the software within a developer created test suite while providing performance information based on modified data structures. © 2019 IEEE.</v>
      </c>
      <c r="H1199" s="7" t="str">
        <f>IFERROR(__xludf.DUMMYFUNCTION("""COMPUTED_VALUE"""),"Algorithms; Data Structures; Instrumentation; Performance")</f>
        <v>Algorithms; Data Structures; Instrumentation; Performance</v>
      </c>
      <c r="I1199" s="10" t="b">
        <v>0</v>
      </c>
      <c r="J1199" s="10" t="b">
        <v>0</v>
      </c>
      <c r="K1199" s="10" t="b">
        <v>0</v>
      </c>
      <c r="L1199" s="10" t="b">
        <v>0</v>
      </c>
      <c r="M1199" s="10" t="b">
        <v>0</v>
      </c>
      <c r="N1199" s="10" t="b">
        <v>0</v>
      </c>
      <c r="O1199" s="11" t="b">
        <f t="shared" si="1"/>
        <v>0</v>
      </c>
      <c r="P1199" s="16" t="b">
        <v>0</v>
      </c>
      <c r="Q1199" s="7"/>
    </row>
    <row r="1200">
      <c r="A1200" s="5" t="b">
        <v>1</v>
      </c>
      <c r="B1200" s="5" t="s">
        <v>1251</v>
      </c>
      <c r="C1200" s="7" t="str">
        <f>IFERROR(__xludf.DUMMYFUNCTION("""COMPUTED_VALUE"""),"10.1109/ICSME55016.2022.00052")</f>
        <v>10.1109/ICSME55016.2022.00052</v>
      </c>
      <c r="D1200" s="7" t="str">
        <f>IFERROR(__xludf.DUMMYFUNCTION("""COMPUTED_VALUE"""),"Kim J.; Hong S.")</f>
        <v>Kim J.; Hong S.</v>
      </c>
      <c r="E1200" s="7" t="str">
        <f>IFERROR(__xludf.DUMMYFUNCTION("""COMPUTED_VALUE"""),"Inferring Fine-grained Traceability Links between Javadoc Comment and JUnit Test Code")</f>
        <v>Inferring Fine-grained Traceability Links between Javadoc Comment and JUnit Test Code</v>
      </c>
      <c r="F1200" s="7" t="str">
        <f>IFERROR(__xludf.DUMMYFUNCTION("""COMPUTED_VALUE"""),"ICSME")</f>
        <v>ICSME</v>
      </c>
      <c r="G1200" s="7" t="str">
        <f>IFERROR(__xludf.DUMMYFUNCTION("""COMPUTED_VALUE"""),"This work presents DOTELINK, a technique that infers fine-grained traceability links between Javadoc comments and JUnit test code. To resolve the limitation of method-level traceability links, DOTELINK establishes links in sentence-level for Javadoc comme"&amp;"nts and code region-level for JUnit test methods. DOTELINK first segregates each Javadoc comment into multiple sentences, and each JUnit test method into coherent code snippets. And then, DOTELINK associates a Javadoc sentence with a code snippet if their"&amp;" lexical similarity is high. DOTELINK identifies 62.4% of the true fine-grained traceability links in the experiments with 5 real-world projects. We believe that DOTELINK effectively helps developers utilize the duality of the two sorts of requirement rep"&amp;"resentations to improve test quality. © 2022 IEEE.")</f>
        <v>This work presents DOTELINK, a technique that infers fine-grained traceability links between Javadoc comments and JUnit test code. To resolve the limitation of method-level traceability links, DOTELINK establishes links in sentence-level for Javadoc comments and code region-level for JUnit test methods. DOTELINK first segregates each Javadoc comment into multiple sentences, and each JUnit test method into coherent code snippets. And then, DOTELINK associates a Javadoc sentence with a code snippet if their lexical similarity is high. DOTELINK identifies 62.4% of the true fine-grained traceability links in the experiments with 5 real-world projects. We believe that DOTELINK effectively helps developers utilize the duality of the two sorts of requirement representations to improve test quality. © 2022 IEEE.</v>
      </c>
      <c r="H1200" s="7" t="str">
        <f>IFERROR(__xludf.DUMMYFUNCTION("""COMPUTED_VALUE"""),"document to test traceability link; documentation quality; Javadoc comment; JUnit test code; test code quality")</f>
        <v>document to test traceability link; documentation quality; Javadoc comment; JUnit test code; test code quality</v>
      </c>
      <c r="I1200" s="10" t="b">
        <v>0</v>
      </c>
      <c r="J1200" s="10" t="b">
        <v>0</v>
      </c>
      <c r="K1200" s="10" t="b">
        <v>0</v>
      </c>
      <c r="L1200" s="10" t="b">
        <v>0</v>
      </c>
      <c r="M1200" s="10" t="b">
        <v>0</v>
      </c>
      <c r="N1200" s="10" t="b">
        <v>0</v>
      </c>
      <c r="O1200" s="11" t="b">
        <f t="shared" si="1"/>
        <v>0</v>
      </c>
      <c r="P1200" s="16" t="b">
        <v>0</v>
      </c>
      <c r="Q1200" s="7"/>
    </row>
    <row r="1201">
      <c r="A1201" s="5" t="b">
        <v>1</v>
      </c>
      <c r="B1201" s="5" t="s">
        <v>1252</v>
      </c>
      <c r="C1201" s="7" t="str">
        <f>IFERROR(__xludf.DUMMYFUNCTION("""COMPUTED_VALUE"""),"10.1109/ICSME.2018.00022")</f>
        <v>10.1109/ICSME.2018.00022</v>
      </c>
      <c r="D1201" s="7" t="str">
        <f>IFERROR(__xludf.DUMMYFUNCTION("""COMPUTED_VALUE"""),"Ishio T.; Maeda N.; Shibuya K.; Inoue K.")</f>
        <v>Ishio T.; Maeda N.; Shibuya K.; Inoue K.</v>
      </c>
      <c r="E1201" s="7" t="str">
        <f>IFERROR(__xludf.DUMMYFUNCTION("""COMPUTED_VALUE"""),"Cloned buggy code detection in practice using normalized compression distance")</f>
        <v>Cloned buggy code detection in practice using normalized compression distance</v>
      </c>
      <c r="F1201" s="7" t="str">
        <f>IFERROR(__xludf.DUMMYFUNCTION("""COMPUTED_VALUE"""),"ICSME")</f>
        <v>ICSME</v>
      </c>
      <c r="G1201" s="7" t="str">
        <f>IFERROR(__xludf.DUMMYFUNCTION("""COMPUTED_VALUE"""),"Software developers often write similar source code fragments in a software product. Since such code fragments may include the same mistake, developers have to inspect code clones if they found a bug in their code. In this study, we developed a tool to de"&amp;"tect clones of a faulty code fragment for a software company, since existing code clone detection tools do not fit the requirements of the company. The tool employs Normalized Compression Distance for source code comparison, because its definition is unde"&amp;"rstandable for developers, and also it is easy to support multiple programming languages. We conducted two experiments using an existing research dataset and actual examples. Based on the evidence, the tool has been deployed in several projects in the com"&amp;"pany. © 2018 IEEE.")</f>
        <v>Software developers often write similar source code fragments in a software product. Since such code fragments may include the same mistake, developers have to inspect code clones if they found a bug in their code. In this study, we developed a tool to detect clones of a faulty code fragment for a software company, since existing code clone detection tools do not fit the requirements of the company. The tool employs Normalized Compression Distance for source code comparison, because its definition is understandable for developers, and also it is easy to support multiple programming languages. We conducted two experiments using an existing research dataset and actual examples. Based on the evidence, the tool has been deployed in several projects in the company. © 2018 IEEE.</v>
      </c>
      <c r="H1201" s="7" t="str">
        <f>IFERROR(__xludf.DUMMYFUNCTION("""COMPUTED_VALUE"""),"Bug fix; Code clone detection; Development tool; Source code search; Source code similarity")</f>
        <v>Bug fix; Code clone detection; Development tool; Source code search; Source code similarity</v>
      </c>
      <c r="I1201" s="10" t="b">
        <v>0</v>
      </c>
      <c r="J1201" s="10" t="b">
        <v>0</v>
      </c>
      <c r="K1201" s="10" t="b">
        <v>0</v>
      </c>
      <c r="L1201" s="10" t="b">
        <v>0</v>
      </c>
      <c r="M1201" s="10" t="b">
        <v>0</v>
      </c>
      <c r="N1201" s="10" t="b">
        <v>0</v>
      </c>
      <c r="O1201" s="11" t="b">
        <f t="shared" si="1"/>
        <v>0</v>
      </c>
      <c r="P1201" s="16" t="b">
        <v>0</v>
      </c>
      <c r="Q1201" s="7"/>
    </row>
    <row r="1202">
      <c r="A1202" s="5" t="b">
        <v>1</v>
      </c>
      <c r="B1202" s="5" t="s">
        <v>1253</v>
      </c>
      <c r="C1202" s="7" t="str">
        <f>IFERROR(__xludf.DUMMYFUNCTION("""COMPUTED_VALUE"""),"10.1109/ICSME.2017.18")</f>
        <v>10.1109/ICSME.2017.18</v>
      </c>
      <c r="D1202" s="7" t="str">
        <f>IFERROR(__xludf.DUMMYFUNCTION("""COMPUTED_VALUE"""),"Han J.; Sun A.")</f>
        <v>Han J.; Sun A.</v>
      </c>
      <c r="E1202" s="7" t="str">
        <f>IFERROR(__xludf.DUMMYFUNCTION("""COMPUTED_VALUE"""),"Mean average distance to resolver: An evaluation metric for ticket routing in expert network")</f>
        <v>Mean average distance to resolver: An evaluation metric for ticket routing in expert network</v>
      </c>
      <c r="F1202" s="7" t="str">
        <f>IFERROR(__xludf.DUMMYFUNCTION("""COMPUTED_VALUE"""),"ICSME")</f>
        <v>ICSME</v>
      </c>
      <c r="G1202" s="7" t="str">
        <f>IFERROR(__xludf.DUMMYFUNCTION("""COMPUTED_VALUE"""),"In the technical support division of a large enterprise software provider, customers' technical incidents, problems, and change requests are processed as tickets. Each ticket is assigned to a support engineer for processing. Due to the limited expertise o"&amp;"f individuals, resolving a ticket may involve routing the ticket among multiple groups of engineers. Each routing step costs time and resources. It is desirable for experts to route a ticket to its most likely resolver with minimum steps. Automated or sem"&amp;"i-automated systems are proposed to improve routing efficiency. To evaluate the performance of any system, including human routing, two metrics are commonly used, namely Mean Steps to Resolver (MSTR) and Resolution Rate (RR). The two measures are designed"&amp;" independently, with different objectives and at different scales, making it difficult to compare systems. Moreover, the current measures only consider the resolver group as the ground truth, even during path-level evaluation. They disregard the contribut"&amp;"ion of intermediate groups during the ticket resolution. In this paper, we propose a distance-based unified evaluation measure named Mean Average Distance to Resolver (MADR). This new framework addresses the aforementioned limitations, and it can be easil"&amp;"y modified to adapt to different business requirements in different organizations. In addition, existing evaluation paradigm does not consider human routing steps except the resolver. We argue that the predicted paths may not be followed exactly by expert"&amp;" groups in real operation. An assistive routing evaluation framework is therefore designed to take into account expert's choice when recommendation fails, for each routing. Experiments using proprietary data from a large enterprise demonstrate that MADR c"&amp;"an be used to benchmark and compare routing systems. © 2017 IEEE.")</f>
        <v>In the technical support division of a large enterprise software provider, customers' technical incidents, problems, and change requests are processed as tickets. Each ticket is assigned to a support engineer for processing. Due to the limited expertise of individuals, resolving a ticket may involve routing the ticket among multiple groups of engineers. Each routing step costs time and resources. It is desirable for experts to route a ticket to its most likely resolver with minimum steps. Automated or semi-automated systems are proposed to improve routing efficiency. To evaluate the performance of any system, including human routing, two metrics are commonly used, namely Mean Steps to Resolver (MSTR) and Resolution Rate (RR). The two measures are designed independently, with different objectives and at different scales, making it difficult to compare systems. Moreover, the current measures only consider the resolver group as the ground truth, even during path-level evaluation. They disregard the contribution of intermediate groups during the ticket resolution. In this paper, we propose a distance-based unified evaluation measure named Mean Average Distance to Resolver (MADR). This new framework addresses the aforementioned limitations, and it can be easily modified to adapt to different business requirements in different organizations. In addition, existing evaluation paradigm does not consider human routing steps except the resolver. We argue that the predicted paths may not be followed exactly by expert groups in real operation. An assistive routing evaluation framework is therefore designed to take into account expert's choice when recommendation fails, for each routing. Experiments using proprietary data from a large enterprise demonstrate that MADR can be used to benchmark and compare routing systems. © 2017 IEEE.</v>
      </c>
      <c r="H1202" s="7" t="str">
        <f>IFERROR(__xludf.DUMMYFUNCTION("""COMPUTED_VALUE"""),"Expert network; MADR; MSTR; RR; Ticket routing")</f>
        <v>Expert network; MADR; MSTR; RR; Ticket routing</v>
      </c>
      <c r="I1202" s="10" t="b">
        <v>0</v>
      </c>
      <c r="J1202" s="10" t="b">
        <v>0</v>
      </c>
      <c r="K1202" s="10" t="b">
        <v>0</v>
      </c>
      <c r="L1202" s="10" t="b">
        <v>0</v>
      </c>
      <c r="M1202" s="10" t="b">
        <v>0</v>
      </c>
      <c r="N1202" s="10" t="b">
        <v>0</v>
      </c>
      <c r="O1202" s="11" t="b">
        <f t="shared" si="1"/>
        <v>0</v>
      </c>
      <c r="P1202" s="16" t="b">
        <v>0</v>
      </c>
      <c r="Q1202" s="7"/>
    </row>
    <row r="1203">
      <c r="A1203" s="5" t="b">
        <v>1</v>
      </c>
      <c r="B1203" s="5" t="s">
        <v>1254</v>
      </c>
      <c r="C1203" s="7" t="str">
        <f>IFERROR(__xludf.DUMMYFUNCTION("""COMPUTED_VALUE"""),"10.1109/ICSME.2016.57")</f>
        <v>10.1109/ICSME.2016.57</v>
      </c>
      <c r="D1203" s="7" t="str">
        <f>IFERROR(__xludf.DUMMYFUNCTION("""COMPUTED_VALUE"""),"Rahimi M.; Goss W.; Cleland-Huang J.")</f>
        <v>Rahimi M.; Goss W.; Cleland-Huang J.</v>
      </c>
      <c r="E1203" s="7" t="str">
        <f>IFERROR(__xludf.DUMMYFUNCTION("""COMPUTED_VALUE"""),"Evolving requirements-to-code trace links across versions of a software system")</f>
        <v>Evolving requirements-to-code trace links across versions of a software system</v>
      </c>
      <c r="F1203" s="7" t="str">
        <f>IFERROR(__xludf.DUMMYFUNCTION("""COMPUTED_VALUE"""),"ICSME")</f>
        <v>ICSME</v>
      </c>
      <c r="G1203" s="7" t="str">
        <f>IFERROR(__xludf.DUMMYFUNCTION("""COMPUTED_VALUE"""),"Trace links provide critical support for numerous software engineering activities including safety analysis, compliance verification, test-case selection, and impact prediction. However, as the system evolves over time, there is a tendency for the quality"&amp;" of trace links to degrade into a tangle of inaccurate and untrusted links. This is especially true with the links between source-code and upstream artifacts such as requirements - because developers frequently refactor and change code without updating th"&amp;"e links. We present TLE (Trace Link Evolver), a solution for automating the evolution of trace links as changes are introduced to source code. We use a set of heuristics, open source tools, and information retrieval methods to detect common change scenari"&amp;"os across different versions of software. Each change scenario is then associated with a set of link evolution heuristics which are used to evolve trace links. We evaluate our approach through a controlled experiment and also through applying it across 27"&amp;" releases of the Cassandra Database System. Results show that the trace links evolved using our approach are significantly more accurate than those generated using information retrieval alone. © 2016 IEEE.")</f>
        <v>Trace links provide critical support for numerous software engineering activities including safety analysis, compliance verification, test-case selection, and impact prediction. However, as the system evolves over time, there is a tendency for the quality of trace links to degrade into a tangle of inaccurate and untrusted links. This is especially true with the links between source-code and upstream artifacts such as requirements - because developers frequently refactor and change code without updating the links. We present TLE (Trace Link Evolver), a solution for automating the evolution of trace links as changes are introduced to source code. We use a set of heuristics, open source tools, and information retrieval methods to detect common change scenarios across different versions of software. Each change scenario is then associated with a set of link evolution heuristics which are used to evolve trace links. We evaluate our approach through a controlled experiment and also through applying it across 27 releases of the Cassandra Database System. Results show that the trace links evolved using our approach are significantly more accurate than those generated using information retrieval alone. © 2016 IEEE.</v>
      </c>
      <c r="H1203" s="7" t="str">
        <f>IFERROR(__xludf.DUMMYFUNCTION("""COMPUTED_VALUE"""),"Evolution; Maintenance; Traceability")</f>
        <v>Evolution; Maintenance; Traceability</v>
      </c>
      <c r="I1203" s="10" t="b">
        <v>0</v>
      </c>
      <c r="J1203" s="10" t="b">
        <v>0</v>
      </c>
      <c r="K1203" s="10" t="b">
        <v>0</v>
      </c>
      <c r="L1203" s="10" t="b">
        <v>0</v>
      </c>
      <c r="M1203" s="10" t="b">
        <v>0</v>
      </c>
      <c r="N1203" s="10" t="b">
        <v>0</v>
      </c>
      <c r="O1203" s="11" t="b">
        <f t="shared" si="1"/>
        <v>0</v>
      </c>
      <c r="P1203" s="16" t="b">
        <v>0</v>
      </c>
      <c r="Q1203" s="7"/>
    </row>
    <row r="1204">
      <c r="A1204" s="5" t="b">
        <v>1</v>
      </c>
      <c r="B1204" s="5" t="s">
        <v>1255</v>
      </c>
      <c r="C1204" s="7" t="str">
        <f>IFERROR(__xludf.DUMMYFUNCTION("""COMPUTED_VALUE"""),"10.1109/ICSME.2014.58")</f>
        <v>10.1109/ICSME.2014.58</v>
      </c>
      <c r="D1204" s="7" t="str">
        <f>IFERROR(__xludf.DUMMYFUNCTION("""COMPUTED_VALUE"""),"Tao B.; Qian J.")</f>
        <v>Tao B.; Qian J.</v>
      </c>
      <c r="E1204" s="7" t="str">
        <f>IFERROR(__xludf.DUMMYFUNCTION("""COMPUTED_VALUE"""),"Refactoring java concurrent programs based on synchronization requirement analysis")</f>
        <v>Refactoring java concurrent programs based on synchronization requirement analysis</v>
      </c>
      <c r="F1204" s="7" t="str">
        <f>IFERROR(__xludf.DUMMYFUNCTION("""COMPUTED_VALUE"""),"ICSME")</f>
        <v>ICSME</v>
      </c>
      <c r="G1204" s="7" t="str">
        <f>IFERROR(__xludf.DUMMYFUNCTION("""COMPUTED_VALUE"""),"Writing high quality concurrent programs is challenging. A concurrent program that is not well-written may suffer from coarse synchronization problems, e.g., overly-large critical sections, overly-coarse locks, and etc. These coarse synchronizations may i"&amp;"ntroduce unnecessary lock contention and thereby affect the parallel execution of running threads. To optimize them, people suggest use refactorings, e.g., Split Lock refactoring and Split Critical Section refactoring, to gradually evolve the synchronizat"&amp;"ion code for better parallelism. However, manually identifying the refactoring opportunities is difficult and by-hand code transformations are error-prone. To reduce the manual efforts, this paper proposes an automated refactoring approach for Java concur"&amp;"rent programs based on synchronization requirement analysis. It can automatically analyze the existing synchronization code to identify synchronization requirements. Bases on these requirements, we can find Split Lock, Split Critical Section, and Convert "&amp;"to Atomic refactoring opportunities and then make proper code transformation for each of them. Our experiment shows that the approach does find effective refactoring opportunities in real projects and can transform the refactorable code correctly. This in"&amp;"dicates the approach could be helpful for concurrent program evolution. © 2014 IEEE.")</f>
        <v>Writing high quality concurrent programs is challenging. A concurrent program that is not well-written may suffer from coarse synchronization problems, e.g., overly-large critical sections, overly-coarse locks, and etc. These coarse synchronizations may introduce unnecessary lock contention and thereby affect the parallel execution of running threads. To optimize them, people suggest use refactorings, e.g., Split Lock refactoring and Split Critical Section refactoring, to gradually evolve the synchronization code for better parallelism. However, manually identifying the refactoring opportunities is difficult and by-hand code transformations are error-prone. To reduce the manual efforts, this paper proposes an automated refactoring approach for Java concurrent programs based on synchronization requirement analysis. It can automatically analyze the existing synchronization code to identify synchronization requirements. Bases on these requirements, we can find Split Lock, Split Critical Section, and Convert to Atomic refactoring opportunities and then make proper code transformation for each of them. Our experiment shows that the approach does find effective refactoring opportunities in real projects and can transform the refactorable code correctly. This indicates the approach could be helpful for concurrent program evolution. © 2014 IEEE.</v>
      </c>
      <c r="H1204" s="7" t="str">
        <f>IFERROR(__xludf.DUMMYFUNCTION("""COMPUTED_VALUE"""),"concurrency; Java; refactoring; synchronization")</f>
        <v>concurrency; Java; refactoring; synchronization</v>
      </c>
      <c r="I1204" s="10" t="b">
        <v>0</v>
      </c>
      <c r="J1204" s="10" t="b">
        <v>0</v>
      </c>
      <c r="K1204" s="10" t="b">
        <v>0</v>
      </c>
      <c r="L1204" s="10" t="b">
        <v>0</v>
      </c>
      <c r="M1204" s="10" t="b">
        <v>0</v>
      </c>
      <c r="N1204" s="10" t="b">
        <v>0</v>
      </c>
      <c r="O1204" s="11" t="b">
        <f t="shared" si="1"/>
        <v>0</v>
      </c>
      <c r="P1204" s="16" t="b">
        <v>0</v>
      </c>
      <c r="Q1204" s="7"/>
    </row>
    <row r="1205">
      <c r="A1205" s="5" t="b">
        <v>1</v>
      </c>
      <c r="B1205" s="5" t="s">
        <v>1256</v>
      </c>
      <c r="C1205" s="7" t="str">
        <f>IFERROR(__xludf.DUMMYFUNCTION("""COMPUTED_VALUE"""),"10.1109/ICSME55016.2022.00073")</f>
        <v>10.1109/ICSME55016.2022.00073</v>
      </c>
      <c r="D1205" s="7" t="str">
        <f>IFERROR(__xludf.DUMMYFUNCTION("""COMPUTED_VALUE"""),"Sawant N.; Sengamedu S.H.")</f>
        <v>Sawant N.; Sengamedu S.H.</v>
      </c>
      <c r="E1205" s="7" t="str">
        <f>IFERROR(__xludf.DUMMYFUNCTION("""COMPUTED_VALUE"""),"Learning-based Identification of Coding Best Practices from Software Documentation")</f>
        <v>Learning-based Identification of Coding Best Practices from Software Documentation</v>
      </c>
      <c r="F1205" s="7" t="str">
        <f>IFERROR(__xludf.DUMMYFUNCTION("""COMPUTED_VALUE"""),"ICSME")</f>
        <v>ICSME</v>
      </c>
      <c r="G1205" s="7" t="str">
        <f>IFERROR(__xludf.DUMMYFUNCTION("""COMPUTED_VALUE"""),"Automatic identification of coding best practices can scale the development of code and application analyzers. We present Doc2BP, a deep learning tool to identify coding best practices in software documentation. Natural language descriptions are mapped to"&amp;" an informative embedding space, optimized under the dual objectives of binary and few shot classification. The binary objective powers general classification into known best practice categories using a deep learning classifier. The few shot objective fac"&amp;"ilitates example-based classification into novel categories by matching embeddings with user-provided examples at run-time, without having to retrain the underlying model. We analyze the effects of manually and synthetically labeled examples, context, and"&amp;" cross-domain information. We have applied Doc2BP to Java, Python, AWS Java SDK, and AWS CloudFormation documentations. With respect to prior works that primarily leverage keyword heuristics and our own parts of speech pattern baselines, we obtain 3-5% F1"&amp;" score improvement for Java and Python, and 15-20% for AWS Java SDK and AWS CloudFormation. Experiments with four few shot use-cases show promising results (5-shot accuracy of 99%+ for Java NullPointerException and AWS Java metrics, 65% for AWS CloudForma"&amp;"tion numerics, and 35% for Python best practices).Doc2BP has contributed new rules and improved specifications in Amazon's code and application analyzers: (a) 500+ new checks in cfn-lint, an open-source AWS CloudFormation linter, (b) over 97% automated co"&amp;"verage of metrics APIs and related practices in Amazon DevOps Guru, (c) support for nullable AWS APIs in Amazon CodeGuru's Java NullPointerException (NPE) detector, (d) 200+ new best practices for Java, Python, and respective AWS SDKs in Amazon CodeGuru, "&amp;"and (e) 2% reduction in false positives in Amazon CodeGuru's Java resource leak detector. © 2022 IEEE.")</f>
        <v>Automatic identification of coding best practices can scale the development of code and application analyzers. We present Doc2BP, a deep learning tool to identify coding best practices in software documentation. Natural language descriptions are mapped to an informative embedding space, optimized under the dual objectives of binary and few shot classification. The binary objective powers general classification into known best practice categories using a deep learning classifier. The few shot objective facilitates example-based classification into novel categories by matching embeddings with user-provided examples at run-time, without having to retrain the underlying model. We analyze the effects of manually and synthetically labeled examples, context, and cross-domain information. We have applied Doc2BP to Java, Python, AWS Java SDK, and AWS CloudFormation documentations. With respect to prior works that primarily leverage keyword heuristics and our own parts of speech pattern baselines, we obtain 3-5% F1 score improvement for Java and Python, and 15-20% for AWS Java SDK and AWS CloudFormation. Experiments with four few shot use-cases show promising results (5-shot accuracy of 99%+ for Java NullPointerException and AWS Java metrics, 65% for AWS CloudFormation numerics, and 35% for Python best practices).Doc2BP has contributed new rules and improved specifications in Amazon's code and application analyzers: (a) 500+ new checks in cfn-lint, an open-source AWS CloudFormation linter, (b) over 97% automated coverage of metrics APIs and related practices in Amazon DevOps Guru, (c) support for nullable AWS APIs in Amazon CodeGuru's Java NullPointerException (NPE) detector, (d) 200+ new best practices for Java, Python, and respective AWS SDKs in Amazon CodeGuru, and (e) 2% reduction in false positives in Amazon CodeGuru's Java resource leak detector. © 2022 IEEE.</v>
      </c>
      <c r="H1205" s="7" t="str">
        <f>IFERROR(__xludf.DUMMYFUNCTION("""COMPUTED_VALUE"""),"deep learning; embeddings; few shot learning; information extraction; natural language understanding")</f>
        <v>deep learning; embeddings; few shot learning; information extraction; natural language understanding</v>
      </c>
      <c r="I1205" s="10" t="b">
        <v>0</v>
      </c>
      <c r="J1205" s="10" t="b">
        <v>0</v>
      </c>
      <c r="K1205" s="10" t="b">
        <v>0</v>
      </c>
      <c r="L1205" s="10" t="b">
        <v>0</v>
      </c>
      <c r="M1205" s="10" t="b">
        <v>0</v>
      </c>
      <c r="N1205" s="10" t="b">
        <v>0</v>
      </c>
      <c r="O1205" s="11" t="b">
        <f t="shared" si="1"/>
        <v>0</v>
      </c>
      <c r="P1205" s="16" t="b">
        <v>0</v>
      </c>
      <c r="Q1205" s="7"/>
    </row>
    <row r="1206">
      <c r="A1206" s="5" t="b">
        <v>1</v>
      </c>
      <c r="B1206" s="5" t="s">
        <v>1257</v>
      </c>
      <c r="C1206" s="7" t="str">
        <f>IFERROR(__xludf.DUMMYFUNCTION("""COMPUTED_VALUE"""),"10.1109/ICSME46990.2020.00045")</f>
        <v>10.1109/ICSME46990.2020.00045</v>
      </c>
      <c r="D1206" s="7" t="str">
        <f>IFERROR(__xludf.DUMMYFUNCTION("""COMPUTED_VALUE"""),"Ma W.; Laurent T.; Ojdanic M.; Chekam T.T.; Ventresque A.; Papadakis M.")</f>
        <v>Ma W.; Laurent T.; Ojdanic M.; Chekam T.T.; Ventresque A.; Papadakis M.</v>
      </c>
      <c r="E1206" s="7" t="str">
        <f>IFERROR(__xludf.DUMMYFUNCTION("""COMPUTED_VALUE"""),"Commit-Aware Mutation Testing")</f>
        <v>Commit-Aware Mutation Testing</v>
      </c>
      <c r="F1206" s="7" t="str">
        <f>IFERROR(__xludf.DUMMYFUNCTION("""COMPUTED_VALUE"""),"ICSME")</f>
        <v>ICSME</v>
      </c>
      <c r="G1206" s="7" t="str">
        <f>IFERROR(__xludf.DUMMYFUNCTION("""COMPUTED_VALUE"""),"In Continuous Integration, developers want to know how well they have tested their changes. Unfortunately, in these cases, the use of mutation testing is suboptimal since mutants affect the entire set of program behaviours and not the changed ones. Thus, "&amp;"the extent to which mutation testing can be used to test committed changes is questionable. To deal with this issue, we define commit-relevant mutants; a set of mutants that affect the changed program behaviours and represent the commit-relevant test requ"&amp;"irements. We identify such mutants in a controlled way, and check their relationship with traditional mutation score (score based on the entire set of mutants or on the mutants located on the commits). We conduct experiments in both C and Java, using 83 c"&amp;"ommits, 2,253,610 mutants from 25 projects. Our findings reveal that there is a relatively weak correlation (Kendall/Pearson 0.15-0.4) between the sought (commit-relevant) and traditional mutation scores, indicating the need for a commit-aware test assess"&amp;"ment metric. Our analysis also shows that traditional mutation is far from the envisioned case as it loses approximately 50%-60% of the commit-relevant mutants when analysing 5-25 mutants. More importantly, our results demonstrate that traditional mutatio"&amp;"n has approximately 30% lower chances of revealing commit-introducing faults than commit-aware mutation testing. © 2020 IEEE.")</f>
        <v>In Continuous Integration, developers want to know how well they have tested their changes. Unfortunately, in these cases, the use of mutation testing is suboptimal since mutants affect the entire set of program behaviours and not the changed ones. Thus, the extent to which mutation testing can be used to test committed changes is questionable. To deal with this issue, we define commit-relevant mutants; a set of mutants that affect the changed program behaviours and represent the commit-relevant test requirements. We identify such mutants in a controlled way, and check their relationship with traditional mutation score (score based on the entire set of mutants or on the mutants located on the commits). We conduct experiments in both C and Java, using 83 commits, 2,253,610 mutants from 25 projects. Our findings reveal that there is a relatively weak correlation (Kendall/Pearson 0.15-0.4) between the sought (commit-relevant) and traditional mutation scores, indicating the need for a commit-aware test assessment metric. Our analysis also shows that traditional mutation is far from the envisioned case as it loses approximately 50%-60% of the commit-relevant mutants when analysing 5-25 mutants. More importantly, our results demonstrate that traditional mutation has approximately 30% lower chances of revealing commit-introducing faults than commit-aware mutation testing. © 2020 IEEE.</v>
      </c>
      <c r="H1206" s="7" t="str">
        <f>IFERROR(__xludf.DUMMYFUNCTION("""COMPUTED_VALUE"""),"mutation testing, change relevant mutants, continuous integration, regression testing")</f>
        <v>mutation testing, change relevant mutants, continuous integration, regression testing</v>
      </c>
      <c r="I1206" s="10" t="b">
        <v>0</v>
      </c>
      <c r="J1206" s="10" t="b">
        <v>0</v>
      </c>
      <c r="K1206" s="10" t="b">
        <v>0</v>
      </c>
      <c r="L1206" s="10" t="b">
        <v>0</v>
      </c>
      <c r="M1206" s="10" t="b">
        <v>0</v>
      </c>
      <c r="N1206" s="10" t="b">
        <v>0</v>
      </c>
      <c r="O1206" s="11" t="b">
        <f t="shared" si="1"/>
        <v>0</v>
      </c>
      <c r="P1206" s="16" t="b">
        <v>0</v>
      </c>
      <c r="Q1206" s="7"/>
    </row>
    <row r="1207">
      <c r="A1207" s="5" t="b">
        <v>1</v>
      </c>
      <c r="B1207" s="5" t="s">
        <v>1258</v>
      </c>
      <c r="C1207" s="7" t="str">
        <f>IFERROR(__xludf.DUMMYFUNCTION("""COMPUTED_VALUE"""),"10.1109/ICST.2017.22")</f>
        <v>10.1109/ICST.2017.22</v>
      </c>
      <c r="D1207" s="7" t="str">
        <f>IFERROR(__xludf.DUMMYFUNCTION("""COMPUTED_VALUE"""),"Li X.; Chang N.; Wang Y.; Huang H.; Pei Y.; Wang L.; Li X.")</f>
        <v>Li X.; Chang N.; Wang Y.; Huang H.; Pei Y.; Wang L.; Li X.</v>
      </c>
      <c r="E1207" s="7" t="str">
        <f>IFERROR(__xludf.DUMMYFUNCTION("""COMPUTED_VALUE"""),"ATOM: Automatic Maintenance of GUI Test Scripts for Evolving Mobile Applications")</f>
        <v>ATOM: Automatic Maintenance of GUI Test Scripts for Evolving Mobile Applications</v>
      </c>
      <c r="F1207" s="7" t="str">
        <f>IFERROR(__xludf.DUMMYFUNCTION("""COMPUTED_VALUE"""),"ICST")</f>
        <v>ICST</v>
      </c>
      <c r="G1207" s="7" t="str">
        <f>IFERROR(__xludf.DUMMYFUNCTION("""COMPUTED_VALUE"""),"The importance of regression testing in assuring the integrity of a program after changes is well recognized. One major obstacle in practicing regression testing is in maintaining tests that become obsolete due to evolved program behavior or specification"&amp;". For mobile apps, the problem of maintaining obsolete GUI test scripts for regression testing is even more pressing. Mobile apps rely heavily on the correct functioning of their GUIs to compete on the market and provide good user experiences. But on the "&amp;"one hand, GUI tests break easily when changes happen to the GUI, On the other hand, mobile app developers often need to fight for a tight feedback loop and are left with limited time for test maintenance. In this paper, we propose a novel approach, called"&amp;" ATOM, to automatically maintain GUI test scripts of mobile apps for regression testing. ATOM uses an event sequence model to abstract possible event sequences on a GUI and a delta ESM to abstract the changes made to the GUI. Given both models as input, A"&amp;"TOM automatically updates the test scripts written for a base version app to reflect the changes. In an experiment with 22 versions from 11 production Android apps, ATOM updated all the test scripts affected by the version change, the updated scripts achi"&amp;"eve over 80% of the coverage by the original scripts on the base version app, all except one set of updated scripts preserve over 60% of the actions in the original test scripts. © 2017 IEEE.")</f>
        <v>The importance of regression testing in assuring the integrity of a program after changes is well recognized. One major obstacle in practicing regression testing is in maintaining tests that become obsolete due to evolved program behavior or specification. For mobile apps, the problem of maintaining obsolete GUI test scripts for regression testing is even more pressing. Mobile apps rely heavily on the correct functioning of their GUIs to compete on the market and provide good user experiences. But on the one hand, GUI tests break easily when changes happen to the GUI, On the other hand, mobile app developers often need to fight for a tight feedback loop and are left with limited time for test maintenance. In this paper, we propose a novel approach, called ATOM, to automatically maintain GUI test scripts of mobile apps for regression testing. ATOM uses an event sequence model to abstract possible event sequences on a GUI and a delta ESM to abstract the changes made to the GUI. Given both models as input, ATOM automatically updates the test scripts written for a base version app to reflect the changes. In an experiment with 22 versions from 11 production Android apps, ATOM updated all the test scripts affected by the version change, the updated scripts achieve over 80% of the coverage by the original scripts on the base version app, all except one set of updated scripts preserve over 60% of the actions in the original test scripts. © 2017 IEEE.</v>
      </c>
      <c r="H1207" s="7"/>
      <c r="I1207" s="10" t="b">
        <v>0</v>
      </c>
      <c r="J1207" s="10" t="b">
        <v>0</v>
      </c>
      <c r="K1207" s="10" t="b">
        <v>0</v>
      </c>
      <c r="L1207" s="10" t="b">
        <v>0</v>
      </c>
      <c r="M1207" s="10" t="b">
        <v>0</v>
      </c>
      <c r="N1207" s="10" t="b">
        <v>0</v>
      </c>
      <c r="O1207" s="11" t="b">
        <f t="shared" si="1"/>
        <v>0</v>
      </c>
      <c r="P1207" s="16" t="b">
        <v>0</v>
      </c>
      <c r="Q1207" s="7"/>
    </row>
    <row r="1208">
      <c r="A1208" s="5" t="b">
        <v>1</v>
      </c>
      <c r="B1208" s="5" t="s">
        <v>1259</v>
      </c>
      <c r="C1208" s="7" t="str">
        <f>IFERROR(__xludf.DUMMYFUNCTION("""COMPUTED_VALUE"""),"10.1109/ICST.2009.41")</f>
        <v>10.1109/ICST.2009.41</v>
      </c>
      <c r="D1208" s="7" t="str">
        <f>IFERROR(__xludf.DUMMYFUNCTION("""COMPUTED_VALUE"""),"Delamare R.; Baudry B.; Ghosh S.; Traon Y.L.")</f>
        <v>Delamare R.; Baudry B.; Ghosh S.; Traon Y.L.</v>
      </c>
      <c r="E1208" s="7" t="str">
        <f>IFERROR(__xludf.DUMMYFUNCTION("""COMPUTED_VALUE"""),"A test-driven approach to developing pointcut descriptors in aspectj")</f>
        <v>A test-driven approach to developing pointcut descriptors in aspectj</v>
      </c>
      <c r="F1208" s="7" t="str">
        <f>IFERROR(__xludf.DUMMYFUNCTION("""COMPUTED_VALUE"""),"ICST")</f>
        <v>ICST</v>
      </c>
      <c r="G1208" s="7" t="str">
        <f>IFERROR(__xludf.DUMMYFUNCTION("""COMPUTED_VALUE"""),"Aspect-oriented programming (AOP) languages introduce new constructs that can lead to new types of faults, which must be targeted by testing techniques. In particular, AOP languages such as AspectJ use a pointcut descriptor (PCD) that provides a convenien"&amp;"t way to declaratively specify a set of joinpoints in the program where the aspect should be woven. However, a major difficulty when testing that the PCD matches the intended set of joinpoints is the lack of precise specification for this set other than t"&amp;"he PCD itself. In this paper, we propose a test-driven approach for the development and validation of the PCD. We developed a tool, AdviceTracer, which enriches the JUnit API with new types of assertions that can be used to specify the expected joinpoints"&amp;". In order to validate our approach, we also developed a mutation tool that systematically injects faults into PCDs. Using these two tools, we perform experiments to validate that our approach can be applied for specifying expected joinpoints and for dete"&amp;"cting faults in the PCD.")</f>
        <v>Aspect-oriented programming (AOP) languages introduce new constructs that can lead to new types of faults, which must be targeted by testing techniques. In particular, AOP languages such as AspectJ use a pointcut descriptor (PCD) that provides a convenient way to declaratively specify a set of joinpoints in the program where the aspect should be woven. However, a major difficulty when testing that the PCD matches the intended set of joinpoints is the lack of precise specification for this set other than the PCD itself. In this paper, we propose a test-driven approach for the development and validation of the PCD. We developed a tool, AdviceTracer, which enriches the JUnit API with new types of assertions that can be used to specify the expected joinpoints. In order to validate our approach, we also developed a mutation tool that systematically injects faults into PCDs. Using these two tools, we perform experiments to validate that our approach can be applied for specifying expected joinpoints and for detecting faults in the PCD.</v>
      </c>
      <c r="H1208" s="7" t="str">
        <f>IFERROR(__xludf.DUMMYFUNCTION("""COMPUTED_VALUE"""),"Aspect-oriented programming; Joinpoints; Mutation analysis; Pointcut descriptors; Testdriven development; Testing tool")</f>
        <v>Aspect-oriented programming; Joinpoints; Mutation analysis; Pointcut descriptors; Testdriven development; Testing tool</v>
      </c>
      <c r="I1208" s="10" t="b">
        <v>0</v>
      </c>
      <c r="J1208" s="10" t="b">
        <v>0</v>
      </c>
      <c r="K1208" s="10" t="b">
        <v>0</v>
      </c>
      <c r="L1208" s="10" t="b">
        <v>0</v>
      </c>
      <c r="M1208" s="10" t="b">
        <v>0</v>
      </c>
      <c r="N1208" s="10" t="b">
        <v>0</v>
      </c>
      <c r="O1208" s="11" t="b">
        <f t="shared" si="1"/>
        <v>0</v>
      </c>
      <c r="P1208" s="16" t="b">
        <v>0</v>
      </c>
      <c r="Q1208" s="7"/>
    </row>
    <row r="1209">
      <c r="A1209" s="5" t="b">
        <v>1</v>
      </c>
      <c r="B1209" s="5" t="s">
        <v>1260</v>
      </c>
      <c r="C1209" s="7" t="str">
        <f>IFERROR(__xludf.DUMMYFUNCTION("""COMPUTED_VALUE"""),"10.1109/ICST57152.2023.00023")</f>
        <v>10.1109/ICST57152.2023.00023</v>
      </c>
      <c r="D1209" s="7" t="str">
        <f>IFERROR(__xludf.DUMMYFUNCTION("""COMPUTED_VALUE"""),"Clark A.G.; Foster M.; Walkinshaw N.; Hierons R.M.")</f>
        <v>Clark A.G.; Foster M.; Walkinshaw N.; Hierons R.M.</v>
      </c>
      <c r="E1209" s="7" t="str">
        <f>IFERROR(__xludf.DUMMYFUNCTION("""COMPUTED_VALUE"""),"Metamorphic Testing with Causal Graphs")</f>
        <v>Metamorphic Testing with Causal Graphs</v>
      </c>
      <c r="F1209" s="7" t="str">
        <f>IFERROR(__xludf.DUMMYFUNCTION("""COMPUTED_VALUE"""),"ICST")</f>
        <v>ICST</v>
      </c>
      <c r="G1209" s="7" t="str">
        <f>IFERROR(__xludf.DUMMYFUNCTION("""COMPUTED_VALUE"""),"Metamorphic testing provides a means by which to generate succinct test oracles that can apply to large input spaces. For this it depends on the formulation of metamorphic relations, which generally require extensive domain expertise and human input. To a"&amp;"ddress this problem, we present a model-based testing approach that can automatically generate metamorphic relations and associated tests. Our approach is motivated by the observation that metamorphic testing is a fundamentally causal task. We show how it"&amp;" is possible to leverage lightweight graph-based modelling techniques from the field of causal inference to specify causal properties of the system-under-test. Through a series of controlled experiments, we find that the proposed approach is robust to mis"&amp;"specification and can test evasive causal relationships (i.e. those that are difficult to exercise and observe) when combined with an appropriate test generation strategy. We also apply the approach to two case studies from the Defects4J framework with kn"&amp;"own bugs that affect causal behaviour. The results of these case studies suggest that the approach is not only useful for catching bugs affecting causal structure, but also alerting the user to inaccuracies in the specification.  © 2023 IEEE.")</f>
        <v>Metamorphic testing provides a means by which to generate succinct test oracles that can apply to large input spaces. For this it depends on the formulation of metamorphic relations, which generally require extensive domain expertise and human input. To address this problem, we present a model-based testing approach that can automatically generate metamorphic relations and associated tests. Our approach is motivated by the observation that metamorphic testing is a fundamentally causal task. We show how it is possible to leverage lightweight graph-based modelling techniques from the field of causal inference to specify causal properties of the system-under-test. Through a series of controlled experiments, we find that the proposed approach is robust to misspecification and can test evasive causal relationships (i.e. those that are difficult to exercise and observe) when combined with an appropriate test generation strategy. We also apply the approach to two case studies from the Defects4J framework with known bugs that affect causal behaviour. The results of these case studies suggest that the approach is not only useful for catching bugs affecting causal structure, but also alerting the user to inaccuracies in the specification.  © 2023 IEEE.</v>
      </c>
      <c r="H1209" s="7" t="str">
        <f>IFERROR(__xludf.DUMMYFUNCTION("""COMPUTED_VALUE"""),"Causality; DAGs; Metamorphic testing")</f>
        <v>Causality; DAGs; Metamorphic testing</v>
      </c>
      <c r="I1209" s="10" t="b">
        <v>0</v>
      </c>
      <c r="J1209" s="10" t="b">
        <v>0</v>
      </c>
      <c r="K1209" s="10" t="b">
        <v>0</v>
      </c>
      <c r="L1209" s="10" t="b">
        <v>0</v>
      </c>
      <c r="M1209" s="10" t="b">
        <v>0</v>
      </c>
      <c r="N1209" s="10" t="b">
        <v>0</v>
      </c>
      <c r="O1209" s="11" t="b">
        <f t="shared" si="1"/>
        <v>0</v>
      </c>
      <c r="P1209" s="16" t="b">
        <v>0</v>
      </c>
      <c r="Q1209" s="7"/>
    </row>
    <row r="1210">
      <c r="A1210" s="5" t="b">
        <v>1</v>
      </c>
      <c r="B1210" s="5" t="s">
        <v>1261</v>
      </c>
      <c r="C1210" s="7" t="str">
        <f>IFERROR(__xludf.DUMMYFUNCTION("""COMPUTED_VALUE"""),"10.1109/ICST.2017.32")</f>
        <v>10.1109/ICST.2017.32</v>
      </c>
      <c r="D1210" s="7" t="str">
        <f>IFERROR(__xludf.DUMMYFUNCTION("""COMPUTED_VALUE"""),"Tappler M.; Aichernig B.K.; Bloem R.")</f>
        <v>Tappler M.; Aichernig B.K.; Bloem R.</v>
      </c>
      <c r="E1210" s="7" t="str">
        <f>IFERROR(__xludf.DUMMYFUNCTION("""COMPUTED_VALUE"""),"Model-Based Testing IoT Communication via Active Automata Learning")</f>
        <v>Model-Based Testing IoT Communication via Active Automata Learning</v>
      </c>
      <c r="F1210" s="7" t="str">
        <f>IFERROR(__xludf.DUMMYFUNCTION("""COMPUTED_VALUE"""),"ICST")</f>
        <v>ICST</v>
      </c>
      <c r="G1210" s="7" t="str">
        <f>IFERROR(__xludf.DUMMYFUNCTION("""COMPUTED_VALUE"""),"This paper presents a learning-based approach to detecting failures in reactive systems. The technique is based on inferring models of multiple implementations of a common specification which are pair-wise cross-checked for equivalence. Any counterexample"&amp;" to equivalence is flagged as suspicious and has to be analysed manually. Hence, it is possible to find possible failures in a semi-automatic way without prior modelling. We show that the approach is effective by means of a case study. For this case study"&amp;", we carried out experiments in which we learned models of five implementations of MQTT brokers/servers, a protocol used in the Internet of Things. Examining these models, we found several violations of the MQTT specification. All but one of the considere"&amp;"d implementations showed faulty behaviour. In the analysis, we discuss effectiveness and also issues we faced. © 2017 IEEE.")</f>
        <v>This paper presents a learning-based approach to detecting failures in reactive systems. The technique is based on inferring models of multiple implementations of a common specification which are pair-wise cross-checked for equivalence. Any counterexample to equivalence is flagged as suspicious and has to be analysed manually. Hence, it is possible to find possible failures in a semi-automatic way without prior modelling. We show that the approach is effective by means of a case study. For this case study, we carried out experiments in which we learned models of five implementations of MQTT brokers/servers, a protocol used in the Internet of Things. Examining these models, we found several violations of the MQTT specification. All but one of the considered implementations showed faulty behaviour. In the analysis, we discuss effectiveness and also issues we faced. © 2017 IEEE.</v>
      </c>
      <c r="H1210" s="7" t="str">
        <f>IFERROR(__xludf.DUMMYFUNCTION("""COMPUTED_VALUE"""),"Automata learning; Internet of things; Model inference; Model-based testing; MQTT")</f>
        <v>Automata learning; Internet of things; Model inference; Model-based testing; MQTT</v>
      </c>
      <c r="I1210" s="10" t="b">
        <v>0</v>
      </c>
      <c r="J1210" s="10" t="b">
        <v>0</v>
      </c>
      <c r="K1210" s="10" t="b">
        <v>0</v>
      </c>
      <c r="L1210" s="10" t="b">
        <v>0</v>
      </c>
      <c r="M1210" s="10" t="b">
        <v>0</v>
      </c>
      <c r="N1210" s="10" t="b">
        <v>0</v>
      </c>
      <c r="O1210" s="11" t="b">
        <f t="shared" si="1"/>
        <v>0</v>
      </c>
      <c r="P1210" s="16" t="b">
        <v>0</v>
      </c>
      <c r="Q1210" s="7"/>
    </row>
    <row r="1211">
      <c r="A1211" s="5" t="b">
        <v>1</v>
      </c>
      <c r="B1211" s="5" t="s">
        <v>1262</v>
      </c>
      <c r="C1211" s="7" t="str">
        <f>IFERROR(__xludf.DUMMYFUNCTION("""COMPUTED_VALUE"""),"10.1109/ICST.2008.7")</f>
        <v>10.1109/ICST.2008.7</v>
      </c>
      <c r="D1211" s="7" t="str">
        <f>IFERROR(__xludf.DUMMYFUNCTION("""COMPUTED_VALUE"""),"Garousi V.")</f>
        <v>Garousi V.</v>
      </c>
      <c r="E1211" s="7" t="str">
        <f>IFERROR(__xludf.DUMMYFUNCTION("""COMPUTED_VALUE"""),"Traffic-aware stress testing of distributed real-time systems based on UML models in the presence of time uncertainty")</f>
        <v>Traffic-aware stress testing of distributed real-time systems based on UML models in the presence of time uncertainty</v>
      </c>
      <c r="F1211" s="7" t="str">
        <f>IFERROR(__xludf.DUMMYFUNCTION("""COMPUTED_VALUE"""),"ICST")</f>
        <v>ICST</v>
      </c>
      <c r="G1211" s="7" t="str">
        <f>IFERROR(__xludf.DUMMYFUNCTION("""COMPUTED_VALUE"""),"In a previous work, we reported and experimented with a stress testing methodology to detect network traffic-related Real-Time (RT) faults in Distributed Real-Time Systems (DRTSs) based on the design UML models. The stress methodology, referred to as Time"&amp;"-Shifting Stress Test Methodology (TSSTM), aimed at increasing chances of discovering RT faults originating from network traffic overloads in DRTSs. The TSSTM uses the UML 2.0 model of a System Under Test (SUT), augmented with timing information, and is b"&amp;"ased on an analysis of the control flow in UML sequence diagrams. In order to devise deterministic test requirements (from time point of view) that yield the maximum stress test scenario in terms of network traffic in a SUT, the TSSTM methodology requires"&amp;" that the timing information of messages in sequence diagrams is available and as precise as possible. In reality, however, the timing information of messages is not always available and precise. As we demonstrate using a case study in this work, the effe"&amp;"ctiveness of the stress test cases generated by TSSTM is very sensitive to such time uncertainty. In other words, TSSTM might generate imprecise and not necessarily maximum stressing test cases in the presence of such time uncertainty and, thus, it might "&amp;"not be very effective in revealing RT faults. To address the above limitation of TSSTM, we present in this article a modified testing methodology which can be used to stress test systems when the timing information of messages is imprecise or unpredictabl"&amp;"e. The stress test results of applying the new test methodology to a prototype DRTS indicate that, in the presence of uncertainty in timing information of messages, the new methodology is more effective in detecting RT faults when compared to our previous"&amp;" methodology (i.e., TSSTM) and also test cases based on an operational profile. © 2008 IEEE.")</f>
        <v>In a previous work, we reported and experimented with a stress testing methodology to detect network traffic-related Real-Time (RT) faults in Distributed Real-Time Systems (DRTSs) based on the design UML models. The stress methodology, referred to as Time-Shifting Stress Test Methodology (TSSTM), aimed at increasing chances of discovering RT faults originating from network traffic overloads in DRTSs. The TSSTM uses the UML 2.0 model of a System Under Test (SUT), augmented with timing information, and is based on an analysis of the control flow in UML sequence diagrams. In order to devise deterministic test requirements (from time point of view) that yield the maximum stress test scenario in terms of network traffic in a SUT, the TSSTM methodology requires that the timing information of messages in sequence diagrams is available and as precise as possible. In reality, however, the timing information of messages is not always available and precise. As we demonstrate using a case study in this work, the effectiveness of the stress test cases generated by TSSTM is very sensitive to such time uncertainty. In other words, TSSTM might generate imprecise and not necessarily maximum stressing test cases in the presence of such time uncertainty and, thus, it might not be very effective in revealing RT faults. To address the above limitation of TSSTM, we present in this article a modified testing methodology which can be used to stress test systems when the timing information of messages is imprecise or unpredictable. The stress test results of applying the new test methodology to a prototype DRTS indicate that, in the presence of uncertainty in timing information of messages, the new methodology is more effective in detecting RT faults when compared to our previous methodology (i.e., TSSTM) and also test cases based on an operational profile. © 2008 IEEE.</v>
      </c>
      <c r="H1211" s="7"/>
      <c r="I1211" s="10" t="b">
        <v>0</v>
      </c>
      <c r="J1211" s="10" t="b">
        <v>0</v>
      </c>
      <c r="K1211" s="10" t="b">
        <v>0</v>
      </c>
      <c r="L1211" s="10" t="b">
        <v>0</v>
      </c>
      <c r="M1211" s="10" t="b">
        <v>0</v>
      </c>
      <c r="N1211" s="10" t="b">
        <v>0</v>
      </c>
      <c r="O1211" s="11" t="b">
        <f t="shared" si="1"/>
        <v>0</v>
      </c>
      <c r="P1211" s="16" t="b">
        <v>0</v>
      </c>
      <c r="Q1211" s="7"/>
    </row>
    <row r="1212">
      <c r="A1212" s="5" t="b">
        <v>1</v>
      </c>
      <c r="B1212" s="5" t="s">
        <v>1263</v>
      </c>
      <c r="C1212" s="7" t="str">
        <f>IFERROR(__xludf.DUMMYFUNCTION("""COMPUTED_VALUE"""),"10.1109/ICST53961.2022.00012")</f>
        <v>10.1109/ICST53961.2022.00012</v>
      </c>
      <c r="D1212" s="7" t="str">
        <f>IFERROR(__xludf.DUMMYFUNCTION("""COMPUTED_VALUE"""),"Haltermann J.; Wehrheim H.")</f>
        <v>Haltermann J.; Wehrheim H.</v>
      </c>
      <c r="E1212" s="7" t="str">
        <f>IFERROR(__xludf.DUMMYFUNCTION("""COMPUTED_VALUE"""),"Machine Learning Based Invariant Generation: A Framework and Reproducibility Study")</f>
        <v>Machine Learning Based Invariant Generation: A Framework and Reproducibility Study</v>
      </c>
      <c r="F1212" s="7" t="str">
        <f>IFERROR(__xludf.DUMMYFUNCTION("""COMPUTED_VALUE"""),"ICST")</f>
        <v>ICST</v>
      </c>
      <c r="G1212" s="7" t="str">
        <f>IFERROR(__xludf.DUMMYFUNCTION("""COMPUTED_VALUE"""),"Software verification is the task of proving correct-ness of programs against specified requirements. Key to software verification is the automatic generation of loop invariants. In recent years, template-and logic-based approaches to invariant generation"&amp;" have been complemented by machine learning (ML) techniques. A number of proposals for such techniques exist today. Although all authors perform experimental evaluations of their proposals, comparability of the core techniques is nev-ertheless hindered by"&amp;" differing benchmarks, specific tunings of hyperparameters, missing public availability as well as specialized preprocessings and runtime environments. In this paper, we present the modular framework MIGML for experimentation with and comparison of ML inv"&amp;"ariant generators. MIGML contains the core ingredients of ML based invariant generators (i.e. a teacher and a learner) as instantiable components with clear-cut interfaces. This conceptually novel framework allows for a reproducibility study of four exist"&amp;"ing ML invariant generators: we re-implement the teacher and learner components of the four techniques within our framework which permits a comparison on equal grounds. We are able to successfully reproduce and partially confirm the reported results. We f"&amp;"urthermore experiment with novel combinations of components, e.g. employ the data generator within the teacher of technique A together with the learner of technique B. As a result, we observe that such combinations can lead to an overall enhanced effectiv"&amp;"eness.  © 2022 IEEE.")</f>
        <v>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  © 2022 IEEE.</v>
      </c>
      <c r="H1212" s="7" t="str">
        <f>IFERROR(__xludf.DUMMYFUNCTION("""COMPUTED_VALUE"""),"invariant generation; machine learning; reproducibility study; Software verification")</f>
        <v>invariant generation; machine learning; reproducibility study; Software verification</v>
      </c>
      <c r="I1212" s="10" t="b">
        <v>0</v>
      </c>
      <c r="J1212" s="10" t="b">
        <v>0</v>
      </c>
      <c r="K1212" s="10" t="b">
        <v>0</v>
      </c>
      <c r="L1212" s="10" t="b">
        <v>0</v>
      </c>
      <c r="M1212" s="10" t="b">
        <v>0</v>
      </c>
      <c r="N1212" s="10" t="b">
        <v>0</v>
      </c>
      <c r="O1212" s="11" t="b">
        <f t="shared" si="1"/>
        <v>0</v>
      </c>
      <c r="P1212" s="16" t="b">
        <v>0</v>
      </c>
      <c r="Q1212" s="7"/>
    </row>
    <row r="1213">
      <c r="A1213" s="5" t="b">
        <v>1</v>
      </c>
      <c r="B1213" s="5" t="s">
        <v>1264</v>
      </c>
      <c r="C1213" s="7" t="str">
        <f>IFERROR(__xludf.DUMMYFUNCTION("""COMPUTED_VALUE"""),"10.1109/ICST.2015.7102607")</f>
        <v>10.1109/ICST.2015.7102607</v>
      </c>
      <c r="D1213" s="7" t="str">
        <f>IFERROR(__xludf.DUMMYFUNCTION("""COMPUTED_VALUE"""),"Bardin S.; Delahaye M.; David R.; Kosmatov N.; Papadakis M.; Le Traon Y.; Marion J.-Y.")</f>
        <v>Bardin S.; Delahaye M.; David R.; Kosmatov N.; Papadakis M.; Le Traon Y.; Marion J.-Y.</v>
      </c>
      <c r="E1213" s="7" t="str">
        <f>IFERROR(__xludf.DUMMYFUNCTION("""COMPUTED_VALUE"""),"Sound and quasi-complete detection of infeasible test requirements")</f>
        <v>Sound and quasi-complete detection of infeasible test requirements</v>
      </c>
      <c r="F1213" s="7" t="str">
        <f>IFERROR(__xludf.DUMMYFUNCTION("""COMPUTED_VALUE"""),"ICST")</f>
        <v>ICST</v>
      </c>
      <c r="G1213" s="7" t="str">
        <f>IFERROR(__xludf.DUMMYFUNCTION("""COMPUTED_VALUE"""),"In software testing, coverage criteria specify the requirements to be covered by the test cases. However, in practice such criteria are limited due to the well-known infeasibility problem, which concerns elements/requirements that cannot be covered by any"&amp;" test case. To deal with this issue we revisit and improve state-of-the-art static analysis techniques, such as Value Analysis and Weakest Precondition calculus. We propose a lightweight greybox scheme for combining these two techniques in a complementary"&amp;" way. In particular we focus on detecting infeasible test requirements in an automatic and sound way for condition coverage, multiple condition coverage and weak mutation testing criteria. Experimental results show that our method is capable of detecting "&amp;"almost all the infeasible test requirements, 95% on average, in a reasonable amount of time, i.e., less than 40 seconds, making it practical for unit testing. © 2015 IEEE.")</f>
        <v>In software testing, coverage criteria specify the requirements to be covered by the test cases. However, in practice such criteria are limited due to the well-known infeasibility problem, which concerns elements/requirements that cannot be covered by any test case. To deal with this issue we revisit and improve state-of-the-art static analysis techniques, such as Value Analysis and Weakest Precondition calculus. We propose a lightweight greybox scheme for combining these two techniques in a complementary way. In particular we focus on detecting infeasible test requirements in an automatic and sound way for condition coverage, multiple condition coverage and weak mutation testing criteria. Experimental results show that our method is capable of detecting almost all the infeasible test requirements, 95% on average, in a reasonable amount of time, i.e., less than 40 seconds, making it practical for unit testing. © 2015 IEEE.</v>
      </c>
      <c r="H1213" s="7" t="str">
        <f>IFERROR(__xludf.DUMMYFUNCTION("""COMPUTED_VALUE"""),"Infeasible test requirements; Static analysis; Structural coverage criteria; Value analysis; Weakest precondition")</f>
        <v>Infeasible test requirements; Static analysis; Structural coverage criteria; Value analysis; Weakest precondition</v>
      </c>
      <c r="I1213" s="10" t="b">
        <v>0</v>
      </c>
      <c r="J1213" s="10" t="b">
        <v>0</v>
      </c>
      <c r="K1213" s="10" t="b">
        <v>0</v>
      </c>
      <c r="L1213" s="10" t="b">
        <v>0</v>
      </c>
      <c r="M1213" s="10" t="b">
        <v>0</v>
      </c>
      <c r="N1213" s="10" t="b">
        <v>0</v>
      </c>
      <c r="O1213" s="11" t="b">
        <f t="shared" si="1"/>
        <v>0</v>
      </c>
      <c r="P1213" s="16" t="b">
        <v>0</v>
      </c>
      <c r="Q1213" s="7"/>
    </row>
    <row r="1214">
      <c r="A1214" s="5" t="b">
        <v>1</v>
      </c>
      <c r="B1214" s="5" t="s">
        <v>1265</v>
      </c>
      <c r="C1214" s="7" t="str">
        <f>IFERROR(__xludf.DUMMYFUNCTION("""COMPUTED_VALUE"""),"10.1109/ICST.2013.22")</f>
        <v>10.1109/ICST.2013.22</v>
      </c>
      <c r="D1214" s="7" t="str">
        <f>IFERROR(__xludf.DUMMYFUNCTION("""COMPUTED_VALUE"""),"Czemerinski H.; Braberman V.; Uchitel S.")</f>
        <v>Czemerinski H.; Braberman V.; Uchitel S.</v>
      </c>
      <c r="E1214" s="7" t="str">
        <f>IFERROR(__xludf.DUMMYFUNCTION("""COMPUTED_VALUE"""),"Behaviour abstraction coverage as black-box adequacy criteria")</f>
        <v>Behaviour abstraction coverage as black-box adequacy criteria</v>
      </c>
      <c r="F1214" s="7" t="str">
        <f>IFERROR(__xludf.DUMMYFUNCTION("""COMPUTED_VALUE"""),"ICST")</f>
        <v>ICST</v>
      </c>
      <c r="G1214" s="7" t="str">
        <f>IFERROR(__xludf.DUMMYFUNCTION("""COMPUTED_VALUE"""),"Code artefacts that have non-trivial requirements with respect to the ordering in which their methods or procedures ought to be called are common and appear, for instance, in the form of API implementations and objects. Testing such code artefacts to gain"&amp;" confidence in that they conform to their intended protocols is an important and challenging problem. In this paper we propose and study experimentally conformance testing adequacy criteria based on covering an abstraction of the intended behavior's seman"&amp;"tics. Thus, the criteria are independent of the specification language and structure used to describe the intended protocol and the language used to implement it. As a consequence the results may be of use to black box conformance testing approaches in ge"&amp;"neral. Experimental results show that the criterion is a good predictor for conformance failure detection and for classical structural coverage criteria such as code and branch coverage. © 2013 IEEE.")</f>
        <v>Code artefacts that have non-trivial requirements with respect to the ordering in which their methods or procedures ought to be called are common and appear, for instance, in the form of API implementations and objects. Testing such code artefacts to gain confidence in that they conform to their intended protocols is an important and challenging problem. In this paper we propose and study experimentally conformance testing adequacy criteria based on covering an abstraction of the intended behavior's semantics. Thus, the criteria are independent of the specification language and structure used to describe the intended protocol and the language used to implement it. As a consequence the results may be of use to black box conformance testing approaches in general. Experimental results show that the criterion is a good predictor for conformance failure detection and for classical structural coverage criteria such as code and branch coverage. © 2013 IEEE.</v>
      </c>
      <c r="H1214" s="7" t="str">
        <f>IFERROR(__xludf.DUMMYFUNCTION("""COMPUTED_VALUE"""),"conformance testing; coverage criteria; object protocols")</f>
        <v>conformance testing; coverage criteria; object protocols</v>
      </c>
      <c r="I1214" s="10" t="b">
        <v>0</v>
      </c>
      <c r="J1214" s="10" t="b">
        <v>0</v>
      </c>
      <c r="K1214" s="10" t="b">
        <v>0</v>
      </c>
      <c r="L1214" s="10" t="b">
        <v>0</v>
      </c>
      <c r="M1214" s="10" t="b">
        <v>0</v>
      </c>
      <c r="N1214" s="10" t="b">
        <v>0</v>
      </c>
      <c r="O1214" s="11" t="b">
        <f t="shared" si="1"/>
        <v>0</v>
      </c>
      <c r="P1214" s="16" t="b">
        <v>0</v>
      </c>
      <c r="Q1214" s="7"/>
    </row>
    <row r="1215">
      <c r="A1215" s="5" t="b">
        <v>1</v>
      </c>
      <c r="B1215" s="5" t="s">
        <v>1266</v>
      </c>
      <c r="C1215" s="7" t="str">
        <f>IFERROR(__xludf.DUMMYFUNCTION("""COMPUTED_VALUE"""),"10.1109/ICST.2009.35")</f>
        <v>10.1109/ICST.2009.35</v>
      </c>
      <c r="D1215" s="7" t="str">
        <f>IFERROR(__xludf.DUMMYFUNCTION("""COMPUTED_VALUE"""),"Andrés C.; Merayo M.G.; Núñez M.")</f>
        <v>Andrés C.; Merayo M.G.; Núñez M.</v>
      </c>
      <c r="E1215" s="7" t="str">
        <f>IFERROR(__xludf.DUMMYFUNCTION("""COMPUTED_VALUE"""),"Passive testing of stochastic timed systems")</f>
        <v>Passive testing of stochastic timed systems</v>
      </c>
      <c r="F1215" s="7" t="str">
        <f>IFERROR(__xludf.DUMMYFUNCTION("""COMPUTED_VALUE"""),"ICST")</f>
        <v>ICST</v>
      </c>
      <c r="G1215" s="7" t="str">
        <f>IFERROR(__xludf.DUMMYFUNCTION("""COMPUTED_VALUE"""),"In this paper we introduce a formal methodology to perform passive testing, based on invariants, for systems where the passing of time is represented in probabilistic terms by means of probability distributions functions. In our approach, invariants expre"&amp;"ss the fact that each time the implementation under test performs a given sequence of actions, then it must exhibit a behavior according to the probability distribution functions reflected in the invariant. We present algorithms to decide the correctness "&amp;"of the proposed invariants with respect to a given specification. Once we know that an invariant is correct, we check whether the execution traces observed from the implementation respect the invariant. In addition to the theoretical framework we have dev"&amp;"eloped a tool, called PASTE, that helps in the automation of our passive testing approach. We have used the tool to obtain experimental results from the application of our methodology.")</f>
        <v>In this paper we introduce a formal methodology to perform passive testing, based on invariants, for systems where the passing of time is represented in probabilistic terms by means of probability distributions functions. In our approach, invariants express the fact that each time the implementation under test performs a given sequence of actions, then it must exhibit a behavior according to the probability distribution functions reflected in the invariant. We present algorithms to decide the correctness of the proposed invariants with respect to a given specification. Once we know that an invariant is correct, we check whether the execution traces observed from the implementation respect the invariant. In addition to the theoretical framework we have developed a tool, called PASTE, that helps in the automation of our passive testing approach. We have used the tool to obtain experimental results from the application of our methodology.</v>
      </c>
      <c r="H1215" s="7"/>
      <c r="I1215" s="10" t="b">
        <v>0</v>
      </c>
      <c r="J1215" s="10" t="b">
        <v>0</v>
      </c>
      <c r="K1215" s="10" t="b">
        <v>0</v>
      </c>
      <c r="L1215" s="10" t="b">
        <v>0</v>
      </c>
      <c r="M1215" s="10" t="b">
        <v>0</v>
      </c>
      <c r="N1215" s="10" t="b">
        <v>0</v>
      </c>
      <c r="O1215" s="11" t="b">
        <f t="shared" si="1"/>
        <v>0</v>
      </c>
      <c r="P1215" s="16" t="b">
        <v>0</v>
      </c>
      <c r="Q1215" s="7"/>
    </row>
    <row r="1216">
      <c r="A1216" s="5" t="b">
        <v>1</v>
      </c>
      <c r="B1216" s="5" t="s">
        <v>1267</v>
      </c>
      <c r="C1216" s="7" t="str">
        <f>IFERROR(__xludf.DUMMYFUNCTION("""COMPUTED_VALUE"""),"10.1109/ICST.2019.00038")</f>
        <v>10.1109/ICST.2019.00038</v>
      </c>
      <c r="D1216" s="7" t="str">
        <f>IFERROR(__xludf.DUMMYFUNCTION("""COMPUTED_VALUE"""),"Lam W.; Oei R.; Shi A.; Marinov D.; Xie T.")</f>
        <v>Lam W.; Oei R.; Shi A.; Marinov D.; Xie T.</v>
      </c>
      <c r="E1216" s="7" t="str">
        <f>IFERROR(__xludf.DUMMYFUNCTION("""COMPUTED_VALUE"""),"IDFlakies: A framework for detecting and partially classifying flaky tests")</f>
        <v>IDFlakies: A framework for detecting and partially classifying flaky tests</v>
      </c>
      <c r="F1216" s="7" t="str">
        <f>IFERROR(__xludf.DUMMYFUNCTION("""COMPUTED_VALUE"""),"ICST")</f>
        <v>ICST</v>
      </c>
      <c r="G1216" s="7" t="str">
        <f>IFERROR(__xludf.DUMMYFUNCTION("""COMPUTED_VALUE"""),"Regression testing is increasingly important with the wide use of continuous integration. A desirable requirement for regression testing is that a test failure reliably indicates a problem in the code under test and not a false alarm from the test code or"&amp;" the testing infrastructure. However, some test failures are unreliable, stemming from flaky tests that can nondeterministically pass or fail for the same code under test. There are many types of flaky tests, with order-dependent tests being a prominent t"&amp;"ype. To help advance research on flaky tests, we present (1) a framework, iDFlakies, to detect and partially classify flaky tests; (2) a dataset of flaky tests in open-source projects; and (3) a study with our dataset. iDFlakies automates experimentation "&amp;"with our tool for Maven-based Java projects. Using iDFlakies, we build a dataset of 422 flaky tests, with 50.5% order-dependent and 49.5% not. Our study of these flaky tests finds the prevalence of two types of flaky tests, probability of a test-suite run"&amp;" to have at least one failure due to flaky tests, and how different test reorderings affect the number of detected flaky tests. We envision that our work can spur research to alleviate the problem of flaky tests. © 2019 IEEE.")</f>
        <v>Regression testing is increasingly important with the wide use of continuous integration. A desirable requirement for regression testing is that a test failure reliably indicates a problem in the code under test and not a false alarm from the test code or the testing infrastructure. However, some test failures are unreliable, stemming from flaky tests that can nondeterministically pass or fail for the same code under test. There are many types of flaky tests, with order-dependent tests being a prominent type. To help advance research on flaky tests, we present (1) a framework, iDFlakies, to detect and partially classify flaky tests; (2) a dataset of flaky tests in open-source projects; and (3) a study with our dataset. iDFlakies automates experimentation with our tool for Maven-based Java projects. Using iDFlakies, we build a dataset of 422 flaky tests, with 50.5% order-dependent and 49.5% not. Our study of these flaky tests finds the prevalence of two types of flaky tests, probability of a test-suite run to have at least one failure due to flaky tests, and how different test reorderings affect the number of detected flaky tests. We envision that our work can spur research to alleviate the problem of flaky tests. © 2019 IEEE.</v>
      </c>
      <c r="H1216" s="7" t="str">
        <f>IFERROR(__xludf.DUMMYFUNCTION("""COMPUTED_VALUE"""),"Flaky tests; Order dependent tests; Regression testing")</f>
        <v>Flaky tests; Order dependent tests; Regression testing</v>
      </c>
      <c r="I1216" s="10" t="b">
        <v>0</v>
      </c>
      <c r="J1216" s="10" t="b">
        <v>0</v>
      </c>
      <c r="K1216" s="10" t="b">
        <v>0</v>
      </c>
      <c r="L1216" s="10" t="b">
        <v>0</v>
      </c>
      <c r="M1216" s="10" t="b">
        <v>0</v>
      </c>
      <c r="N1216" s="10" t="b">
        <v>0</v>
      </c>
      <c r="O1216" s="11" t="b">
        <f t="shared" si="1"/>
        <v>0</v>
      </c>
      <c r="P1216" s="16" t="b">
        <v>0</v>
      </c>
      <c r="Q1216" s="7"/>
    </row>
    <row r="1217">
      <c r="A1217" s="5" t="b">
        <v>1</v>
      </c>
      <c r="B1217" s="5" t="s">
        <v>1268</v>
      </c>
      <c r="C1217" s="7" t="str">
        <f>IFERROR(__xludf.DUMMYFUNCTION("""COMPUTED_VALUE"""),"10.1109/ICST.2008.39")</f>
        <v>10.1109/ICST.2008.39</v>
      </c>
      <c r="D1217" s="7" t="str">
        <f>IFERROR(__xludf.DUMMYFUNCTION("""COMPUTED_VALUE"""),"Yu B.; Kong L.; Zhang Y.; Zhu H.")</f>
        <v>Yu B.; Kong L.; Zhang Y.; Zhu H.</v>
      </c>
      <c r="E1217" s="7" t="str">
        <f>IFERROR(__xludf.DUMMYFUNCTION("""COMPUTED_VALUE"""),"Testing Java components based on algebraic specifications")</f>
        <v>Testing Java components based on algebraic specifications</v>
      </c>
      <c r="F1217" s="7" t="str">
        <f>IFERROR(__xludf.DUMMYFUNCTION("""COMPUTED_VALUE"""),"ICST")</f>
        <v>ICST</v>
      </c>
      <c r="G1217" s="7" t="str">
        <f>IFERROR(__xludf.DUMMYFUNCTION("""COMPUTED_VALUE"""),"This paper presents a method of component testing based on algebraic specifications. An algorithm for generating checkable test cases is proposed. A prototype testing tool called CASCAT for testing Java Enterprise Beans is developed. It has the advantages"&amp;" of high degree of automation, which include test case generation, test harness construction and test result checking. It achieves scalability by allowing incremental integration. It also allows testing to focus on a subset of used functions and key prope"&amp;"rties, thus suitable for component testing. The paper also reports an experimental evaluation of the method and the tool. © 2008 IEEE.")</f>
        <v>This paper presents a method of component testing based on algebraic specifications. An algorithm for generating checkable test cases is proposed. A prototype testing tool called CASCAT for testing Java Enterprise Beans is developed. It has the advantages of high degree of automation, which include test case generation, test harness construction and test result checking. It achieves scalability by allowing incremental integration. It also allows testing to focus on a subset of used functions and key properties, thus suitable for component testing. The paper also reports an experimental evaluation of the method and the tool. © 2008 IEEE.</v>
      </c>
      <c r="H1217" s="7"/>
      <c r="I1217" s="10" t="b">
        <v>0</v>
      </c>
      <c r="J1217" s="10" t="b">
        <v>0</v>
      </c>
      <c r="K1217" s="10" t="b">
        <v>0</v>
      </c>
      <c r="L1217" s="10" t="b">
        <v>0</v>
      </c>
      <c r="M1217" s="10" t="b">
        <v>0</v>
      </c>
      <c r="N1217" s="10" t="b">
        <v>0</v>
      </c>
      <c r="O1217" s="11" t="b">
        <f t="shared" si="1"/>
        <v>0</v>
      </c>
      <c r="P1217" s="16" t="b">
        <v>0</v>
      </c>
      <c r="Q1217" s="7"/>
    </row>
    <row r="1218">
      <c r="A1218" s="5" t="b">
        <v>1</v>
      </c>
      <c r="B1218" s="5" t="s">
        <v>1269</v>
      </c>
      <c r="C1218" s="7" t="str">
        <f>IFERROR(__xludf.DUMMYFUNCTION("""COMPUTED_VALUE"""),"10.1109/ICST46399.2020.00044")</f>
        <v>10.1109/ICST46399.2020.00044</v>
      </c>
      <c r="D1218" s="7" t="str">
        <f>IFERROR(__xludf.DUMMYFUNCTION("""COMPUTED_VALUE"""),"Agrawal S.; Venkatesh R.; Shrotri U.; Zare A.; Verma S.")</f>
        <v>Agrawal S.; Venkatesh R.; Shrotri U.; Zare A.; Verma S.</v>
      </c>
      <c r="E1218" s="7" t="str">
        <f>IFERROR(__xludf.DUMMYFUNCTION("""COMPUTED_VALUE"""),"Scaling Test Case Generation for Expressive Decision Tables")</f>
        <v>Scaling Test Case Generation for Expressive Decision Tables</v>
      </c>
      <c r="F1218" s="7" t="str">
        <f>IFERROR(__xludf.DUMMYFUNCTION("""COMPUTED_VALUE"""),"ICST")</f>
        <v>ICST</v>
      </c>
      <c r="G1218" s="7" t="str">
        <f>IFERROR(__xludf.DUMMYFUNCTION("""COMPUTED_VALUE"""),"Conventional automated test case generation techniques do not scale to modern software systems, as these systems have a large number of requirements that change frequently. In this paper, we present a scalable algorithm, AGenT, that generates test cases t"&amp;"o cover maximal requirements.AGenT takes Expressive Decision Tables (EDT), specifying requirements of a system, as input and realises these as multiple Discrete Time Automata (DTAs). AGenT then generates test cases to cover each row of the tables. To impr"&amp;"ove scalability, it attempts to cover nearer rows (requiring fewer inputs) first, where distance is measured using a novel distance-to-match heuristic. It also maintains information about desirability and predictability of inputs so as to select promising"&amp;" inputs with a higher probability. Although the algorithm has been presented in the context of EDT, it operates on its DTA representation and hence can be applied to any system that is represented as a collection of DTAs like Statemate and Stateflow. In t"&amp;"his paper, we describe AGenT in detail and present findings from two experiments that we conducted. We compared AGenT with state-of-the-art algorithms, DRAFT and a random test case generation algorithm, RTG. In the first experiment, AGenT took a maximum o"&amp;"f 144 seconds to cover all rows whereas the other two algorithms timed out on many modules. In the second experiment, for a module with 701 rows, AGenT achieved 7% more coverage than DRAFT and 12% more than RTG.  © 2020 IEEE.")</f>
        <v>Conventional automated test case generation techniques do not scale to modern software systems, as these systems have a large number of requirements that change frequently. In this paper, we present a scalable algorithm, AGenT, that generates test cases to cover maximal requirements.AGenT takes Expressive Decision Tables (EDT), specifying requirements of a system, as input and realises these as multiple Discrete Time Automata (DTAs). AGenT then generates test cases to cover each row of the tables. To improve scalability, it attempts to cover nearer rows (requiring fewer inputs) first, where distance is measured using a novel distance-to-match heuristic. It also maintains information about desirability and predictability of inputs so as to select promising inputs with a higher probability. Although the algorithm has been presented in the context of EDT, it operates on its DTA representation and hence can be applied to any system that is represented as a collection of DTAs like Statemate and Stateflow. In this paper, we describe AGenT in detail and present findings from two experiments that we conducted. We compared AGenT with state-of-the-art algorithms, DRAFT and a random test case generation algorithm, RTG. In the first experiment, AGenT took a maximum of 144 seconds to cover all rows whereas the other two algorithms timed out on many modules. In the second experiment, for a module with 701 rows, AGenT achieved 7% more coverage than DRAFT and 12% more than RTG.  © 2020 IEEE.</v>
      </c>
      <c r="H1218" s="7" t="str">
        <f>IFERROR(__xludf.DUMMYFUNCTION("""COMPUTED_VALUE"""),"Ant colony; Functional Testing; Test Generation")</f>
        <v>Ant colony; Functional Testing; Test Generation</v>
      </c>
      <c r="I1218" s="10" t="b">
        <v>0</v>
      </c>
      <c r="J1218" s="10" t="b">
        <v>0</v>
      </c>
      <c r="K1218" s="10" t="b">
        <v>0</v>
      </c>
      <c r="L1218" s="10" t="b">
        <v>0</v>
      </c>
      <c r="M1218" s="10" t="b">
        <v>0</v>
      </c>
      <c r="N1218" s="10" t="b">
        <v>0</v>
      </c>
      <c r="O1218" s="11" t="b">
        <f t="shared" si="1"/>
        <v>0</v>
      </c>
      <c r="P1218" s="16" t="b">
        <v>0</v>
      </c>
      <c r="Q1218" s="7"/>
    </row>
    <row r="1219">
      <c r="A1219" s="5" t="b">
        <v>1</v>
      </c>
      <c r="B1219" s="5" t="s">
        <v>1270</v>
      </c>
      <c r="C1219" s="7" t="str">
        <f>IFERROR(__xludf.DUMMYFUNCTION("""COMPUTED_VALUE"""),"10.1109/ICST.2012.157")</f>
        <v>10.1109/ICST.2012.157</v>
      </c>
      <c r="D1219" s="7" t="str">
        <f>IFERROR(__xludf.DUMMYFUNCTION("""COMPUTED_VALUE"""),"Elrakaiby Y.; Mouelhi T.; Le Traon Y.")</f>
        <v>Elrakaiby Y.; Mouelhi T.; Le Traon Y.</v>
      </c>
      <c r="E1219" s="7" t="str">
        <f>IFERROR(__xludf.DUMMYFUNCTION("""COMPUTED_VALUE"""),"Testing obligation policy enforcement using mutation analysis")</f>
        <v>Testing obligation policy enforcement using mutation analysis</v>
      </c>
      <c r="F1219" s="7" t="str">
        <f>IFERROR(__xludf.DUMMYFUNCTION("""COMPUTED_VALUE"""),"ICST")</f>
        <v>ICST</v>
      </c>
      <c r="G1219" s="7" t="str">
        <f>IFERROR(__xludf.DUMMYFUNCTION("""COMPUTED_VALUE"""),"The support of obligations with access control policies allows the expression of more sophisticated requirements such as usage control, availability and privacy. In order to enable the use of these policies, it is crucial to ensure their correct enforceme"&amp;"nt and management in the system. For this reason, this paper introduces a set of mutation operators for obligation policies. The paper first identifies key elements in obligation policy management, then presents mutation operators which injects minimal er"&amp;"rors which affect these aspects. Test cases are qualified w.r.t. their ability in detecting problems, simulated by mutation, in the interactions between policy management and the application code. The use of policy mutants as substitutes for real flaws en"&amp;"ables a first investigation of testing obligation policies in a system. We validate our work by providing an implementation of the mutation process: the experiments conducted on a Java program provide insights for improving test selection. © 2012 IEEE.")</f>
        <v>The support of obligations with access control policies allows the expression of more sophisticated requirements such as usage control, availability and privacy. In order to enable the use of these policies, it is crucial to ensure their correct enforcement and management in the system. For this reason, this paper introduces a set of mutation operators for obligation policies. The paper first identifies key elements in obligation policy management, then presents mutation operators which injects minimal errors which affect these aspects. Test cases are qualified w.r.t. their ability in detecting problems, simulated by mutation, in the interactions between policy management and the application code. The use of policy mutants as substitutes for real flaws enables a first investigation of testing obligation policies in a system. We validate our work by providing an implementation of the mutation process: the experiments conducted on a Java program provide insights for improving test selection. © 2012 IEEE.</v>
      </c>
      <c r="H1219" s="7"/>
      <c r="I1219" s="10" t="b">
        <v>0</v>
      </c>
      <c r="J1219" s="10" t="b">
        <v>0</v>
      </c>
      <c r="K1219" s="10" t="b">
        <v>0</v>
      </c>
      <c r="L1219" s="10" t="b">
        <v>0</v>
      </c>
      <c r="M1219" s="10" t="b">
        <v>0</v>
      </c>
      <c r="N1219" s="10" t="b">
        <v>0</v>
      </c>
      <c r="O1219" s="11" t="b">
        <f t="shared" si="1"/>
        <v>0</v>
      </c>
      <c r="P1219" s="16" t="b">
        <v>0</v>
      </c>
      <c r="Q1219" s="7"/>
    </row>
    <row r="1220">
      <c r="A1220" s="5" t="b">
        <v>1</v>
      </c>
      <c r="B1220" s="5" t="s">
        <v>1271</v>
      </c>
      <c r="C1220" s="7" t="str">
        <f>IFERROR(__xludf.DUMMYFUNCTION("""COMPUTED_VALUE"""),"10.1109/ICST.2008.8")</f>
        <v>10.1109/ICST.2008.8</v>
      </c>
      <c r="D1220" s="7" t="str">
        <f>IFERROR(__xludf.DUMMYFUNCTION("""COMPUTED_VALUE"""),"Bardin S.; Herrmann P.")</f>
        <v>Bardin S.; Herrmann P.</v>
      </c>
      <c r="E1220" s="7" t="str">
        <f>IFERROR(__xludf.DUMMYFUNCTION("""COMPUTED_VALUE"""),"Structural testing of executables")</f>
        <v>Structural testing of executables</v>
      </c>
      <c r="F1220" s="7" t="str">
        <f>IFERROR(__xludf.DUMMYFUNCTION("""COMPUTED_VALUE"""),"ICST")</f>
        <v>ICST</v>
      </c>
      <c r="G1220" s="7" t="str">
        <f>IFERROR(__xludf.DUMMYFUNCTION("""COMPUTED_VALUE"""),"Verification is usually performed on a high-level view of the software, either specification or program source code. However in certain circumstances verification is more relevant when performed at the machine code level.This paper focuses on automatic te"&amp;"st data generation from a standalone executable. Low-level analysis is much more difficult than high-level analysis since even the control-flow graph is not available and bit-level instructions have to be modelled faithfully. We show how ""path-based"" st"&amp;"ructural test data generation can be adapted from structured language to machine code, using both state-of-the-art technologies and innovative techniques. Our results have been implemented in a tool named OSMOSE and encouraging experiments have been condu"&amp;"cted. © 2008 IEEE.")</f>
        <v>Verification is usually performed on a high-level view of the software, either specification or program source code. However in certain circumstances verification is more relevant when performed at the machine code level.This paper focuses on automatic test data generation from a standalone executable. Low-level analysis is much more difficult than high-level analysis since even the control-flow graph is not available and bit-level instructions have to be modelled faithfully. We show how "path-based" structural test data generation can be adapted from structured language to machine code, using both state-of-the-art technologies and innovative techniques. Our results have been implemented in a tool named OSMOSE and encouraging experiments have been conducted. © 2008 IEEE.</v>
      </c>
      <c r="H1220" s="7"/>
      <c r="I1220" s="10" t="b">
        <v>0</v>
      </c>
      <c r="J1220" s="10" t="b">
        <v>0</v>
      </c>
      <c r="K1220" s="10" t="b">
        <v>0</v>
      </c>
      <c r="L1220" s="10" t="b">
        <v>0</v>
      </c>
      <c r="M1220" s="10" t="b">
        <v>0</v>
      </c>
      <c r="N1220" s="10" t="b">
        <v>0</v>
      </c>
      <c r="O1220" s="11" t="b">
        <f t="shared" si="1"/>
        <v>0</v>
      </c>
      <c r="P1220" s="16" t="b">
        <v>0</v>
      </c>
      <c r="Q1220" s="7"/>
    </row>
    <row r="1221">
      <c r="A1221" s="5" t="b">
        <v>1</v>
      </c>
      <c r="B1221" s="5" t="s">
        <v>1272</v>
      </c>
      <c r="C1221" s="7"/>
      <c r="D1221" s="7"/>
      <c r="E1221" s="7" t="str">
        <f>IFERROR(__xludf.DUMMYFUNCTION("""COMPUTED_VALUE"""),"Proceedings - IEEE 6th International Conference on Software Testing, Verification and Validation, ICST 2013")</f>
        <v>Proceedings - IEEE 6th International Conference on Software Testing, Verification and Validation, ICST 2013</v>
      </c>
      <c r="F1221" s="7" t="str">
        <f>IFERROR(__xludf.DUMMYFUNCTION("""COMPUTED_VALUE"""),"ICST")</f>
        <v>ICST</v>
      </c>
      <c r="G1221" s="7" t="str">
        <f>IFERROR(__xludf.DUMMYFUNCTION("""COMPUTED_VALUE"""),"The proceedings contain 71 papers. The topics discussed include: transformation rules for platform independent testing: an empirical study; behaviour abstraction coverage as black-box adequacy criteria; model-based testing of cryptographic components less"&amp;"ons learned from experience; the impact of concurrent coverage metrics on testing effectiveness; assessing quality and effort of applying aspect state machines for robustness testing: a controlled experiment; scaling model checking for test generation usi"&amp;"ng dynamic inference; testing database-centric applications for causes of database deadlocks; an efficient algorithm for constraint handling in combinatorial test generation; oracle-based regression test selection; estimating fault numbers remaining after"&amp;" testing; R2Fix: automatically generating bug fixes from bug reports; coverage-based test case prioritisation: an industrial case study; and test case prioritization using requirements-based clustering.")</f>
        <v>The proceedings contain 71 papers. The topics discussed include: transformation rules for platform independent testing: an empirical study; behaviour abstraction coverage as black-box adequacy criteria; model-based testing of cryptographic components lessons learned from experience; the impact of concurrent coverage metrics on testing effectiveness; assessing quality and effort of applying aspect state machines for robustness testing: a controlled experiment; scaling model checking for test generation using dynamic inference; testing database-centric applications for causes of database deadlocks; an efficient algorithm for constraint handling in combinatorial test generation; oracle-based regression test selection; estimating fault numbers remaining after testing; R2Fix: automatically generating bug fixes from bug reports; coverage-based test case prioritisation: an industrial case study; and test case prioritization using requirements-based clustering.</v>
      </c>
      <c r="H1221" s="7"/>
      <c r="I1221" s="10" t="b">
        <v>0</v>
      </c>
      <c r="J1221" s="10" t="b">
        <v>0</v>
      </c>
      <c r="K1221" s="10" t="b">
        <v>0</v>
      </c>
      <c r="L1221" s="10" t="b">
        <v>0</v>
      </c>
      <c r="M1221" s="10" t="b">
        <v>0</v>
      </c>
      <c r="N1221" s="10" t="b">
        <v>0</v>
      </c>
      <c r="O1221" s="11" t="b">
        <f t="shared" si="1"/>
        <v>0</v>
      </c>
      <c r="P1221" s="16" t="b">
        <v>0</v>
      </c>
      <c r="Q1221" s="7"/>
    </row>
    <row r="1222">
      <c r="A1222" s="5" t="b">
        <v>1</v>
      </c>
      <c r="B1222" s="5" t="s">
        <v>1273</v>
      </c>
      <c r="C1222" s="7" t="str">
        <f>IFERROR(__xludf.DUMMYFUNCTION("""COMPUTED_VALUE"""),"10.1109/ICST57152.2023.00017")</f>
        <v>10.1109/ICST57152.2023.00017</v>
      </c>
      <c r="D1222" s="7" t="str">
        <f>IFERROR(__xludf.DUMMYFUNCTION("""COMPUTED_VALUE"""),"Calsi D.L.; Duran M.; Zhang X.-Y.; Arcaini P.; Ishikawa F.")</f>
        <v>Calsi D.L.; Duran M.; Zhang X.-Y.; Arcaini P.; Ishikawa F.</v>
      </c>
      <c r="E1222" s="7" t="str">
        <f>IFERROR(__xludf.DUMMYFUNCTION("""COMPUTED_VALUE"""),"Distributed Repair of Deep Neural Networks")</f>
        <v>Distributed Repair of Deep Neural Networks</v>
      </c>
      <c r="F1222" s="7" t="str">
        <f>IFERROR(__xludf.DUMMYFUNCTION("""COMPUTED_VALUE"""),"ICST")</f>
        <v>ICST</v>
      </c>
      <c r="G1222" s="7" t="str">
        <f>IFERROR(__xludf.DUMMYFUNCTION("""COMPUTED_VALUE"""),"Deep Neural Networks (DNNs) are applied in several safety-critical domains and their trustworthiness is of paramount importance. For example, DNNs used in autonomous driving as classifiers should not misclassify detected objects; however, since obtaining "&amp;"perfect accuracy is not possible, special attention should be given to the most critical cases, e.g., pedestrians. This has been confirmed by the consortium of our partners from the automotive domain that provided us with specific risk levels for differen"&amp;"t misclassifications. A recent approach to improve DNN performance is to localise DNN weights responsible for the misclassifications and then adjust (repair) them to improve the misclassifications. However, they under-perform when they need to consider mu"&amp;"ltiple misclassifications, and they do not consider the risk levels of the different misclassifications. To tackle this, we propose DISTRREP, a distributed repair approach that first finds the best fixes for each critical misclassification, and then integ"&amp;"rates them in a single repaired DNN model, by considering the risk levels. We assess DISTRREP over three DNN models and a dataset of autonomous driving images, by considering requirements specified by our industrial partners. Experiments show that DISTRRE"&amp;"P is more effective than baseline approaches based on retraining, and other risk-unaware repair approaches.  © 2023 IEEE.")</f>
        <v>Deep Neural Networks (DNNs) are applied in several safety-critical domains and their trustworthiness is of paramount importance. For example, DNNs used in autonomous driving as classifiers should not misclassify detected objects; however, since obtaining perfect accuracy is not possible, special attention should be given to the most critical cases, e.g., pedestrians. This has been confirmed by the consortium of our partners from the automotive domain that provided us with specific risk levels for different misclassifications. A recent approach to improve DNN performance is to localise DNN weights responsible for the misclassifications and then adjust (repair) them to improve the misclassifications. However, they under-perform when they need to consider multiple misclassifications, and they do not consider the risk levels of the different misclassifications. To tackle this, we propose DISTRREP, a distributed repair approach that first finds the best fixes for each critical misclassification, and then integrates them in a single repaired DNN model, by considering the risk levels. We assess DISTRREP over three DNN models and a dataset of autonomous driving images, by considering requirements specified by our industrial partners. Experiments show that DISTRREP is more effective than baseline approaches based on retraining, and other risk-unaware repair approaches.  © 2023 IEEE.</v>
      </c>
      <c r="H1222" s="7" t="str">
        <f>IFERROR(__xludf.DUMMYFUNCTION("""COMPUTED_VALUE"""),"automated repair; DNNs; risk levels")</f>
        <v>automated repair; DNNs; risk levels</v>
      </c>
      <c r="I1222" s="10" t="b">
        <v>0</v>
      </c>
      <c r="J1222" s="10" t="b">
        <v>0</v>
      </c>
      <c r="K1222" s="10" t="b">
        <v>0</v>
      </c>
      <c r="L1222" s="10" t="b">
        <v>0</v>
      </c>
      <c r="M1222" s="10" t="b">
        <v>0</v>
      </c>
      <c r="N1222" s="10" t="b">
        <v>0</v>
      </c>
      <c r="O1222" s="11" t="b">
        <f t="shared" si="1"/>
        <v>0</v>
      </c>
      <c r="P1222" s="16" t="b">
        <v>0</v>
      </c>
      <c r="Q1222" s="7"/>
    </row>
    <row r="1223">
      <c r="A1223" s="5" t="b">
        <v>1</v>
      </c>
      <c r="B1223" s="5" t="s">
        <v>1274</v>
      </c>
      <c r="C1223" s="7" t="str">
        <f>IFERROR(__xludf.DUMMYFUNCTION("""COMPUTED_VALUE"""),"10.1109/ICST.2016.15")</f>
        <v>10.1109/ICST.2016.15</v>
      </c>
      <c r="D1223" s="7" t="str">
        <f>IFERROR(__xludf.DUMMYFUNCTION("""COMPUTED_VALUE"""),"Enoiu E.P.; Cauevic A.; Sundmark D.; Pettersson P.")</f>
        <v>Enoiu E.P.; Cauevic A.; Sundmark D.; Pettersson P.</v>
      </c>
      <c r="E1223" s="7" t="str">
        <f>IFERROR(__xludf.DUMMYFUNCTION("""COMPUTED_VALUE"""),"A Controlled Experiment in Testing of Safety-Critical Embedded Software")</f>
        <v>A Controlled Experiment in Testing of Safety-Critical Embedded Software</v>
      </c>
      <c r="F1223" s="7" t="str">
        <f>IFERROR(__xludf.DUMMYFUNCTION("""COMPUTED_VALUE"""),"ICST")</f>
        <v>ICST</v>
      </c>
      <c r="G1223" s="7" t="str">
        <f>IFERROR(__xludf.DUMMYFUNCTION("""COMPUTED_VALUE"""),"In engineering of safety critical systems, regulatory standards often put requirements on both traceable specification-based testing, and structural coverage on program units. Automated test generation techniques can be used to generate inputs to cover th"&amp;"e structural aspects of a program. However, there is no conclusive evidence on how automated test generation compares to manual test design, or how testing based on the program implementation relates to specification-based testing. In this paper, we inves"&amp;"tigate specification-and implementation-based testing of embedded software written in the IEC 61131-3 language, a programming standard used in many embedded safety critical software systems. Further, we measure the efficiency and effectiveness in terms of"&amp;" fault detection. For this purpose, a controlled experiment was conducted, comparing tests created by a total of twenty-three software engineering master students. The participants worked individually on manually designing and automatically generating tes"&amp;"ts for two IEC 61131-3 programs. Tests created by the participants in the experiment were collected and analyzed in terms of mutation score, decision coverage, number of tests, and testing duration. We found that, when compared to implementation-based tes"&amp;"ting, specification-based testing yields significantly more effective tests in terms of the number of faults detected. Specifically, specification-based tests more effectively detect comparison and value replacement type of faults, compared to implementat"&amp;"ion-based tests. On the other hand, implementation-based automated test generation leads to fewer tests (up to 85% improvement) created in shorter time than the ones manually created based on the specification. © 2016 IEEE.")</f>
        <v>In engineering of safety critical systems, regulatory standards often put requirements on both traceable specification-based testing, and structural coverage on program units. Automated test generation techniques can be used to generate inputs to cover the structural aspects of a program. However, there is no conclusive evidence on how automated test generation compares to manual test design, or how testing based on the program implementation relates to specification-based testing. In this paper, we investigate specification-and implementation-based testing of embedded software written in the IEC 61131-3 language, a programming standard used in many embedded safety critical software systems. Further, we measure the efficiency and effectiveness in terms of fault detection. For this purpose, a controlled experiment was conducted, comparing tests created by a total of twenty-three software engineering master students. The participants worked individually on manually designing and automatically generating tests for two IEC 61131-3 programs. Tests created by the participants in the experiment were collected and analyzed in terms of mutation score, decision coverage, number of tests, and testing duration. We found that, when compared to implementation-based testing, specification-based testing yields significantly more effective tests in terms of the number of faults detected. Specifically, specification-based tests more effectively detect comparison and value replacement type of faults, compared to implementation-based tests. On the other hand, implementation-based automated test generation leads to fewer tests (up to 85% improvement) created in shorter time than the ones manually created based on the specification. © 2016 IEEE.</v>
      </c>
      <c r="H1223" s="7" t="str">
        <f>IFERROR(__xludf.DUMMYFUNCTION("""COMPUTED_VALUE"""),"automated test generation; controlled experiment; embedded software; manual testing; safety-critical systems; specification-based testing")</f>
        <v>automated test generation; controlled experiment; embedded software; manual testing; safety-critical systems; specification-based testing</v>
      </c>
      <c r="I1223" s="9" t="b">
        <v>1</v>
      </c>
      <c r="J1223" s="9" t="b">
        <v>1</v>
      </c>
      <c r="K1223" s="9" t="b">
        <v>1</v>
      </c>
      <c r="L1223" s="10" t="b">
        <v>0</v>
      </c>
      <c r="M1223" s="10" t="b">
        <v>0</v>
      </c>
      <c r="N1223" s="10" t="b">
        <v>0</v>
      </c>
      <c r="O1223" s="11" t="b">
        <f t="shared" si="1"/>
        <v>1</v>
      </c>
      <c r="P1223" s="16" t="b">
        <v>0</v>
      </c>
      <c r="Q1223" s="7"/>
    </row>
    <row r="1224">
      <c r="A1224" s="5" t="b">
        <v>1</v>
      </c>
      <c r="B1224" s="5" t="s">
        <v>1275</v>
      </c>
      <c r="C1224" s="7" t="str">
        <f>IFERROR(__xludf.DUMMYFUNCTION("""COMPUTED_VALUE"""),"10.1109/ICST.2011.53")</f>
        <v>10.1109/ICST.2011.53</v>
      </c>
      <c r="D1224" s="7" t="str">
        <f>IFERROR(__xludf.DUMMYFUNCTION("""COMPUTED_VALUE"""),"Fraser G.; Zeller A.")</f>
        <v>Fraser G.; Zeller A.</v>
      </c>
      <c r="E1224" s="7" t="str">
        <f>IFERROR(__xludf.DUMMYFUNCTION("""COMPUTED_VALUE"""),"Exploiting common object usage in test case generation")</f>
        <v>Exploiting common object usage in test case generation</v>
      </c>
      <c r="F1224" s="7" t="str">
        <f>IFERROR(__xludf.DUMMYFUNCTION("""COMPUTED_VALUE"""),"ICST")</f>
        <v>ICST</v>
      </c>
      <c r="G1224" s="7" t="str">
        <f>IFERROR(__xludf.DUMMYFUNCTION("""COMPUTED_VALUE"""),"Generated test cases are good at systematically exploring paths and conditions in software. However, generated test cases often do not make sense. We adapt test case generation to follow patterns of common object usage, as mined from code examples. Our ex"&amp;"periments show that generated tests thus (a) reuse familiar usage patterns, making them easier to understand and (b) focus on common usage, thus respecting implicit preconditions and avoiding meaningless tests. © 2011 IEEE.")</f>
        <v>Generated test cases are good at systematically exploring paths and conditions in software. However, generated test cases often do not make sense. We adapt test case generation to follow patterns of common object usage, as mined from code examples. Our experiments show that generated tests thus (a) reuse familiar usage patterns, making them easier to understand and (b) focus on common usage, thus respecting implicit preconditions and avoiding meaningless tests. © 2011 IEEE.</v>
      </c>
      <c r="H1224" s="7" t="str">
        <f>IFERROR(__xludf.DUMMYFUNCTION("""COMPUTED_VALUE"""),"readability; specification mining; test case generation")</f>
        <v>readability; specification mining; test case generation</v>
      </c>
      <c r="I1224" s="10" t="b">
        <v>0</v>
      </c>
      <c r="J1224" s="10" t="b">
        <v>0</v>
      </c>
      <c r="K1224" s="10" t="b">
        <v>0</v>
      </c>
      <c r="L1224" s="10" t="b">
        <v>0</v>
      </c>
      <c r="M1224" s="10" t="b">
        <v>0</v>
      </c>
      <c r="N1224" s="10" t="b">
        <v>0</v>
      </c>
      <c r="O1224" s="11" t="b">
        <f t="shared" si="1"/>
        <v>0</v>
      </c>
      <c r="P1224" s="16" t="b">
        <v>0</v>
      </c>
      <c r="Q1224" s="7"/>
    </row>
    <row r="1225">
      <c r="A1225" s="5" t="b">
        <v>1</v>
      </c>
      <c r="B1225" s="5" t="s">
        <v>1276</v>
      </c>
      <c r="C1225" s="7" t="str">
        <f>IFERROR(__xludf.DUMMYFUNCTION("""COMPUTED_VALUE"""),"10.1109/ICST46399.2020.00023")</f>
        <v>10.1109/ICST46399.2020.00023</v>
      </c>
      <c r="D1225" s="7" t="str">
        <f>IFERROR(__xludf.DUMMYFUNCTION("""COMPUTED_VALUE"""),"Karlsson S.; Causevic A.; Sundmark D.")</f>
        <v>Karlsson S.; Causevic A.; Sundmark D.</v>
      </c>
      <c r="E1225" s="7" t="str">
        <f>IFERROR(__xludf.DUMMYFUNCTION("""COMPUTED_VALUE"""),"QuickREST: Property-based Test Generation of OpenAPI-Described RESTful APIs")</f>
        <v>QuickREST: Property-based Test Generation of OpenAPI-Described RESTful APIs</v>
      </c>
      <c r="F1225" s="7" t="str">
        <f>IFERROR(__xludf.DUMMYFUNCTION("""COMPUTED_VALUE"""),"ICST")</f>
        <v>ICST</v>
      </c>
      <c r="G1225" s="7" t="str">
        <f>IFERROR(__xludf.DUMMYFUNCTION("""COMPUTED_VALUE"""),"RESTful APIs are an increasingly common way to expose software systems functionality and it is therefore of high interest to find methods to automatically test and verify such APIs. To lower the barrier for industry adoption, such methods need to be strai"&amp;"ghtforward to use with a low effort. This paper introduces a method to explore the behaviour of a RESTful API. This is done by using automatic property-based tests produced from OpenAPI documents that describe the REST API under test. We describe how this"&amp;" method creates artifacts that can be leveraged both as property-based test generators and as a source of validation for results (i.e., as test oracles). Experimental results, on both industrial and open source services, indicate how this approach is a lo"&amp;"w effort way of finding real faults. Furthermore, it supports building additional knowledge about the system under test by automatically exposing misalignment of specification and implementation. Since the tests are generated from the OpenAPI document thi"&amp;"s method automatically evolves test cases as the REST API evolves.  © 2020 IEEE.")</f>
        <v>RESTful APIs are an increasingly common way to expose software systems functionality and it is therefore of high interest to find methods to automatically test and verify such APIs. To lower the barrier for industry adoption, such methods need to be straightforward to use with a low effort. This paper introduces a method to explore the behaviour of a RESTful API. This is done by using automatic property-based tests produced from OpenAPI documents that describe the REST API under test. We describe how this method creates artifacts that can be leveraged both as property-based test generators and as a source of validation for results (i.e., as test oracles). Experimental results, on both industrial and open source services, indicate how this approach is a low effort way of finding real faults. Furthermore, it supports building additional knowledge about the system under test by automatically exposing misalignment of specification and implementation. Since the tests are generated from the OpenAPI document this method automatically evolves test cases as the REST API evolves.  © 2020 IEEE.</v>
      </c>
      <c r="H1225" s="7" t="str">
        <f>IFERROR(__xludf.DUMMYFUNCTION("""COMPUTED_VALUE"""),"OpenAPI; Property-based testing; REST")</f>
        <v>OpenAPI; Property-based testing; REST</v>
      </c>
      <c r="I1225" s="10" t="b">
        <v>0</v>
      </c>
      <c r="J1225" s="10" t="b">
        <v>0</v>
      </c>
      <c r="K1225" s="10" t="b">
        <v>0</v>
      </c>
      <c r="L1225" s="10" t="b">
        <v>0</v>
      </c>
      <c r="M1225" s="10" t="b">
        <v>0</v>
      </c>
      <c r="N1225" s="10" t="b">
        <v>0</v>
      </c>
      <c r="O1225" s="11" t="b">
        <f t="shared" si="1"/>
        <v>0</v>
      </c>
      <c r="P1225" s="16" t="b">
        <v>0</v>
      </c>
      <c r="Q1225" s="7"/>
    </row>
    <row r="1226">
      <c r="A1226" s="5" t="b">
        <v>1</v>
      </c>
      <c r="B1226" s="5" t="s">
        <v>1277</v>
      </c>
      <c r="C1226" s="7" t="str">
        <f>IFERROR(__xludf.DUMMYFUNCTION("""COMPUTED_VALUE"""),"10.1109/ICST57152.2023.00034")</f>
        <v>10.1109/ICST57152.2023.00034</v>
      </c>
      <c r="D1226" s="7" t="str">
        <f>IFERROR(__xludf.DUMMYFUNCTION("""COMPUTED_VALUE"""),"Khatiri S.; Panichella S.; Tonella P.")</f>
        <v>Khatiri S.; Panichella S.; Tonella P.</v>
      </c>
      <c r="E1226" s="7" t="str">
        <f>IFERROR(__xludf.DUMMYFUNCTION("""COMPUTED_VALUE"""),"Simulation-based Test Case Generation for Unmanned Aerial Vehicles in the Neighborhood of Real Flights")</f>
        <v>Simulation-based Test Case Generation for Unmanned Aerial Vehicles in the Neighborhood of Real Flights</v>
      </c>
      <c r="F1226" s="7" t="str">
        <f>IFERROR(__xludf.DUMMYFUNCTION("""COMPUTED_VALUE"""),"ICST")</f>
        <v>ICST</v>
      </c>
      <c r="G1226" s="7" t="str">
        <f>IFERROR(__xludf.DUMMYFUNCTION("""COMPUTED_VALUE"""),"Unmanned aerial vehicles (UAVs), also known as drones, are acquiring increasing autonomy. With their commercial adoption, the problem of testing their functional and non-functional, and in particular their safety requirements has become a critical concern"&amp;". Simulation-based testing represents a fundamental practice, but the testing scenarios considered in software-in-the-loop testing may not be representative of the actual scenarios experienced in the field.In this paper, we propose SURREALIST (teSting UAV"&amp;"s in the neighboRhood of REAl flIghtS), a novel search-based approach that analyses the logs from real UAV flights and automatically generates simulation-based test cases in the neighborhood of such real flights, thereby improving the realism and represen"&amp;"tativeness of the simulation-based tests. This is done in two steps: first, SURREALIST faithfully replicates the given UAV flight in the simulation environment, generating a simulation-based test that mirrors a pre-logged real-world behavior. Then, it smo"&amp;"othly manipulates the replicated flight conditions to discover slightly modified test cases that are challenging or trigger misbehaviors of the UAV under test in simulation. In our experiments, we were able to replicate a real flight accurately in the sim"&amp;"ulation environment and to expose unstable and potentially unsafe behavior in the neighborhood of a replicated flight, which even led to crashes.  © 2023 IEEE.")</f>
        <v>Unmanned aerial vehicles (UAVs), also known as drones, are acquiring increasing autonomy. With their commercial adoption, the problem of testing their functional and non-functional, and in particular their safety requirements has become a critical concern. Simulation-based testing represents a fundamental practice, but the testing scenarios considered in software-in-the-loop testing may not be representative of the actual scenarios experienced in the field.In this paper, we propose SURREALIST (teSting UAVs in the neighboRhood of REAl flIghtS), a novel search-based approach that analyses the logs from real UAV flights and automatically generates simulation-based test cases in the neighborhood of such real flights, thereby improving the realism and representativeness of the simulation-based tests. This is done in two steps: first, SURREALIST faithfully replicates the given UAV flight in the simulation environment, generating a simulation-based test that mirrors a pre-logged real-world behavior. Then, it smoothly manipulates the replicated flight conditions to discover slightly modified test cases that are challenging or trigger misbehaviors of the UAV under test in simulation. In our experiments, we were able to replicate a real flight accurately in the simulation environment and to expose unstable and potentially unsafe behavior in the neighborhood of a replicated flight, which even led to crashes.  © 2023 IEEE.</v>
      </c>
      <c r="H1226" s="7" t="str">
        <f>IFERROR(__xludf.DUMMYFUNCTION("""COMPUTED_VALUE"""),"Autonomous Systems; Software Testing; Unmanned Aerial Vehicles")</f>
        <v>Autonomous Systems; Software Testing; Unmanned Aerial Vehicles</v>
      </c>
      <c r="I1226" s="10" t="b">
        <v>0</v>
      </c>
      <c r="J1226" s="10" t="b">
        <v>0</v>
      </c>
      <c r="K1226" s="10" t="b">
        <v>0</v>
      </c>
      <c r="L1226" s="10" t="b">
        <v>0</v>
      </c>
      <c r="M1226" s="10" t="b">
        <v>0</v>
      </c>
      <c r="N1226" s="10" t="b">
        <v>0</v>
      </c>
      <c r="O1226" s="11" t="b">
        <f t="shared" si="1"/>
        <v>0</v>
      </c>
      <c r="P1226" s="16" t="b">
        <v>0</v>
      </c>
      <c r="Q1226" s="7"/>
    </row>
    <row r="1227">
      <c r="A1227" s="5" t="b">
        <v>1</v>
      </c>
      <c r="B1227" s="5" t="s">
        <v>1278</v>
      </c>
      <c r="C1227" s="7" t="str">
        <f>IFERROR(__xludf.DUMMYFUNCTION("""COMPUTED_VALUE"""),"10.1109/ICST.2009.33")</f>
        <v>10.1109/ICST.2009.33</v>
      </c>
      <c r="D1227" s="7" t="str">
        <f>IFERROR(__xludf.DUMMYFUNCTION("""COMPUTED_VALUE"""),"Fraser G.; Gargantini A.")</f>
        <v>Fraser G.; Gargantini A.</v>
      </c>
      <c r="E1227" s="7" t="str">
        <f>IFERROR(__xludf.DUMMYFUNCTION("""COMPUTED_VALUE"""),"An evaluation of model checkers for specification based test case generation")</f>
        <v>An evaluation of model checkers for specification based test case generation</v>
      </c>
      <c r="F1227" s="7" t="str">
        <f>IFERROR(__xludf.DUMMYFUNCTION("""COMPUTED_VALUE"""),"ICST")</f>
        <v>ICST</v>
      </c>
      <c r="G1227" s="7" t="str">
        <f>IFERROR(__xludf.DUMMYFUNCTION("""COMPUTED_VALUE"""),"Under certain constraints the test case generation problem can be represented as a model checking problem, thus enabling the use of powerful model checking tools to perform the test case generation automatically. There are, however, several different mode"&amp;"l checking techniques, and to date there is little evidence and comparison on which of these techniques is best suited for test case generation. This paper presents the results of an evaluation of several different model checkers on a set of realistic for"&amp;"mal speci- fications given in the SCR [21] notation. For each specifi- cation test cases are generated for a set of coverage criteria with each of the model checkers using different configurations. The evaluation shows that the best suited model checking "&amp;"technique and optimization very much depend on the specification that is used to generate test cases. However, from the experiments we can draw general conclusions about which optimizations are useful and which model checking technique is best suited for "&amp;"which type of model. Finally, we demonstrate that by combining several model checking techniques it is possible to significantly speed up test case generation and also achieve full test coverage for cases where none of the techniques by itself would succe"&amp;"ed.")</f>
        <v>Under certain constraints the test case generation problem can be represented as a model checking problem, thus enabling the use of powerful model checking tools to perform the test case generation automatically. There are, however, several different model checking techniques, and to date there is little evidence and comparison on which of these techniques is best suited for test case generation. This paper presents the results of an evaluation of several different model checkers on a set of realistic formal speci- fications given in the SCR [21] notation. For each specifi- cation test cases are generated for a set of coverage criteria with each of the model checkers using different configurations. The evaluation shows that the best suited model checking technique and optimization very much depend on the specification that is used to generate test cases. However, from the experiments we can draw general conclusions about which optimizations are useful and which model checking technique is best suited for which type of model. Finally, we demonstrate that by combining several model checking techniques it is possible to significantly speed up test case generation and also achieve full test coverage for cases where none of the techniques by itself would succeed.</v>
      </c>
      <c r="H1227" s="7"/>
      <c r="I1227" s="10" t="b">
        <v>0</v>
      </c>
      <c r="J1227" s="10" t="b">
        <v>0</v>
      </c>
      <c r="K1227" s="10" t="b">
        <v>0</v>
      </c>
      <c r="L1227" s="10" t="b">
        <v>0</v>
      </c>
      <c r="M1227" s="10" t="b">
        <v>0</v>
      </c>
      <c r="N1227" s="10" t="b">
        <v>0</v>
      </c>
      <c r="O1227" s="11" t="b">
        <f t="shared" si="1"/>
        <v>0</v>
      </c>
      <c r="P1227" s="16" t="b">
        <v>0</v>
      </c>
      <c r="Q1227" s="7"/>
    </row>
    <row r="1228">
      <c r="A1228" s="5" t="b">
        <v>1</v>
      </c>
      <c r="B1228" s="5" t="s">
        <v>1279</v>
      </c>
      <c r="C1228" s="7" t="str">
        <f>IFERROR(__xludf.DUMMYFUNCTION("""COMPUTED_VALUE"""),"10.1109/ICST46399.2020.00059")</f>
        <v>10.1109/ICST46399.2020.00059</v>
      </c>
      <c r="D1228" s="7" t="str">
        <f>IFERROR(__xludf.DUMMYFUNCTION("""COMPUTED_VALUE"""),"Bures M.; Herout P.; Ahmed B.S.")</f>
        <v>Bures M.; Herout P.; Ahmed B.S.</v>
      </c>
      <c r="E1228" s="7" t="str">
        <f>IFERROR(__xludf.DUMMYFUNCTION("""COMPUTED_VALUE"""),"Open-source Defect Injection Benchmark Testbed for the Evaluation of Testing")</f>
        <v>Open-source Defect Injection Benchmark Testbed for the Evaluation of Testing</v>
      </c>
      <c r="F1228" s="7" t="str">
        <f>IFERROR(__xludf.DUMMYFUNCTION("""COMPUTED_VALUE"""),"ICST")</f>
        <v>ICST</v>
      </c>
      <c r="G1228" s="7" t="str">
        <f>IFERROR(__xludf.DUMMYFUNCTION("""COMPUTED_VALUE"""),"A natural method to evaluate the effectiveness of a testing technique is to measure the defect detection rate when applying the created test cases. Here, real or artificial software defects can be injected into the source code of software. For a more exte"&amp;"nsive evaluation, injection of artificial defects is usually needed and can be performed via mutation testing using code mutation operators. However, to simulate complex defects arising from a misunderstanding of design specifications, mutation testing mi"&amp;"ght reach its limit in some cases. In this paper, we present an open-source benchmark testbed application that employs a complement method of artificial defect injection. The application is compiled after artificial defects are injected into its source co"&amp;"de from predefined building blocks. The majority of the functions and user interface elements are covered by creating front-end-based automated test cases that can be used in experiments.  © 2020 IEEE.")</f>
        <v>A natural method to evaluate the effectiveness of a testing technique is to measure the defect detection rate when applying the created test cases. Here, real or artificial software defects can be injected into the source code of software. For a more extensive evaluation, injection of artificial defects is usually needed and can be performed via mutation testing using code mutation operators. However, to simulate complex defects arising from a misunderstanding of design specifications, mutation testing might reach its limit in some cases. In this paper, we present an open-source benchmark testbed application that employs a complement method of artificial defect injection. The application is compiled after artificial defects are injected into its source code from predefined building blocks. The majority of the functions and user interface elements are covered by creating front-end-based automated test cases that can be used in experiments.  © 2020 IEEE.</v>
      </c>
      <c r="H1228" s="7" t="str">
        <f>IFERROR(__xludf.DUMMYFUNCTION("""COMPUTED_VALUE"""),"benchmarking; Fault injection; mutation testing; Software Testing")</f>
        <v>benchmarking; Fault injection; mutation testing; Software Testing</v>
      </c>
      <c r="I1228" s="10" t="b">
        <v>0</v>
      </c>
      <c r="J1228" s="10" t="b">
        <v>0</v>
      </c>
      <c r="K1228" s="10" t="b">
        <v>0</v>
      </c>
      <c r="L1228" s="10" t="b">
        <v>0</v>
      </c>
      <c r="M1228" s="10" t="b">
        <v>0</v>
      </c>
      <c r="N1228" s="10" t="b">
        <v>0</v>
      </c>
      <c r="O1228" s="11" t="b">
        <f t="shared" si="1"/>
        <v>0</v>
      </c>
      <c r="P1228" s="16" t="b">
        <v>0</v>
      </c>
      <c r="Q1228" s="7"/>
    </row>
    <row r="1229">
      <c r="A1229" s="5" t="b">
        <v>1</v>
      </c>
      <c r="B1229" s="5" t="s">
        <v>1280</v>
      </c>
      <c r="C1229" s="7" t="str">
        <f>IFERROR(__xludf.DUMMYFUNCTION("""COMPUTED_VALUE"""),"10.1109/ICST.2017.57")</f>
        <v>10.1109/ICST.2017.57</v>
      </c>
      <c r="D1229" s="7" t="str">
        <f>IFERROR(__xludf.DUMMYFUNCTION("""COMPUTED_VALUE"""),"Marcozzi M.; Bardin S.; Delahaye M.; Kosmatov N.; Prevosto V.")</f>
        <v>Marcozzi M.; Bardin S.; Delahaye M.; Kosmatov N.; Prevosto V.</v>
      </c>
      <c r="E1229" s="7" t="str">
        <f>IFERROR(__xludf.DUMMYFUNCTION("""COMPUTED_VALUE"""),"Taming Coverage Criteria Heterogeneity with LTest")</f>
        <v>Taming Coverage Criteria Heterogeneity with LTest</v>
      </c>
      <c r="F1229" s="7" t="str">
        <f>IFERROR(__xludf.DUMMYFUNCTION("""COMPUTED_VALUE"""),"ICST")</f>
        <v>ICST</v>
      </c>
      <c r="G1229" s="7" t="str">
        <f>IFERROR(__xludf.DUMMYFUNCTION("""COMPUTED_VALUE"""),"Automated white-box testing is a major issue in software engineering. In previous work, we introduced LTest, a generic and integrated toolkit for automated white-box testing of C programs. LTest supports a broad class of coverage criteria in a unified way"&amp;" (through the label specification mechanism) and covers most major parts of the testing process - including coverage measurement, test generation and detection of infeasible test objectives. However, the original version of LTest was unable to handle seve"&amp;"ral major classes of coverage criteria, such as MCDC or dataflow criteria. Moreover, its practical applicability remained barely assessed. In this work, we present a significantly extended version of LTest that supports almost all existing testing criteri"&amp;"a, including MCDC and some software security properties, through a native support of recently proposed hyperlabels. We also provide a more realistic view on the practical applicability of the extended tool, with experiments assessing its efficiency and sc"&amp;"alability on real-world programs. © 2017 IEEE.")</f>
        <v>Automated white-box testing is a major issue in software engineering. In previous work, we introduced LTest, a generic and integrated toolkit for automated white-box testing of C programs. LTest supports a broad class of coverage criteria in a unified way (through the label specification mechanism) and covers most major parts of the testing process - including coverage measurement, test generation and detection of infeasible test objectives. However, the original version of LTest was unable to handle several major classes of coverage criteria, such as MCDC or dataflow criteria. Moreover, its practical applicability remained barely assessed. In this work, we present a significantly extended version of LTest that supports almost all existing testing criteria, including MCDC and some software security properties, through a native support of recently proposed hyperlabels. We also provide a more realistic view on the practical applicability of the extended tool, with experiments assessing its efficiency and scalability on real-world programs. © 2017 IEEE.</v>
      </c>
      <c r="H1229" s="7" t="str">
        <f>IFERROR(__xludf.DUMMYFUNCTION("""COMPUTED_VALUE"""),"Coverage Criteria; Coverage Measurement Tool; Multi-Criteria Testing Tool; Static Analysis in Testing Tools; Test Generation Tool; Uncoverable Test Objective Detection; White-box Testing")</f>
        <v>Coverage Criteria; Coverage Measurement Tool; Multi-Criteria Testing Tool; Static Analysis in Testing Tools; Test Generation Tool; Uncoverable Test Objective Detection; White-box Testing</v>
      </c>
      <c r="I1229" s="10" t="b">
        <v>0</v>
      </c>
      <c r="J1229" s="10" t="b">
        <v>0</v>
      </c>
      <c r="K1229" s="10" t="b">
        <v>0</v>
      </c>
      <c r="L1229" s="10" t="b">
        <v>0</v>
      </c>
      <c r="M1229" s="10" t="b">
        <v>0</v>
      </c>
      <c r="N1229" s="10" t="b">
        <v>0</v>
      </c>
      <c r="O1229" s="11" t="b">
        <f t="shared" si="1"/>
        <v>0</v>
      </c>
      <c r="P1229" s="16" t="b">
        <v>0</v>
      </c>
      <c r="Q1229" s="7"/>
    </row>
    <row r="1230">
      <c r="A1230" s="5" t="b">
        <v>1</v>
      </c>
      <c r="B1230" s="5" t="s">
        <v>1281</v>
      </c>
      <c r="C1230" s="7" t="str">
        <f>IFERROR(__xludf.DUMMYFUNCTION("""COMPUTED_VALUE"""),"10.1109/ICST.2014.27")</f>
        <v>10.1109/ICST.2014.27</v>
      </c>
      <c r="D1230" s="7" t="str">
        <f>IFERROR(__xludf.DUMMYFUNCTION("""COMPUTED_VALUE"""),"Varvaressos S.; Lavoie K.; Massé A.B.; Gaboury S.; Hallé S.")</f>
        <v>Varvaressos S.; Lavoie K.; Massé A.B.; Gaboury S.; Hallé S.</v>
      </c>
      <c r="E1230" s="7" t="str">
        <f>IFERROR(__xludf.DUMMYFUNCTION("""COMPUTED_VALUE"""),"Automated bug finding in video games: A case study for runtime monitoring")</f>
        <v>Automated bug finding in video games: A case study for runtime monitoring</v>
      </c>
      <c r="F1230" s="7" t="str">
        <f>IFERROR(__xludf.DUMMYFUNCTION("""COMPUTED_VALUE"""),"ICST")</f>
        <v>ICST</v>
      </c>
      <c r="G1230" s="7" t="str">
        <f>IFERROR(__xludf.DUMMYFUNCTION("""COMPUTED_VALUE"""),"Runtime verification is the process of observing a sequence of events generated by a running system and comparing it to some formal specification for potential violations. We show how the use of a runtime monitor can greatly speed up the testing phase of "&amp;"a video game under development, by automating the detection of bugs when the game is being played. We take advantage of the fact that a video game, contrarily to generic software, follows a special structure that contains a 'game loop', this game loop can"&amp;" be used to centralize the instrumentation and generate events based on the game's internal state. We report on experiments made on a sample of five real-world video games of various genres and sizes, by successfully incrementing and efficiently monitorin"&amp;"g various temporal properties over their execution-including actual bugs reported in the games' bug tracking database in the course of their development. © 2014 IEEE.")</f>
        <v>Runtime verification is the process of observing a sequence of events generated by a running system and comparing it to some formal specification for potential violations. We show how the use of a runtime monitor can greatly speed up the testing phase of a video game under development, by automating the detection of bugs when the game is being played. We take advantage of the fact that a video game, contrarily to generic software, follows a special structure that contains a 'game loop', this game loop can be used to centralize the instrumentation and generate events based on the game's internal state. We report on experiments made on a sample of five real-world video games of various genres and sizes, by successfully incrementing and efficiently monitoring various temporal properties over their execution-including actual bugs reported in the games' bug tracking database in the course of their development. © 2014 IEEE.</v>
      </c>
      <c r="H1230" s="7" t="str">
        <f>IFERROR(__xludf.DUMMYFUNCTION("""COMPUTED_VALUE"""),"runtime verification; temporal logic; video games")</f>
        <v>runtime verification; temporal logic; video games</v>
      </c>
      <c r="I1230" s="10" t="b">
        <v>0</v>
      </c>
      <c r="J1230" s="10" t="b">
        <v>0</v>
      </c>
      <c r="K1230" s="10" t="b">
        <v>0</v>
      </c>
      <c r="L1230" s="10" t="b">
        <v>0</v>
      </c>
      <c r="M1230" s="10" t="b">
        <v>0</v>
      </c>
      <c r="N1230" s="10" t="b">
        <v>0</v>
      </c>
      <c r="O1230" s="11" t="b">
        <f t="shared" si="1"/>
        <v>0</v>
      </c>
      <c r="P1230" s="16" t="b">
        <v>0</v>
      </c>
      <c r="Q1230" s="7"/>
    </row>
    <row r="1231">
      <c r="A1231" s="5" t="b">
        <v>1</v>
      </c>
      <c r="B1231" s="5" t="s">
        <v>1282</v>
      </c>
      <c r="C1231" s="7" t="str">
        <f>IFERROR(__xludf.DUMMYFUNCTION("""COMPUTED_VALUE"""),"10.1109/ICST.2009.44")</f>
        <v>10.1109/ICST.2009.44</v>
      </c>
      <c r="D1231" s="7" t="str">
        <f>IFERROR(__xludf.DUMMYFUNCTION("""COMPUTED_VALUE"""),"Hill J.H.; Turner H.A.; Edmondson J.R.; Schmidt D.C.")</f>
        <v>Hill J.H.; Turner H.A.; Edmondson J.R.; Schmidt D.C.</v>
      </c>
      <c r="E1231" s="7" t="str">
        <f>IFERROR(__xludf.DUMMYFUNCTION("""COMPUTED_VALUE"""),"Unit testing non-functional concerns of component-based distributed systems")</f>
        <v>Unit testing non-functional concerns of component-based distributed systems</v>
      </c>
      <c r="F1231" s="7" t="str">
        <f>IFERROR(__xludf.DUMMYFUNCTION("""COMPUTED_VALUE"""),"ICST")</f>
        <v>ICST</v>
      </c>
      <c r="G1231" s="7" t="str">
        <f>IFERROR(__xludf.DUMMYFUNCTION("""COMPUTED_VALUE"""),"Unit testing component-based distributed systems traditionally involves testing functional concerns of the application logic throughout the software lifecycle. In contrast, testing non-functional distributed system concerns (e.g., end-to-end response time"&amp;", security, and reliability) typically does not occur until system integration because it requires a complete system to perform such tests, as well as sophisticated techniques to identify and analyze performance metrics that constitute non-functional conc"&amp;"erns. Unit testing non-functional concerns is even harder in an agile development environment, due to the disconnect between high-level system specification and low-level performance metrics. This paper describes a methodology and tool called Understandin"&amp;"g Non-functional Intentions via Testing and Experimentation (UNITE). UNITE is designed to unit test nonfunctional concerns of three component-based distributed systems. The results from applying UNITE to a componentbased distributed system show how it sim"&amp;"plifies unit testing and evaluation of non-functional properties during the early stages of the software lifecycle.")</f>
        <v>Unit testing component-based distributed systems traditionally involves testing functional concerns of the application logic throughout the software lifecycle. In contrast, testing non-functional distributed system concerns (e.g., end-to-end response time, security, and reliability) typically does not occur until system integration because it requires a complete system to perform such tests, as well as sophisticated techniques to identify and analyze performance metrics that constitute non-functional concerns. Unit testing non-functional concerns is even harder in an agile development environment, due to the disconnect between high-level system specification and low-level performance metrics. This paper describes a methodology and tool called Understanding Non-functional Intentions via Testing and Experimentation (UNITE). UNITE is designed to unit test nonfunctional concerns of three component-based distributed systems. The results from applying UNITE to a componentbased distributed system show how it simplifies unit testing and evaluation of non-functional properties during the early stages of the software lifecycle.</v>
      </c>
      <c r="H1231" s="7"/>
      <c r="I1231" s="10" t="b">
        <v>0</v>
      </c>
      <c r="J1231" s="10" t="b">
        <v>0</v>
      </c>
      <c r="K1231" s="10" t="b">
        <v>0</v>
      </c>
      <c r="L1231" s="10" t="b">
        <v>0</v>
      </c>
      <c r="M1231" s="10" t="b">
        <v>0</v>
      </c>
      <c r="N1231" s="10" t="b">
        <v>0</v>
      </c>
      <c r="O1231" s="11" t="b">
        <f t="shared" si="1"/>
        <v>0</v>
      </c>
      <c r="P1231" s="16" t="b">
        <v>0</v>
      </c>
      <c r="Q1231" s="7"/>
    </row>
    <row r="1232">
      <c r="A1232" s="5" t="b">
        <v>1</v>
      </c>
      <c r="B1232" s="5" t="s">
        <v>1283</v>
      </c>
      <c r="C1232" s="7" t="str">
        <f>IFERROR(__xludf.DUMMYFUNCTION("""COMPUTED_VALUE"""),"10.1109/ICST.2010.48")</f>
        <v>10.1109/ICST.2010.48</v>
      </c>
      <c r="D1232" s="7" t="str">
        <f>IFERROR(__xludf.DUMMYFUNCTION("""COMPUTED_VALUE"""),"Jöbstl E.; Weiglhofer M.; Aichernig B.K.; Wotawa F.")</f>
        <v>Jöbstl E.; Weiglhofer M.; Aichernig B.K.; Wotawa F.</v>
      </c>
      <c r="E1232" s="7" t="str">
        <f>IFERROR(__xludf.DUMMYFUNCTION("""COMPUTED_VALUE"""),"When BDDs fail: Conformance testing with symbolic execution and SMT solving")</f>
        <v>When BDDs fail: Conformance testing with symbolic execution and SMT solving</v>
      </c>
      <c r="F1232" s="7" t="str">
        <f>IFERROR(__xludf.DUMMYFUNCTION("""COMPUTED_VALUE"""),"ICST")</f>
        <v>ICST</v>
      </c>
      <c r="G1232" s="7" t="str">
        <f>IFERROR(__xludf.DUMMYFUNCTION("""COMPUTED_VALUE"""),"Model-based testing is a well known technique that allows one to validate the correctness of software with respect to its model. If a lot of data is involved, symbolic techniques usually outperform explicit data enumeration. In this paper, we focus on a n"&amp;"ew symbolic test case generation technique. Our approach is based on symbolic execution and on satisfiability (modulo theory; SMT) solving. Our work was motivated by the complete failure of a well-known existing symbolic test case generator to produce any"&amp;" test cases for an industrial Session Initiation Protocol (SIP) implementation. Hence, we have replaced the BDD-based analysis of the existing tool with a combination of symbolic execution and SMT solving. Our new tool generates the test cases for SIP in "&amp;"seconds. However, further experiments showed that our approach is not a substitutive but a complementary approach: we present the technique and the results obtained for two protocol specifications, the first supporting our new technique, the second being "&amp;"witness for the classic BDD-technique. © 2010 IEEE.")</f>
        <v>Model-based testing is a well known technique that allows one to validate the correctness of software with respect to its model. If a lot of data is involved, symbolic techniques usually outperform explicit data enumeration. In this paper, we focus on a new symbolic test case generation technique. Our approach is based on symbolic execution and on satisfiability (modulo theory; SMT) solving. Our work was motivated by the complete failure of a well-known existing symbolic test case generator to produce any test cases for an industrial Session Initiation Protocol (SIP) implementation. Hence, we have replaced the BDD-based analysis of the existing tool with a combination of symbolic execution and SMT solving. Our new tool generates the test cases for SIP in seconds. However, further experiments showed that our approach is not a substitutive but a complementary approach: we present the technique and the results obtained for two protocol specifications, the first supporting our new technique, the second being witness for the classic BDD-technique. © 2010 IEEE.</v>
      </c>
      <c r="H1232" s="7" t="str">
        <f>IFERROR(__xludf.DUMMYFUNCTION("""COMPUTED_VALUE"""),"Conformance testing; Model-based testing; Symbolic execution; Symbolic input-output conformance; Symbolic test case generation")</f>
        <v>Conformance testing; Model-based testing; Symbolic execution; Symbolic input-output conformance; Symbolic test case generation</v>
      </c>
      <c r="I1232" s="10" t="b">
        <v>0</v>
      </c>
      <c r="J1232" s="10" t="b">
        <v>0</v>
      </c>
      <c r="K1232" s="10" t="b">
        <v>0</v>
      </c>
      <c r="L1232" s="10" t="b">
        <v>0</v>
      </c>
      <c r="M1232" s="10" t="b">
        <v>0</v>
      </c>
      <c r="N1232" s="10" t="b">
        <v>0</v>
      </c>
      <c r="O1232" s="11" t="b">
        <f t="shared" si="1"/>
        <v>0</v>
      </c>
      <c r="P1232" s="16" t="b">
        <v>0</v>
      </c>
      <c r="Q1232" s="7"/>
    </row>
    <row r="1233">
      <c r="A1233" s="5" t="b">
        <v>1</v>
      </c>
      <c r="B1233" s="5" t="s">
        <v>1284</v>
      </c>
      <c r="C1233" s="7" t="str">
        <f>IFERROR(__xludf.DUMMYFUNCTION("""COMPUTED_VALUE"""),"10.1109/ICST49551.2021.00021")</f>
        <v>10.1109/ICST49551.2021.00021</v>
      </c>
      <c r="D1233" s="7" t="str">
        <f>IFERROR(__xludf.DUMMYFUNCTION("""COMPUTED_VALUE"""),"Chaim M.L.; Baral K.; Offutt J.; Concilio M.; Araujo R.P.A.")</f>
        <v>Chaim M.L.; Baral K.; Offutt J.; Concilio M.; Araujo R.P.A.</v>
      </c>
      <c r="E1233" s="7" t="str">
        <f>IFERROR(__xludf.DUMMYFUNCTION("""COMPUTED_VALUE"""),"Efficiently Finding Data Flow Subsumptions")</f>
        <v>Efficiently Finding Data Flow Subsumptions</v>
      </c>
      <c r="F1233" s="7" t="str">
        <f>IFERROR(__xludf.DUMMYFUNCTION("""COMPUTED_VALUE"""),"ICST")</f>
        <v>ICST</v>
      </c>
      <c r="G1233" s="7" t="str">
        <f>IFERROR(__xludf.DUMMYFUNCTION("""COMPUTED_VALUE"""),"Data flow testing creates test requirements as definition-use (DU) associations, where a definition is a program location that assigns a value to a variable and a use is a location where that value is accessed. Data flow testing is expensive, largely beca"&amp;"use of the number of test requirements. Luckily, many DU-associations are redundant in the sense that if one test requirement (e.g., node, edge, DU-association) is covered, other DU-associations are guaranteed to also be covered. This relationship is call"&amp;"ed subsumption. Thus, testers can save resources by only covering DU-associations that are not subsumed by other testing requirements. Although this has the potential to significantly decrease the cost of data flow testing, finding subsumption among DU-as"&amp;"sociations is quite difficult. Previous solutions are costly and contain subtle flaws that sometimes lead to incorrect results. We model the data flow testing subsumption as a data flow analysis framework, allowing us to use efficient algorithms that quic"&amp;"kly discover data flow subsumption relationships. Experimental data suggest that the framework and algorithm can reduce the cost of data flow testing and will work at scale. © 2021 IEEE.")</f>
        <v>Data flow testing creates test requirements as definition-use (DU) associations, where a definition is a program location that assigns a value to a variable and a use is a location where that value is accessed. Data flow testing is expensive, largely because of the number of test requirements. Luckily, many DU-associations are redundant in the sense that if one test requirement (e.g., node, edge, DU-association) is covered, other DU-associations are guaranteed to also be covered. This relationship is called subsumption. Thus, testers can save resources by only covering DU-associations that are not subsumed by other testing requirements. Although this has the potential to significantly decrease the cost of data flow testing, finding subsumption among DU-associations is quite difficult. Previous solutions are costly and contain subtle flaws that sometimes lead to incorrect results. We model the data flow testing subsumption as a data flow analysis framework, allowing us to use efficient algorithms that quickly discover data flow subsumption relationships. Experimental data suggest that the framework and algorithm can reduce the cost of data flow testing and will work at scale. © 2021 IEEE.</v>
      </c>
      <c r="H1233" s="7" t="str">
        <f>IFERROR(__xludf.DUMMYFUNCTION("""COMPUTED_VALUE"""),"Algorithms; Data flow analysis frame-works; Data flow testing; Software testing; Structural testing; Subsumption relationship")</f>
        <v>Algorithms; Data flow analysis frame-works; Data flow testing; Software testing; Structural testing; Subsumption relationship</v>
      </c>
      <c r="I1233" s="10" t="b">
        <v>0</v>
      </c>
      <c r="J1233" s="10" t="b">
        <v>0</v>
      </c>
      <c r="K1233" s="10" t="b">
        <v>0</v>
      </c>
      <c r="L1233" s="10" t="b">
        <v>0</v>
      </c>
      <c r="M1233" s="10" t="b">
        <v>0</v>
      </c>
      <c r="N1233" s="10" t="b">
        <v>0</v>
      </c>
      <c r="O1233" s="11" t="b">
        <f t="shared" si="1"/>
        <v>0</v>
      </c>
      <c r="P1233" s="16" t="b">
        <v>0</v>
      </c>
      <c r="Q1233" s="7"/>
    </row>
    <row r="1234">
      <c r="A1234" s="5" t="b">
        <v>1</v>
      </c>
      <c r="B1234" s="5" t="s">
        <v>1285</v>
      </c>
      <c r="C1234" s="7" t="str">
        <f>IFERROR(__xludf.DUMMYFUNCTION("""COMPUTED_VALUE"""),"10.1109/ICST.2009.48")</f>
        <v>10.1109/ICST.2009.48</v>
      </c>
      <c r="D1234" s="7" t="str">
        <f>IFERROR(__xludf.DUMMYFUNCTION("""COMPUTED_VALUE"""),"Siddiqui J.H.; Khurshid S.")</f>
        <v>Siddiqui J.H.; Khurshid S.</v>
      </c>
      <c r="E1234" s="7" t="str">
        <f>IFERROR(__xludf.DUMMYFUNCTION("""COMPUTED_VALUE"""),"PKorat: Parallel generation of structurally complex test inputs")</f>
        <v>PKorat: Parallel generation of structurally complex test inputs</v>
      </c>
      <c r="F1234" s="7" t="str">
        <f>IFERROR(__xludf.DUMMYFUNCTION("""COMPUTED_VALUE"""),"ICST")</f>
        <v>ICST</v>
      </c>
      <c r="G1234" s="7" t="str">
        <f>IFERROR(__xludf.DUMMYFUNCTION("""COMPUTED_VALUE"""),"Constraint solving lies at the heart of several specification-based approaches to automated testing. Korat is a previously developed algorithm for solving constraints in Java programs. Given a Java predicate that represents the desired constraints and a b"&amp;"ound on the input size, Korat systematically explores the bounded input space of the predicate and enumerates inputs that satisfy the constraint. Korat search is largely sequential: it considers one candidate input in each iteration and it prunes the sear"&amp;"ch space based on the candidates considered. This paper presents PKorat, a new parallel algorithm that parallelizes the Korat search. PKorat explores the same state space as Korat but considers several candidates in each iteration. These candidates are di"&amp;"stributed among parallel workers resulting in an efficient parallel version of Korat. Experimental results using complex structural constraints from a variety of subject programs show significant speedups over the traditional Korat search.")</f>
        <v>Constraint solving lies at the heart of several specification-based approaches to automated testing. Korat is a previously developed algorithm for solving constraints in Java programs. Given a Java predicate that represents the desired constraints and a bound on the input size, Korat systematically explores the bounded input space of the predicate and enumerates inputs that satisfy the constraint. Korat search is largely sequential: it considers one candidate input in each iteration and it prunes the search space based on the candidates considered. This paper presents PKorat, a new parallel algorithm that parallelizes the Korat search. PKorat explores the same state space as Korat but considers several candidates in each iteration. These candidates are distributed among parallel workers resulting in an efficient parallel version of Korat. Experimental results using complex structural constraints from a variety of subject programs show significant speedups over the traditional Korat search.</v>
      </c>
      <c r="H1234" s="7"/>
      <c r="I1234" s="10" t="b">
        <v>0</v>
      </c>
      <c r="J1234" s="10" t="b">
        <v>0</v>
      </c>
      <c r="K1234" s="10" t="b">
        <v>0</v>
      </c>
      <c r="L1234" s="10" t="b">
        <v>0</v>
      </c>
      <c r="M1234" s="10" t="b">
        <v>0</v>
      </c>
      <c r="N1234" s="10" t="b">
        <v>0</v>
      </c>
      <c r="O1234" s="11" t="b">
        <f t="shared" si="1"/>
        <v>0</v>
      </c>
      <c r="P1234" s="16" t="b">
        <v>0</v>
      </c>
      <c r="Q1234" s="7"/>
    </row>
    <row r="1235">
      <c r="A1235" s="5" t="b">
        <v>1</v>
      </c>
      <c r="B1235" s="5" t="s">
        <v>1286</v>
      </c>
      <c r="C1235" s="7"/>
      <c r="D1235" s="7" t="str">
        <f>IFERROR(__xludf.DUMMYFUNCTION("""COMPUTED_VALUE"""),"Hamlet Dick")</f>
        <v>Hamlet Dick</v>
      </c>
      <c r="E1235" s="7" t="str">
        <f>IFERROR(__xludf.DUMMYFUNCTION("""COMPUTED_VALUE"""),"Connection test coverage to software dependability")</f>
        <v>Connection test coverage to software dependability</v>
      </c>
      <c r="F1235" s="7" t="str">
        <f>IFERROR(__xludf.DUMMYFUNCTION("""COMPUTED_VALUE"""),"ISSRE")</f>
        <v>ISSRE</v>
      </c>
      <c r="G1235" s="7" t="str">
        <f>IFERROR(__xludf.DUMMYFUNCTION("""COMPUTED_VALUE"""),"It is widely felt that software quality, in the form of reliability or 'trustworthiness,' can be demonstrated by the successful completion of testing that 'covers' the software. However, this intuition has little experimental or theoretical support. This "&amp;"paper considers why the intuition is so powerful and yet misleading. Formal definitions of software 'dependability' are suggested, along with new approaches for measuring this analog of trustworthiness.")</f>
        <v>It is widely felt that software quality, in the form of reliability or 'trustworthiness,' can be demonstrated by the successful completion of testing that 'covers' the software. However, this intuition has little experimental or theoretical support. This paper considers why the intuition is so powerful and yet misleading. Formal definitions of software 'dependability' are suggested, along with new approaches for measuring this analog of trustworthiness.</v>
      </c>
      <c r="H1235" s="7"/>
      <c r="I1235" s="10" t="b">
        <v>0</v>
      </c>
      <c r="J1235" s="10" t="b">
        <v>0</v>
      </c>
      <c r="K1235" s="10" t="b">
        <v>0</v>
      </c>
      <c r="L1235" s="10" t="b">
        <v>0</v>
      </c>
      <c r="M1235" s="10" t="b">
        <v>0</v>
      </c>
      <c r="N1235" s="10" t="b">
        <v>0</v>
      </c>
      <c r="O1235" s="11" t="b">
        <f t="shared" si="1"/>
        <v>0</v>
      </c>
      <c r="P1235" s="16" t="b">
        <v>0</v>
      </c>
      <c r="Q1235" s="7"/>
    </row>
    <row r="1236">
      <c r="A1236" s="5" t="b">
        <v>1</v>
      </c>
      <c r="B1236" s="5" t="s">
        <v>1287</v>
      </c>
      <c r="C1236" s="7" t="str">
        <f>IFERROR(__xludf.DUMMYFUNCTION("""COMPUTED_VALUE"""),"10.1109/ISSRE.2013.6698905")</f>
        <v>10.1109/ISSRE.2013.6698905</v>
      </c>
      <c r="D1236" s="7" t="str">
        <f>IFERROR(__xludf.DUMMYFUNCTION("""COMPUTED_VALUE"""),"Bovenzi A.; Alonso J.; Yamada H.; Russo S.; Trivedi K.S.")</f>
        <v>Bovenzi A.; Alonso J.; Yamada H.; Russo S.; Trivedi K.S.</v>
      </c>
      <c r="E1236" s="7" t="str">
        <f>IFERROR(__xludf.DUMMYFUNCTION("""COMPUTED_VALUE"""),"Towards fast OS rejuvenation: An experimental evaluation of fast OS reboot techniques")</f>
        <v>Towards fast OS rejuvenation: An experimental evaluation of fast OS reboot techniques</v>
      </c>
      <c r="F1236" s="7" t="str">
        <f>IFERROR(__xludf.DUMMYFUNCTION("""COMPUTED_VALUE"""),"ISSRE")</f>
        <v>ISSRE</v>
      </c>
      <c r="G1236" s="7" t="str">
        <f>IFERROR(__xludf.DUMMYFUNCTION("""COMPUTED_VALUE"""),"Continuous or high availability is a key requirement for many modern IT systems. Computer operating systems play an important role in IT systems availability. Due to the complexity of their architecture, they are prone to suffer failures due to several ty"&amp;"pes of software faults. Software aging causes a nonnegligible fraction of these failures. It leads to an accumulation of errors with time, increasing the system failure rate. This phenomenon can be accompanied by performance degradation and eventually sys"&amp;"tem hang or even crash. As a countermeasure, software rejuvenation entails stopping the system, cleaning its internal state, and resuming its operation. This process usually incurs downtime. For an operating system, the downtime impacts any application ru"&amp;"nning on top of it. Several solutions have been developed to speed up the boot time of operating systems in order to reduce the downtime overhead. We present a study of two fast OS reboot techniques for rejuvenation of Linux-based operating systems, namel"&amp;"y Kexec and Phase-based reboot. The study measures the performance penalty they introduce and the gain in reduction of downtime overhead. The results reveal that the Kexec and Phase-based reboot have no statistically significant impact in terms of perform"&amp;"ance penalty from the user perspective. However, they may require extra resource (e.g., CPU) usage. The downtime overhead reduction, compared with normal Linux and VM reboots, is 77% and 79% in Kexec and Phase-based reboot, respectively. © 2013 IEEE.")</f>
        <v>Continuous or high availability is a key requirement for many modern IT systems. Computer operating systems play an important role in IT systems availability. Due to the complexity of their architecture, they are prone to suffer failures due to several types of software faults. Software aging causes a nonnegligible fraction of these failures. It leads to an accumulation of errors with time, increasing the system failure rate. This phenomenon can be accompanied by performance degradation and eventually system hang or even crash. As a countermeasure, software rejuvenation entails stopping the system, cleaning its internal state, and resuming its operation. This process usually incurs downtime. For an operating system, the downtime impacts any application running on top of it. Several solutions have been developed to speed up the boot time of operating systems in order to reduce the downtime overhead. We present a study of two fast OS reboot techniques for rejuvenation of Linux-based operating systems, namely Kexec and Phase-based reboot. The study measures the performance penalty they introduce and the gain in reduction of downtime overhead. The results reveal that the Kexec and Phase-based reboot have no statistically significant impact in terms of performance penalty from the user perspective. However, they may require extra resource (e.g., CPU) usage. The downtime overhead reduction, compared with normal Linux and VM reboots, is 77% and 79% in Kexec and Phase-based reboot, respectively. © 2013 IEEE.</v>
      </c>
      <c r="H1236" s="7"/>
      <c r="I1236" s="10" t="b">
        <v>0</v>
      </c>
      <c r="J1236" s="10" t="b">
        <v>0</v>
      </c>
      <c r="K1236" s="10" t="b">
        <v>0</v>
      </c>
      <c r="L1236" s="10" t="b">
        <v>0</v>
      </c>
      <c r="M1236" s="10" t="b">
        <v>0</v>
      </c>
      <c r="N1236" s="10" t="b">
        <v>0</v>
      </c>
      <c r="O1236" s="11" t="b">
        <f t="shared" si="1"/>
        <v>0</v>
      </c>
      <c r="P1236" s="16" t="b">
        <v>0</v>
      </c>
      <c r="Q1236" s="7"/>
    </row>
    <row r="1237">
      <c r="A1237" s="5" t="b">
        <v>1</v>
      </c>
      <c r="B1237" s="5" t="s">
        <v>1288</v>
      </c>
      <c r="C1237" s="7" t="str">
        <f>IFERROR(__xludf.DUMMYFUNCTION("""COMPUTED_VALUE"""),"10.1109/ISSRE.2016.11")</f>
        <v>10.1109/ISSRE.2016.11</v>
      </c>
      <c r="D1237" s="7" t="str">
        <f>IFERROR(__xludf.DUMMYFUNCTION("""COMPUTED_VALUE"""),"Zhang F.; Khoo S.-C.; Su X.")</f>
        <v>Zhang F.; Khoo S.-C.; Su X.</v>
      </c>
      <c r="E1237" s="7" t="str">
        <f>IFERROR(__xludf.DUMMYFUNCTION("""COMPUTED_VALUE"""),"Predicting Consistent Clone Change")</f>
        <v>Predicting Consistent Clone Change</v>
      </c>
      <c r="F1237" s="7" t="str">
        <f>IFERROR(__xludf.DUMMYFUNCTION("""COMPUTED_VALUE"""),"ISSRE")</f>
        <v>ISSRE</v>
      </c>
      <c r="G1237" s="7" t="str">
        <f>IFERROR(__xludf.DUMMYFUNCTION("""COMPUTED_VALUE"""),"Code clones, being an inevitable by-product of rapid software development, can impact software quality. The introduction of code clone groups and clone genealogies enable software developers to be aware of the presence of and changes to clones as a collec"&amp;"tive group, they also allow developers to understand how clone groups evolve throughout software life cycle. Due to similarity in codes within a clone group, a change in one piece of the code may require developers to make changes to other clones in the g"&amp;"roup. Failure in making consistent change to a clone group when necessary is commonly known as 'clone consistency-defect', which can adversely impact software reliability. We propose an approach to predict clone consistency-requirement at the time when ch"&amp;"anges have been made to a clone group. Our predictor is a Bayesian network implemented in WEKA. We build a variant of clone genealogies to collect all consistent/inconsistent changes to clone groups, and extract three sets of attributes from clone groups "&amp;"as input for predicting consistent clone change. These three sets are: code attributes, context attributes and evolution attributes. We conduct experiments on three open source projects. These experiments show that our approach has high precision and reca"&amp;"ll in predicting clone consistency-requirement. This holistic approach can aid developers in maintaining code clone changes, and avoid potential clone consistency-defect, which can improve the software quality and reliability. © 2016 IEEE.")</f>
        <v>Code clones, being an inevitable by-product of rapid software development, can impact software quality. The introduction of code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changes to other clones in the group. Failure in making consistent change to a clone group when necessary is commonly known as 'clone consistency-defect', which can adversely impact software reliability. We propose an approach to predict clone consistency-requirement at the time when changes have been made to a clone group. Our predictor is a Bayesian network implemented in WEKA. We build a variant of clone genealogies to collect all consistent/inconsistent changes to clone groups, and extract three sets of attributes from clone groups as input for predicting consistent clone change. These three sets are: code attributes, context attributes and evolution attributes. We conduct experiments on three open source projects. These experiments show that our approach has high precision and recall in predicting clone consistency-requirement. This holistic approach can aid developers in maintaining code clone changes, and avoid potential clone consistency-defect, which can improve the software quality and reliability. © 2016 IEEE.</v>
      </c>
      <c r="H1237" s="7" t="str">
        <f>IFERROR(__xludf.DUMMYFUNCTION("""COMPUTED_VALUE"""),"Bayesian network; clone attributes; clone maintenance; code clones; consistency-requirement prediction; Software quality")</f>
        <v>Bayesian network; clone attributes; clone maintenance; code clones; consistency-requirement prediction; Software quality</v>
      </c>
      <c r="I1237" s="10" t="b">
        <v>0</v>
      </c>
      <c r="J1237" s="10" t="b">
        <v>0</v>
      </c>
      <c r="K1237" s="10" t="b">
        <v>0</v>
      </c>
      <c r="L1237" s="10" t="b">
        <v>0</v>
      </c>
      <c r="M1237" s="10" t="b">
        <v>0</v>
      </c>
      <c r="N1237" s="10" t="b">
        <v>0</v>
      </c>
      <c r="O1237" s="11" t="b">
        <f t="shared" si="1"/>
        <v>0</v>
      </c>
      <c r="P1237" s="16" t="b">
        <v>0</v>
      </c>
      <c r="Q1237" s="7"/>
    </row>
    <row r="1238">
      <c r="A1238" s="5" t="b">
        <v>1</v>
      </c>
      <c r="B1238" s="5" t="s">
        <v>1289</v>
      </c>
      <c r="C1238" s="7" t="str">
        <f>IFERROR(__xludf.DUMMYFUNCTION("""COMPUTED_VALUE"""),"10.1109/ISSRE.2018.00034")</f>
        <v>10.1109/ISSRE.2018.00034</v>
      </c>
      <c r="D1238" s="7" t="str">
        <f>IFERROR(__xludf.DUMMYFUNCTION("""COMPUTED_VALUE"""),"Zhao D.; Hu X.; Tian J.; Xiong S.; Xiang J.")</f>
        <v>Zhao D.; Hu X.; Tian J.; Xiong S.; Xiang J.</v>
      </c>
      <c r="E1238" s="7" t="str">
        <f>IFERROR(__xludf.DUMMYFUNCTION("""COMPUTED_VALUE"""),"Iris Template Protection Based on Randomized Response Technique and Aggregated Block Information")</f>
        <v>Iris Template Protection Based on Randomized Response Technique and Aggregated Block Information</v>
      </c>
      <c r="F1238" s="7" t="str">
        <f>IFERROR(__xludf.DUMMYFUNCTION("""COMPUTED_VALUE"""),"ISSRE")</f>
        <v>ISSRE</v>
      </c>
      <c r="G1238" s="7" t="str">
        <f>IFERROR(__xludf.DUMMYFUNCTION("""COMPUTED_VALUE"""),"Nowadays, biometric recognition has been widely used in real-world applications, but it has also brought potential privacy threats to users. Iris template protection enables an effective iris recognition while protecting personal privacy. In this paper, w"&amp;"e propose a method for iris template protection based on randomized response technique and aggregated block information. Specifically, the iris data are first permuted according to an application-specific parameter; next, the permuted data are flipped usi"&amp;"ng the randomized response technique; finally, the result is divided into blocks, and the aggregated information (i.e., the sum of all bits) in each block is calculated and stored instead of original iris data for privacy protection. We demonstrate that t"&amp;"he proposed method supports the shifting and masking strategies for enhancing recognition performance. Moreover, the proposed method satisfies the three privacy requirements prescribed in ISO/IEC 24745: irreversibility, revocability and unlinkability. Exp"&amp;"erimental results show that the proposed method could effectively maintain the recognition performance (w.r.t. the original iris recognition system without privacy protection) on the iris database CASIA-IrisV3-Interval. © 2018 IEEE.")</f>
        <v>Nowadays, biometric recognition has been widely used in real-world applications, but it has also brought potential privacy threats to users. Iris template protection enables an effective iris recognition while protecting personal privacy. In this paper, we propose a method for iris template protection based on randomized response technique and aggregated block information. Specifically, the iris data are first permuted according to an application-specific parameter; next, the permuted data are flipped using the randomized response technique; finally, the result is divided into blocks, and the aggregated information (i.e., the sum of all bits) in each block is calculated and stored instead of original iris data for privacy protection. We demonstrate that the proposed method supports the shifting and masking strategies for enhancing recognition performance. Moreover, the proposed method satisfies the three privacy requirements prescribed in ISO/IEC 24745: irreversibility, revocability and unlinkability. Experimental results show that the proposed method could effectively maintain the recognition performance (w.r.t. the original iris recognition system without privacy protection) on the iris database CASIA-IrisV3-Interval. © 2018 IEEE.</v>
      </c>
      <c r="H1238" s="7" t="str">
        <f>IFERROR(__xludf.DUMMYFUNCTION("""COMPUTED_VALUE"""),"Iris Recognition; Iris template protection; Privacy protection; Randomized response technique")</f>
        <v>Iris Recognition; Iris template protection; Privacy protection; Randomized response technique</v>
      </c>
      <c r="I1238" s="10" t="b">
        <v>0</v>
      </c>
      <c r="J1238" s="10" t="b">
        <v>0</v>
      </c>
      <c r="K1238" s="10" t="b">
        <v>0</v>
      </c>
      <c r="L1238" s="10" t="b">
        <v>0</v>
      </c>
      <c r="M1238" s="10" t="b">
        <v>0</v>
      </c>
      <c r="N1238" s="10" t="b">
        <v>0</v>
      </c>
      <c r="O1238" s="11" t="b">
        <f t="shared" si="1"/>
        <v>0</v>
      </c>
      <c r="P1238" s="16" t="b">
        <v>0</v>
      </c>
      <c r="Q1238" s="7"/>
    </row>
    <row r="1239">
      <c r="A1239" s="5" t="b">
        <v>1</v>
      </c>
      <c r="B1239" s="5" t="s">
        <v>1290</v>
      </c>
      <c r="C1239" s="7"/>
      <c r="D1239" s="7" t="str">
        <f>IFERROR(__xludf.DUMMYFUNCTION("""COMPUTED_VALUE"""),"Wadekar Suhrid A.; Gokhale Swapna S.")</f>
        <v>Wadekar Suhrid A.; Gokhale Swapna S.</v>
      </c>
      <c r="E1239" s="7" t="str">
        <f>IFERROR(__xludf.DUMMYFUNCTION("""COMPUTED_VALUE"""),"Exploring cost and reliability tradeoffs in architectural alternatives using a genetic algorithm")</f>
        <v>Exploring cost and reliability tradeoffs in architectural alternatives using a genetic algorithm</v>
      </c>
      <c r="F1239" s="7" t="str">
        <f>IFERROR(__xludf.DUMMYFUNCTION("""COMPUTED_VALUE"""),"ISSRE")</f>
        <v>ISSRE</v>
      </c>
      <c r="G1239" s="7" t="str">
        <f>IFERROR(__xludf.DUMMYFUNCTION("""COMPUTED_VALUE"""),"The shifting trends in software systems from custom, built to specification, and homogeneous to object oriented and component based have necessitated the development of new approaches for their analysis and evaluation. Correspondingly, the last few years "&amp;"have seen a number of architecture-based techniques employing analytical methods, simulation, and experimentation to characterize the behavior of such systems. Whereas most of the previously reported efforts were focused on the evaluation of software syst"&amp;"ems using architecture-based techniques, the utility of these techniques in the design phase to evaluate a set of competing alternatives remains largely unexplored. In this paper we develop an optimization framework founded on the architecture-based analy"&amp;"sis techniques, and describe how the framework can be used to evaluate cost and reliability tradeoffs using a genetic algorithm. The choice of genetic algorithms as the underlying optimization technique is motivated by three facts, namely, a potentially l"&amp;"arge and discontinuous search space, usually nonlinear but monotonic relation between the cost and reliability of individual modules comprising the software, and complex software architectures giving rise to nonlinear dependencies between individual modul"&amp;"e reliabilities and the overall system reliability. We conclude the paper by illustrating the framework with several examples.")</f>
        <v>The shifting trends in software systems from custom, built to specification, and homogeneous to object oriented and component based have necessitated the development of new approaches for their analysis and evaluation. Correspondingly, the last few years have seen a number of architecture-based techniques employing analytical methods, simulation, and experimentation to characterize the behavior of such systems. Whereas most of the previously reported efforts were focused on the evaluation of software systems using architecture-based techniques, the utility of these techniques in the design phase to evaluate a set of competing alternatives remains largely unexplored. In this paper we develop an optimization framework founded on the architecture-based analysis techniques, and describe how the framework can be used to evaluate cost and reliability tradeoffs using a genetic algorithm. The choice of genetic algorithms as the underlying optimization technique is motivated by three facts, namely, a potentially large and discontinuous search space, usually nonlinear but monotonic relation between the cost and reliability of individual modules comprising the software, and complex software architectures giving rise to nonlinear dependencies between individual module reliabilities and the overall system reliability. We conclude the paper by illustrating the framework with several examples.</v>
      </c>
      <c r="H1239" s="7"/>
      <c r="I1239" s="10" t="b">
        <v>0</v>
      </c>
      <c r="J1239" s="10" t="b">
        <v>0</v>
      </c>
      <c r="K1239" s="10" t="b">
        <v>0</v>
      </c>
      <c r="L1239" s="10" t="b">
        <v>0</v>
      </c>
      <c r="M1239" s="10" t="b">
        <v>0</v>
      </c>
      <c r="N1239" s="10" t="b">
        <v>0</v>
      </c>
      <c r="O1239" s="11" t="b">
        <f t="shared" si="1"/>
        <v>0</v>
      </c>
      <c r="P1239" s="16" t="b">
        <v>0</v>
      </c>
      <c r="Q1239" s="7"/>
    </row>
    <row r="1240">
      <c r="A1240" s="5" t="b">
        <v>1</v>
      </c>
      <c r="B1240" s="5" t="s">
        <v>1291</v>
      </c>
      <c r="C1240" s="7" t="str">
        <f>IFERROR(__xludf.DUMMYFUNCTION("""COMPUTED_VALUE"""),"10.1109/issre.2004.16")</f>
        <v>10.1109/issre.2004.16</v>
      </c>
      <c r="D1240" s="7" t="str">
        <f>IFERROR(__xludf.DUMMYFUNCTION("""COMPUTED_VALUE"""),"Lussier G.; Waeselynck H.")</f>
        <v>Lussier G.; Waeselynck H.</v>
      </c>
      <c r="E1240" s="7" t="str">
        <f>IFERROR(__xludf.DUMMYFUNCTION("""COMPUTED_VALUE"""),"Deriving test sets from partial proofs")</f>
        <v>Deriving test sets from partial proofs</v>
      </c>
      <c r="F1240" s="7" t="str">
        <f>IFERROR(__xludf.DUMMYFUNCTION("""COMPUTED_VALUE"""),"ISSRE")</f>
        <v>ISSRE</v>
      </c>
      <c r="G1240" s="7" t="str">
        <f>IFERROR(__xludf.DUMMYFUNCTION("""COMPUTED_VALUE"""),"Proof-guided testing is intended to enhance the test design with information extracted from the argument for correctness. The target application field is the verification of fault-tolerance algorithms where a complete formal proof is not available. Ideall"&amp;"y, testing should be focused on the pending parts of the proof. The approach is experimentally assessed using the example of a group membership protocol (GMP), a complete proof of which has been developed by others in the PVS environment. In order to obta"&amp;"in a partial proof example, we proceed to flaw insertion into the PVS specification. Test selection criteria are then derived from the analysis of the reconstructed (now partial) proof. Their efficiency for revealing the flaw is experimentally assessed, y"&amp;"ielding encouraging results. © 2004 IEEE.")</f>
        <v>Proof-guided testing is intended to enhance the test design with information extracted from the argument for correctness. The target application field is the verification of fault-tolerance algorithms where a complete formal proof is not available. Ideally, testing should be focused on the pending parts of the proof. The approach is experimentally assessed using the example of a group membership protocol (GMP), a complete proof of which has been developed by others in the PVS environment. In order to obtain a partial proof example, we proceed to flaw insertion into the PVS specification. Test selection criteria are then derived from the analysis of the reconstructed (now partial) proof. Their efficiency for revealing the flaw is experimentally assessed, yielding encouraging results. © 2004 IEEE.</v>
      </c>
      <c r="H1240" s="7"/>
      <c r="I1240" s="10" t="b">
        <v>0</v>
      </c>
      <c r="J1240" s="10" t="b">
        <v>0</v>
      </c>
      <c r="K1240" s="10" t="b">
        <v>0</v>
      </c>
      <c r="L1240" s="10" t="b">
        <v>0</v>
      </c>
      <c r="M1240" s="10" t="b">
        <v>0</v>
      </c>
      <c r="N1240" s="10" t="b">
        <v>0</v>
      </c>
      <c r="O1240" s="11" t="b">
        <f t="shared" si="1"/>
        <v>0</v>
      </c>
      <c r="P1240" s="16" t="b">
        <v>0</v>
      </c>
      <c r="Q1240" s="7"/>
    </row>
    <row r="1241">
      <c r="A1241" s="5" t="b">
        <v>1</v>
      </c>
      <c r="B1241" s="5" t="s">
        <v>1292</v>
      </c>
      <c r="C1241" s="7" t="str">
        <f>IFERROR(__xludf.DUMMYFUNCTION("""COMPUTED_VALUE"""),"10.1109/ISSRE.2015.7381819")</f>
        <v>10.1109/ISSRE.2015.7381819</v>
      </c>
      <c r="D1241" s="7" t="str">
        <f>IFERROR(__xludf.DUMMYFUNCTION("""COMPUTED_VALUE"""),"Amorim L.; Costa E.; Antunes N.; Fonseca B.; Ribeiro M.")</f>
        <v>Amorim L.; Costa E.; Antunes N.; Fonseca B.; Ribeiro M.</v>
      </c>
      <c r="E1241" s="7" t="str">
        <f>IFERROR(__xludf.DUMMYFUNCTION("""COMPUTED_VALUE"""),"Experience report: Evaluating the effectiveness of decision trees for detecting code smells")</f>
        <v>Experience report: Evaluating the effectiveness of decision trees for detecting code smells</v>
      </c>
      <c r="F1241" s="7" t="str">
        <f>IFERROR(__xludf.DUMMYFUNCTION("""COMPUTED_VALUE"""),"ISSRE")</f>
        <v>ISSRE</v>
      </c>
      <c r="G1241" s="7" t="str">
        <f>IFERROR(__xludf.DUMMYFUNCTION("""COMPUTED_VALUE"""),"Developers continuously maintain software systems to adapt to new requirements and to fix bugs. Due to the complexity of maintenance tasks and the time-to-market, developers make poor implementation choices, also known as code smells. Studies indicate tha"&amp;"t code smells hinder comprehensibility, and possibly increase change- and fault-proneness. Therefore, they must be identified to enable the application of corrections. The challenge is that the inaccurate definitions of code smells make developers disagre"&amp;"e whether a piece of code is a smell or not, consequently, making difficult creation of a universal detection solution able to recognize smells in different software projects. Several works have been proposed to identify code smells but they still report "&amp;"inaccurate results and use techniques that do not present to developers a comprehensive explanation how these results have been obtained. In this experimental report we study the effectiveness of the Decision Tree algorithm to recognize code smells. For t"&amp;"his, it was applied in a dataset containing 4 open source projects and the results were compared with the manual oracle, with existing detection approaches and with other machine learning algorithms. The results showed that the approach was able to effect"&amp;"ively learn rules for the detection of the code smells studied. The results were even better when genetic algorithms are used to pre-select the metrics to use. © 2015 IEEE.")</f>
        <v>Developers continuously maintain software systems to adapt to new requirements and to fix bugs. Due to the complexity of maintenance tasks and the time-to-market, developers make poor implementation choices, also known as code smells. Studies indicate that code smells hinder comprehensibility, and possibly increase change- and fault-proneness. Therefore, they must be identified to enable the application of corrections. The challenge is that the inaccurate definitions of code smells make developers disagree whether a piece of code is a smell or not, consequently, making difficult creation of a universal detection solution able to recognize smells in different software projects. Several works have been proposed to identify code smells but they still report inaccurate results and use techniques that do not present to developers a comprehensive explanation how these results have been obtained. In this experimental report we study the effectiveness of the Decision Tree algorithm to recognize code smells. For this, it was applied in a dataset containing 4 open source projects and the results were compared with the manual oracle, with existing detection approaches and with other machine learning algorithms. The results showed that the approach was able to effectively learn rules for the detection of the code smells studied. The results were even better when genetic algorithms are used to pre-select the metrics to use. © 2015 IEEE.</v>
      </c>
      <c r="H1241" s="7" t="str">
        <f>IFERROR(__xludf.DUMMYFUNCTION("""COMPUTED_VALUE"""),"Code Smells; Decision Tree; Genetic Algorithm; Software Quality")</f>
        <v>Code Smells; Decision Tree; Genetic Algorithm; Software Quality</v>
      </c>
      <c r="I1241" s="10" t="b">
        <v>0</v>
      </c>
      <c r="J1241" s="10" t="b">
        <v>0</v>
      </c>
      <c r="K1241" s="10" t="b">
        <v>0</v>
      </c>
      <c r="L1241" s="10" t="b">
        <v>0</v>
      </c>
      <c r="M1241" s="10" t="b">
        <v>0</v>
      </c>
      <c r="N1241" s="10" t="b">
        <v>0</v>
      </c>
      <c r="O1241" s="11" t="b">
        <f t="shared" si="1"/>
        <v>0</v>
      </c>
      <c r="P1241" s="16" t="b">
        <v>0</v>
      </c>
      <c r="Q1241" s="7"/>
    </row>
    <row r="1242">
      <c r="A1242" s="5" t="b">
        <v>1</v>
      </c>
      <c r="B1242" s="5" t="s">
        <v>1293</v>
      </c>
      <c r="C1242" s="7" t="str">
        <f>IFERROR(__xludf.DUMMYFUNCTION("""COMPUTED_VALUE"""),"10.1109/ISSRE.1991.145368")</f>
        <v>10.1109/ISSRE.1991.145368</v>
      </c>
      <c r="D1242" s="7" t="str">
        <f>IFERROR(__xludf.DUMMYFUNCTION("""COMPUTED_VALUE"""),"Goel A.L.; Sahoo S.N.")</f>
        <v>Goel A.L.; Sahoo S.N.</v>
      </c>
      <c r="E1242" s="7" t="str">
        <f>IFERROR(__xludf.DUMMYFUNCTION("""COMPUTED_VALUE"""),"Formal specifications and reliability: An experimental study")</f>
        <v>Formal specifications and reliability: An experimental study</v>
      </c>
      <c r="F1242" s="7" t="str">
        <f>IFERROR(__xludf.DUMMYFUNCTION("""COMPUTED_VALUE"""),"ISSRE")</f>
        <v>ISSRE</v>
      </c>
      <c r="G1242" s="7" t="str">
        <f>IFERROR(__xludf.DUMMYFUNCTION("""COMPUTED_VALUE"""),"An experimental study was undertaken to assess the improvement in program quality by using formal specifications. Specifications in the Z notation were developed for a simple but realistic anti-missile system. These specifications were then used to develo"&amp;"p two versions in C by two programmers. Another set of three versions in Ada were independently developed from informal specifications in English. A comparison of the reliability of the resulting programs suggests the advantages of using formal specificat"&amp;"ions in terms of number of errors detected. Also, several errors that have been known to occur in earlier experiments dealing with this system were avoided by the use of formal specifications. © 1991 IEEE.")</f>
        <v>An experimental study was undertaken to assess the improvement in program quality by using formal specifications. Specifications in the Z notation were developed for a simple but realistic anti-missile system. These specifications were then used to develop two versions in C by two programmers. Another set of three versions in Ada were independently developed from informal specifications in English. A comparison of the reliability of the resulting programs suggests the advantages of using formal specifications in terms of number of errors detected. Also, several errors that have been known to occur in earlier experiments dealing with this system were avoided by the use of formal specifications. © 1991 IEEE.</v>
      </c>
      <c r="H1242" s="7"/>
      <c r="I1242" s="9" t="b">
        <v>1</v>
      </c>
      <c r="J1242" s="9" t="b">
        <v>1</v>
      </c>
      <c r="K1242" s="9" t="b">
        <v>1</v>
      </c>
      <c r="L1242" s="10" t="b">
        <v>0</v>
      </c>
      <c r="M1242" s="10" t="b">
        <v>0</v>
      </c>
      <c r="N1242" s="10" t="b">
        <v>0</v>
      </c>
      <c r="O1242" s="11" t="b">
        <f t="shared" si="1"/>
        <v>1</v>
      </c>
      <c r="P1242" s="16" t="b">
        <v>0</v>
      </c>
      <c r="Q1242" s="7"/>
    </row>
    <row r="1243">
      <c r="A1243" s="5" t="b">
        <v>1</v>
      </c>
      <c r="B1243" s="5" t="s">
        <v>1294</v>
      </c>
      <c r="C1243" s="7" t="str">
        <f>IFERROR(__xludf.DUMMYFUNCTION("""COMPUTED_VALUE"""),"10.1109/ISSRE.2008.9")</f>
        <v>10.1109/ISSRE.2008.9</v>
      </c>
      <c r="D1243" s="7" t="str">
        <f>IFERROR(__xludf.DUMMYFUNCTION("""COMPUTED_VALUE"""),"Araujo W.; Briand L.; Labiche Y.")</f>
        <v>Araujo W.; Briand L.; Labiche Y.</v>
      </c>
      <c r="E1243" s="7" t="str">
        <f>IFERROR(__xludf.DUMMYFUNCTION("""COMPUTED_VALUE"""),"Concurrent contracts for java in JML")</f>
        <v>Concurrent contracts for java in JML</v>
      </c>
      <c r="F1243" s="7" t="str">
        <f>IFERROR(__xludf.DUMMYFUNCTION("""COMPUTED_VALUE"""),"ISSRE")</f>
        <v>ISSRE</v>
      </c>
      <c r="G1243" s="7" t="str">
        <f>IFERROR(__xludf.DUMMYFUNCTION("""COMPUTED_VALUE"""),"Design by Contract (DbC) is a software development methodology that makes use of assertions to produce better quality object-oriented software. The idea behind DbC is that a method defines a contract stating the requirements a client needs to fulfill to u"&amp;"se it, the precondition, and the properties it ensures after its execution, the postcondition. Though there exists ample support for DbC for sequential programs, applying DbC to concurrent programs presents several challenges. The first challenge is inter"&amp;"ference, the product of multiple threads of execution modifying and accessing shared data. The second is the specification of thread-safety properties in the presence of inheritance. We present a solution to these challenges in the context of Java program"&amp;"s by extending the Java Modeling Language (JML) specification language. We experiment our solution on a large size industrial software system. © 2008 IEEE.")</f>
        <v>Design by Contract (DbC) is a software development methodology that makes use of assertions to produce better quality object-oriented software. The idea behind DbC is that a method defines a contract stating the requirements a client needs to fulfill to use it, the precondition, and the properties it ensures after its execution, the postcondition. Though there exists ample support for DbC for sequential programs, applying DbC to concurrent programs presents several challenges. The first challenge is interference, the product of multiple threads of execution modifying and accessing shared data. The second is the specification of thread-safety properties in the presence of inheritance. We present a solution to these challenges in the context of Java programs by extending the Java Modeling Language (JML) specification language. We experiment our solution on a large size industrial software system. © 2008 IEEE.</v>
      </c>
      <c r="H1243" s="7"/>
      <c r="I1243" s="10" t="b">
        <v>0</v>
      </c>
      <c r="J1243" s="10" t="b">
        <v>0</v>
      </c>
      <c r="K1243" s="10" t="b">
        <v>0</v>
      </c>
      <c r="L1243" s="10" t="b">
        <v>0</v>
      </c>
      <c r="M1243" s="10" t="b">
        <v>0</v>
      </c>
      <c r="N1243" s="10" t="b">
        <v>0</v>
      </c>
      <c r="O1243" s="11" t="b">
        <f t="shared" si="1"/>
        <v>0</v>
      </c>
      <c r="P1243" s="16" t="b">
        <v>0</v>
      </c>
      <c r="Q1243" s="7"/>
    </row>
    <row r="1244">
      <c r="A1244" s="5" t="b">
        <v>1</v>
      </c>
      <c r="B1244" s="5" t="s">
        <v>1295</v>
      </c>
      <c r="C1244" s="7" t="str">
        <f>IFERROR(__xludf.DUMMYFUNCTION("""COMPUTED_VALUE"""),"10.1109/ISSRE.2012.1")</f>
        <v>10.1109/ISSRE.2012.1</v>
      </c>
      <c r="D1244" s="7" t="str">
        <f>IFERROR(__xludf.DUMMYFUNCTION("""COMPUTED_VALUE"""),"Groce A.; Fern A.; Pinto J.; Bauer T.; Alipour A.; Erwig M.; Lopez C.")</f>
        <v>Groce A.; Fern A.; Pinto J.; Bauer T.; Alipour A.; Erwig M.; Lopez C.</v>
      </c>
      <c r="E1244" s="7" t="str">
        <f>IFERROR(__xludf.DUMMYFUNCTION("""COMPUTED_VALUE"""),"Lightweight automated testing with adaptation-based programming")</f>
        <v>Lightweight automated testing with adaptation-based programming</v>
      </c>
      <c r="F1244" s="7" t="str">
        <f>IFERROR(__xludf.DUMMYFUNCTION("""COMPUTED_VALUE"""),"ISSRE")</f>
        <v>ISSRE</v>
      </c>
      <c r="G1244" s="7" t="str">
        <f>IFERROR(__xludf.DUMMYFUNCTION("""COMPUTED_VALUE"""),"This paper considers the problem of testing a container class or other modestly-complex API-based software system. Past experimental evaluations have shown that for many such modules, random testing and shape abstraction based model checking are effective"&amp;". These approaches have proven attractive due to a combination of minimal requirements for tool/language support, extremely high usability, and low overhead. These ""lightweight"" methods are therefore available for almost any programming language or envi"&amp;"ronment, in contrast to model checkers and concolic testers. Unfortunately, for the cases where random testing and shape abstraction perform poorly, there have been few alternatives available with such wide applicability. This paper presents a generalizab"&amp;"le approach based on reinforcement learning (RL), using adaptation-based programming (ABP) as an interface to make RL-based testing (almost) as easy to apply and adaptable to new languages and environments as random testing. We show how learned tests diff"&amp;"er from random ones, and propose a model for why RL works in this unusual (by RL standards) setting, in the context of a detailed large-scale experimental evaluation of lightweight automated testing methods. © 2012 IEEE.")</f>
        <v>This paper considers the problem of testing a container class or other modestly-complex API-based software system. Past experimental evaluations have shown that for many such modules, random testing and shape abstraction based model checking are effective. These approaches have proven attractive due to a combination of minimal requirements for tool/language support, extremely high usability, and low overhead. These "lightweight" methods are therefore available for almost any programming language or environment, in contrast to model checkers and concolic testers. Unfortunately, for the cases where random testing and shape abstraction perform poorly, there have been few alternatives available with such wide applicability. This paper presents a generalizable approach based on reinforcement learning (RL), using adaptation-based programming (ABP) as an interface to make RL-based testing (almost) as easy to apply and adaptable to new languages and environments as random testing. We show how learned tests differ from random ones, and propose a model for why RL works in this unusual (by RL standards) setting, in the context of a detailed large-scale experimental evaluation of lightweight automated testing methods. © 2012 IEEE.</v>
      </c>
      <c r="H1244" s="7" t="str">
        <f>IFERROR(__xludf.DUMMYFUNCTION("""COMPUTED_VALUE"""),"Reinforcement learning; Software testing")</f>
        <v>Reinforcement learning; Software testing</v>
      </c>
      <c r="I1244" s="10" t="b">
        <v>0</v>
      </c>
      <c r="J1244" s="10" t="b">
        <v>0</v>
      </c>
      <c r="K1244" s="10" t="b">
        <v>0</v>
      </c>
      <c r="L1244" s="10" t="b">
        <v>0</v>
      </c>
      <c r="M1244" s="10" t="b">
        <v>0</v>
      </c>
      <c r="N1244" s="10" t="b">
        <v>0</v>
      </c>
      <c r="O1244" s="11" t="b">
        <f t="shared" si="1"/>
        <v>0</v>
      </c>
      <c r="P1244" s="16" t="b">
        <v>0</v>
      </c>
      <c r="Q1244" s="7"/>
    </row>
    <row r="1245">
      <c r="A1245" s="5" t="b">
        <v>1</v>
      </c>
      <c r="B1245" s="5" t="s">
        <v>1296</v>
      </c>
      <c r="C1245" s="7" t="str">
        <f>IFERROR(__xludf.DUMMYFUNCTION("""COMPUTED_VALUE"""),"10.1109/ISSRE5003.2020.00024")</f>
        <v>10.1109/ISSRE5003.2020.00024</v>
      </c>
      <c r="D1245" s="7" t="str">
        <f>IFERROR(__xludf.DUMMYFUNCTION("""COMPUTED_VALUE"""),"Singh S.; Vasic M.; Khurshid S.")</f>
        <v>Singh S.; Vasic M.; Khurshid S.</v>
      </c>
      <c r="E1245" s="7" t="str">
        <f>IFERROR(__xludf.DUMMYFUNCTION("""COMPUTED_VALUE"""),"Designing neural networks using logical specs")</f>
        <v>Designing neural networks using logical specs</v>
      </c>
      <c r="F1245" s="7" t="str">
        <f>IFERROR(__xludf.DUMMYFUNCTION("""COMPUTED_VALUE"""),"ISSRE")</f>
        <v>ISSRE</v>
      </c>
      <c r="G1245" s="7" t="str">
        <f>IFERROR(__xludf.DUMMYFUNCTION("""COMPUTED_VALUE"""),"As systems that deploy machine learning models become more and more pervasive, there is an urgent need to ensure their reliability and safety. While recent years have seen a lot of progress in techniques for verification and validation of machine learning"&amp;" models, reasoning about and explaining their behaviors remains challenging. This paper introduces a new approach for creating machine learning models where instead of the traditional supervised learning using data, the models are directly synthesized fro"&amp;"m specifications, and thus, are correct by construction. Our focus is binary classifiers with boolean features. Specifically, our approach translates relational specifications written in the well-known modeling language Alloy to neural networks that run o"&amp;"n the widely used Tensorflow backend. Our key insight is that a slight enhancement of traditional boolean gates can provide a rich intermediate representation that readily translates to neural networks. To translate the enhanced gates to neural networks, "&amp;"we employ a state-of-the-art program synthesis framework that allows us to find minimal neural networks. The translation of Alloy specifications then follows the standard translation to boolean logic with the exception of utilizing the enhanced boolean ga"&amp;"tes, followed by a translation to neural networks. We embody our approach in a prototype tool and use it for experimental evaluation. The experimental results show that our approach allows synthesis of neural networks that are hard to create using traditi"&amp;"onal training methods.  ©2020 IEEE.")</f>
        <v>As systems that deploy machine learning models become more and more pervasive, there is an urgent need to ensure their reliability and safety. While recent years have seen a lot of progress in techniques for verification and validation of machine learning models, reasoning about and explaining their behaviors remains challenging. This paper introduces a new approach for creating machine learning models where instead of the traditional supervised learning using data, the models are directly synthesized from specifications, and thus, are correct by construction. Our focus is binary classifiers with boolean features. Specifically, our approach translates relational specifications written in the well-known modeling language Alloy to neural networks that run on the widely used Tensorflow backend. Our key insight is that a slight enhancement of traditional boolean gates can provide a rich intermediate representation that readily translates to neural networks. To translate the enhanced gates to neural networks, we employ a state-of-the-art program synthesis framework that allows us to find minimal neural networks. The translation of Alloy specifications then follows the standard translation to boolean logic with the exception of utilizing the enhanced boolean gates, followed by a translation to neural networks. We embody our approach in a prototype tool and use it for experimental evaluation. The experimental results show that our approach allows synthesis of neural networks that are hard to create using traditional training methods.  ©2020 IEEE.</v>
      </c>
      <c r="H1245" s="7"/>
      <c r="I1245" s="10" t="b">
        <v>0</v>
      </c>
      <c r="J1245" s="10" t="b">
        <v>0</v>
      </c>
      <c r="K1245" s="10" t="b">
        <v>0</v>
      </c>
      <c r="L1245" s="10" t="b">
        <v>0</v>
      </c>
      <c r="M1245" s="10" t="b">
        <v>0</v>
      </c>
      <c r="N1245" s="10" t="b">
        <v>0</v>
      </c>
      <c r="O1245" s="11" t="b">
        <f t="shared" si="1"/>
        <v>0</v>
      </c>
      <c r="P1245" s="16" t="b">
        <v>0</v>
      </c>
      <c r="Q1245" s="7"/>
    </row>
    <row r="1246">
      <c r="A1246" s="5" t="b">
        <v>1</v>
      </c>
      <c r="B1246" s="5" t="s">
        <v>1297</v>
      </c>
      <c r="C1246" s="7" t="str">
        <f>IFERROR(__xludf.DUMMYFUNCTION("""COMPUTED_VALUE"""),"10.1109/ISSRE.2017.37")</f>
        <v>10.1109/ISSRE.2017.37</v>
      </c>
      <c r="D1246" s="7" t="str">
        <f>IFERROR(__xludf.DUMMYFUNCTION("""COMPUTED_VALUE"""),"Murakami Y.; Tsunoda M.; Uwano H.")</f>
        <v>Murakami Y.; Tsunoda M.; Uwano H.</v>
      </c>
      <c r="E1246" s="7" t="str">
        <f>IFERROR(__xludf.DUMMYFUNCTION("""COMPUTED_VALUE"""),"WAP: Does Reviewer Age Affect Code Review Performance?")</f>
        <v>WAP: Does Reviewer Age Affect Code Review Performance?</v>
      </c>
      <c r="F1246" s="7" t="str">
        <f>IFERROR(__xludf.DUMMYFUNCTION("""COMPUTED_VALUE"""),"ISSRE")</f>
        <v>ISSRE</v>
      </c>
      <c r="G1246" s="7" t="str">
        <f>IFERROR(__xludf.DUMMYFUNCTION("""COMPUTED_VALUE"""),"We focus on developer code review performance, and analyze whether the age of a subject affects the efficiency and preciseness of their code. Generally, older coders have more experience. Therefore, the age is considered to positively affect code review. "&amp;"However, in our past study, code understanding speed was relatively slow for older subjects, and memory is needed to understand programs. Similarly, during code review, a subject's age may affect efficiency (e.g., the number of indications per unit time)."&amp;" In the experiment, subjects reviewed source code, referring to mini specification documents. When the code did not follow the document, the subjects indicated the error. We classified subjects into senior and junior groups. In the analysis, we stratified"&amp;" the results based on age, and used correlation coefficients and multiple linear regression to clarify the relationship between age and review performance. We found that age does not affect the efficiency and correctness of code review. Also, the software"&amp;" development experience of subjects is not significantly correlated to performance. © 2017 IEEE.")</f>
        <v>We focus on developer code review performance, and analyze whether the age of a subject affects the efficiency and preciseness of their code. Generally, older coders have more experience. Therefore, the age is considered to positively affect code review. However, in our past study, code understanding speed was relatively slow for older subjects, and memory is needed to understand programs. Similarly, during code review, a subject's age may affect efficiency (e.g., the number of indications per unit time). In the experiment, subjects reviewed source code, referring to mini specification documents. When the code did not follow the document, the subjects indicated the error. We classified subjects into senior and junior groups. In the analysis, we stratified the results based on age, and used correlation coefficients and multiple linear regression to clarify the relationship between age and review performance. We found that age does not affect the efficiency and correctness of code review. Also, the software development experience of subjects is not significantly correlated to performance. © 2017 IEEE.</v>
      </c>
      <c r="H1246" s="7" t="str">
        <f>IFERROR(__xludf.DUMMYFUNCTION("""COMPUTED_VALUE"""),"Developer's performance; Gerontology; Software review")</f>
        <v>Developer's performance; Gerontology; Software review</v>
      </c>
      <c r="I1246" s="9" t="b">
        <v>1</v>
      </c>
      <c r="J1246" s="9" t="b">
        <v>1</v>
      </c>
      <c r="K1246" s="9" t="b">
        <v>1</v>
      </c>
      <c r="L1246" s="10" t="b">
        <v>0</v>
      </c>
      <c r="M1246" s="10" t="b">
        <v>0</v>
      </c>
      <c r="N1246" s="10" t="b">
        <v>0</v>
      </c>
      <c r="O1246" s="11" t="b">
        <f t="shared" si="1"/>
        <v>1</v>
      </c>
      <c r="P1246" s="16" t="b">
        <v>0</v>
      </c>
      <c r="Q1246" s="7"/>
    </row>
    <row r="1247">
      <c r="A1247" s="5" t="b">
        <v>1</v>
      </c>
      <c r="B1247" s="5" t="s">
        <v>1298</v>
      </c>
      <c r="C1247" s="7"/>
      <c r="D1247" s="7"/>
      <c r="E1247" s="7" t="str">
        <f>IFERROR(__xludf.DUMMYFUNCTION("""COMPUTED_VALUE"""),"Proceedings - International Symposium on Software Reliability Engineering, ISSRE")</f>
        <v>Proceedings - International Symposium on Software Reliability Engineering, ISSRE</v>
      </c>
      <c r="F1247" s="7" t="str">
        <f>IFERROR(__xludf.DUMMYFUNCTION("""COMPUTED_VALUE"""),"ISSRE")</f>
        <v>ISSRE</v>
      </c>
      <c r="G1247" s="7" t="str">
        <f>IFERROR(__xludf.DUMMYFUNCTION("""COMPUTED_VALUE"""),"The proceedings contain 42 papers. The topics discussed include: detection or isolation of defects? an experimental comparison of unit testing and code inspection; a comprehensive and systematic methodology for client-server class integration testing; opt"&amp;"imal resource allocation for the quality control process; test-driven development as a defect-reduction practice; a new software testing approach based on domain analysis of specifications and programs; static specification analysis for termination of spe"&amp;"cification-based data structure repair; requirements by contracts allow automated system testing; coverage criteria for logical expressions; anomalies as precursors of field failures; an empirical study on testing and fault tolerance for software reliabil"&amp;"ity engineering; forensic analysis for tamper resistant software; a framework for tamper detection marking of mobile applications; and high-assurance synthesis of security services from basic microservices.")</f>
        <v>The proceedings contain 42 papers. The topics discussed include: detection or isolation of defects? an experimental comparison of unit testing and code inspection; a comprehensive and systematic methodology for client-server class integration testing; optimal resource allocation for the quality control process; test-driven development as a defect-reduction practice; a new software testing approach based on domain analysis of specifications and programs; static specification analysis for termination of specification-based data structure repair; requirements by contracts allow automated system testing; coverage criteria for logical expressions; anomalies as precursors of field failures; an empirical study on testing and fault tolerance for software reliability engineering; forensic analysis for tamper resistant software; a framework for tamper detection marking of mobile applications; and high-assurance synthesis of security services from basic microservices.</v>
      </c>
      <c r="H1247" s="7"/>
      <c r="I1247" s="10" t="b">
        <v>0</v>
      </c>
      <c r="J1247" s="10" t="b">
        <v>0</v>
      </c>
      <c r="K1247" s="10" t="b">
        <v>0</v>
      </c>
      <c r="L1247" s="10" t="b">
        <v>0</v>
      </c>
      <c r="M1247" s="10" t="b">
        <v>0</v>
      </c>
      <c r="N1247" s="10" t="b">
        <v>0</v>
      </c>
      <c r="O1247" s="11" t="b">
        <f t="shared" si="1"/>
        <v>0</v>
      </c>
      <c r="P1247" s="16" t="b">
        <v>0</v>
      </c>
      <c r="Q1247" s="7"/>
    </row>
    <row r="1248">
      <c r="A1248" s="5" t="b">
        <v>1</v>
      </c>
      <c r="B1248" s="5" t="s">
        <v>1299</v>
      </c>
      <c r="C1248" s="7" t="str">
        <f>IFERROR(__xludf.DUMMYFUNCTION("""COMPUTED_VALUE"""),"10.1109/ISSRE.1993.624287")</f>
        <v>10.1109/ISSRE.1993.624287</v>
      </c>
      <c r="D1248" s="7" t="str">
        <f>IFERROR(__xludf.DUMMYFUNCTION("""COMPUTED_VALUE"""),"Kanawati N.A.; Kanawati G.A.; Abraham J.A.")</f>
        <v>Kanawati N.A.; Kanawati G.A.; Abraham J.A.</v>
      </c>
      <c r="E1248" s="7" t="str">
        <f>IFERROR(__xludf.DUMMYFUNCTION("""COMPUTED_VALUE"""),"Adding capability checks enhances error detection and isolation in object-based systems")</f>
        <v>Adding capability checks enhances error detection and isolation in object-based systems</v>
      </c>
      <c r="F1248" s="7" t="str">
        <f>IFERROR(__xludf.DUMMYFUNCTION("""COMPUTED_VALUE"""),"ISSRE")</f>
        <v>ISSRE</v>
      </c>
      <c r="G1248" s="7" t="str">
        <f>IFERROR(__xludf.DUMMYFUNCTION("""COMPUTED_VALUE"""),"Error detection and error isolation are becoming stringent requirements for many computational problems requiring high reliability in addition to high performance. This paper presents CAPACETI, a technique for utilizing capabilities at the application lev"&amp;"el in order to achieve dependable operations. The proposed technique is further augmented with executable assertions and other software error detection techniques. The effectiveness of the techniques to detect errors, their contribution to the overall cov"&amp;"erage, and their performance overhead were experimentally obtained using fault/error injection. Results obtained from these experiments show that high coverage with a low performance overhead can be achieved by selectively combining different error detect"&amp;"ion techniques. © 1993 IEEE.")</f>
        <v>Error detection and error isolation are becoming stringent requirements for many computational problems requiring high reliability in addition to high performance. This paper presents CAPACETI, a technique for utilizing capabilities at the application level in order to achieve dependable operations. The proposed technique is further augmented with executable assertions and other software error detection techniques. The effectiveness of the techniques to detect errors, their contribution to the overall coverage, and their performance overhead were experimentally obtained using fault/error injection. Results obtained from these experiments show that high coverage with a low performance overhead can be achieved by selectively combining different error detection techniques. © 1993 IEEE.</v>
      </c>
      <c r="H1248" s="7" t="str">
        <f>IFERROR(__xludf.DUMMYFUNCTION("""COMPUTED_VALUE"""),"capabilities; coverage; fault injection experiments; fault tolerance; objects; overhead; software implementation")</f>
        <v>capabilities; coverage; fault injection experiments; fault tolerance; objects; overhead; software implementation</v>
      </c>
      <c r="I1248" s="10" t="b">
        <v>0</v>
      </c>
      <c r="J1248" s="10" t="b">
        <v>0</v>
      </c>
      <c r="K1248" s="10" t="b">
        <v>0</v>
      </c>
      <c r="L1248" s="10" t="b">
        <v>0</v>
      </c>
      <c r="M1248" s="10" t="b">
        <v>0</v>
      </c>
      <c r="N1248" s="10" t="b">
        <v>0</v>
      </c>
      <c r="O1248" s="11" t="b">
        <f t="shared" si="1"/>
        <v>0</v>
      </c>
      <c r="P1248" s="16" t="b">
        <v>0</v>
      </c>
      <c r="Q1248" s="7"/>
    </row>
    <row r="1249">
      <c r="A1249" s="5" t="b">
        <v>1</v>
      </c>
      <c r="B1249" s="5" t="s">
        <v>1300</v>
      </c>
      <c r="C1249" s="7" t="str">
        <f>IFERROR(__xludf.DUMMYFUNCTION("""COMPUTED_VALUE"""),"10.1109/ISSRE.2003.1251058")</f>
        <v>10.1109/ISSRE.2003.1251058</v>
      </c>
      <c r="D1249" s="7" t="str">
        <f>IFERROR(__xludf.DUMMYFUNCTION("""COMPUTED_VALUE"""),"Gotlieb A.")</f>
        <v>Gotlieb A.</v>
      </c>
      <c r="E1249" s="7" t="str">
        <f>IFERROR(__xludf.DUMMYFUNCTION("""COMPUTED_VALUE"""),"Exploiting symmetries to test programs")</f>
        <v>Exploiting symmetries to test programs</v>
      </c>
      <c r="F1249" s="7" t="str">
        <f>IFERROR(__xludf.DUMMYFUNCTION("""COMPUTED_VALUE"""),"ISSRE")</f>
        <v>ISSRE</v>
      </c>
      <c r="G1249" s="7" t="str">
        <f>IFERROR(__xludf.DUMMYFUNCTION("""COMPUTED_VALUE"""),"Symmetries often appear as properties of many artifical settings. In program testing, they can be viewed as properties of programs and can be given by the tester to check the correctness of the computed outcome. In this paper, we consider symmetries to be"&amp;" permutation relations between program executions and use them to automate the testing process. We introduce a software testing paradigm called symmetric testing, where automatic test data generation is coupled with symmetries checking to uncover faults i"&amp;"nside the programs. A practical procedure for checking that a program satisfies a given symmetry relation is described. The paradigm makes use of group theoretic results as a formal basis to minimize the number of outcome comparisons required by the metho"&amp;"d. This approach appears to be of particular interest for programs for which neither an oracle, nor any formal specification is available. We implemented symmetric testing by using the primitive operations of the Java unit testing tool Roast by N. Daley, "&amp;"D. Hoffman, and P. Strooper (2002). The experimental results we got on faulty versions of classical programs of the software testing community tend to show the effectiveness of the approach. © 2003 IEEE.")</f>
        <v>Symmetries often appear as properties of many artifical settings. In program testing, they can be viewed as properties of programs and can be given by the tester to check the correctness of the computed outcome. In this paper, we consider symmetries to be permutation relations between program executions and use them to automate the testing process. We introduce a software testing paradigm called symmetric testing, where automatic test data generation is coupled with symmetries checking to uncover faults inside the programs. A practical procedure for checking that a program satisfies a given symmetry relation is described. The paradigm makes use of group theoretic results as a formal basis to minimize the number of outcome comparisons required by the method. This approach appears to be of particular interest for programs for which neither an oracle, nor any formal specification is available. We implemented symmetric testing by using the primitive operations of the Java unit testing tool Roast by N. Daley, D. Hoffman, and P. Strooper (2002). The experimental results we got on faulty versions of classical programs of the software testing community tend to show the effectiveness of the approach. © 2003 IEEE.</v>
      </c>
      <c r="H1249" s="7"/>
      <c r="I1249" s="10" t="b">
        <v>0</v>
      </c>
      <c r="J1249" s="10" t="b">
        <v>0</v>
      </c>
      <c r="K1249" s="10" t="b">
        <v>0</v>
      </c>
      <c r="L1249" s="10" t="b">
        <v>0</v>
      </c>
      <c r="M1249" s="10" t="b">
        <v>0</v>
      </c>
      <c r="N1249" s="10" t="b">
        <v>0</v>
      </c>
      <c r="O1249" s="11" t="b">
        <f t="shared" si="1"/>
        <v>0</v>
      </c>
      <c r="P1249" s="16" t="b">
        <v>0</v>
      </c>
      <c r="Q1249" s="7"/>
    </row>
    <row r="1250">
      <c r="A1250" s="5" t="b">
        <v>1</v>
      </c>
      <c r="B1250" s="5" t="s">
        <v>1301</v>
      </c>
      <c r="C1250" s="7" t="str">
        <f>IFERROR(__xludf.DUMMYFUNCTION("""COMPUTED_VALUE"""),"10.1109/ISSRE.2015.7381803")</f>
        <v>10.1109/ISSRE.2015.7381803</v>
      </c>
      <c r="D1250" s="7" t="str">
        <f>IFERROR(__xludf.DUMMYFUNCTION("""COMPUTED_VALUE"""),"Flater D.")</f>
        <v>Flater D.</v>
      </c>
      <c r="E1250" s="7" t="str">
        <f>IFERROR(__xludf.DUMMYFUNCTION("""COMPUTED_VALUE"""),"WAP: Unreasonable distributions of execution time under reasonable conditions")</f>
        <v>WAP: Unreasonable distributions of execution time under reasonable conditions</v>
      </c>
      <c r="F1250" s="7" t="str">
        <f>IFERROR(__xludf.DUMMYFUNCTION("""COMPUTED_VALUE"""),"ISSRE")</f>
        <v>ISSRE</v>
      </c>
      <c r="G1250" s="7" t="str">
        <f>IFERROR(__xludf.DUMMYFUNCTION("""COMPUTED_VALUE"""),"Reliability and safety often depend on the execution times of software tasks being reasonably consistent and predictable if not strictly bounded in the real-time sense. Since commodity computers are theoretically deterministic machines, one might expect t"&amp;"he elapsed and CPU time required to execute a fully-defined, deterministic software task with no complications to satisfy that requirement. But experiments at NIST have produced distributions of elapsed and CPU time which are ""unreasonable"" enough to in"&amp;"validate the statistical assumptions and confidence intervals that are ordinarily used to summarize results. If this variability is endemic to the modern hardware and operating systems that are deployed, then increasingly invasive methods of controlling i"&amp;"t in the lab are of marginal interest. Instead, it needs to be characterized and dealt with. Some approaches are suggested with the aim of starting a discussion. © 2015 IEEE.")</f>
        <v>Reliability and safety often depend on the execution times of software tasks being reasonably consistent and predictable if not strictly bounded in the real-time sense. Since commodity computers are theoretically deterministic machines, one might expect the elapsed and CPU time required to execute a fully-defined, deterministic software task with no complications to satisfy that requirement. But experiments at NIST have produced distributions of elapsed and CPU time which are "unreasonable" enough to invalidate the statistical assumptions and confidence intervals that are ordinarily used to summarize results. If this variability is endemic to the modern hardware and operating systems that are deployed, then increasingly invasive methods of controlling it in the lab are of marginal interest. Instead, it needs to be characterized and dealt with. Some approaches are suggested with the aim of starting a discussion. © 2015 IEEE.</v>
      </c>
      <c r="H1250" s="7"/>
      <c r="I1250" s="10" t="b">
        <v>0</v>
      </c>
      <c r="J1250" s="10" t="b">
        <v>0</v>
      </c>
      <c r="K1250" s="10" t="b">
        <v>0</v>
      </c>
      <c r="L1250" s="10" t="b">
        <v>0</v>
      </c>
      <c r="M1250" s="10" t="b">
        <v>0</v>
      </c>
      <c r="N1250" s="10" t="b">
        <v>0</v>
      </c>
      <c r="O1250" s="11" t="b">
        <f t="shared" si="1"/>
        <v>0</v>
      </c>
      <c r="P1250" s="16" t="b">
        <v>0</v>
      </c>
      <c r="Q1250" s="7"/>
    </row>
    <row r="1251">
      <c r="A1251" s="5" t="b">
        <v>1</v>
      </c>
      <c r="B1251" s="5" t="s">
        <v>1302</v>
      </c>
      <c r="C1251" s="7" t="str">
        <f>IFERROR(__xludf.DUMMYFUNCTION("""COMPUTED_VALUE"""),"10.1109/ISSRE5003.2020.00030")</f>
        <v>10.1109/ISSRE5003.2020.00030</v>
      </c>
      <c r="D1251" s="7" t="str">
        <f>IFERROR(__xludf.DUMMYFUNCTION("""COMPUTED_VALUE"""),"Kesim D.; Van Hoorn A.; Frank S.; Haussler M.")</f>
        <v>Kesim D.; Van Hoorn A.; Frank S.; Haussler M.</v>
      </c>
      <c r="E1251" s="7" t="str">
        <f>IFERROR(__xludf.DUMMYFUNCTION("""COMPUTED_VALUE"""),"Identifying and prioritizing chaos experiments by using established risk analysis techniques")</f>
        <v>Identifying and prioritizing chaos experiments by using established risk analysis techniques</v>
      </c>
      <c r="F1251" s="7" t="str">
        <f>IFERROR(__xludf.DUMMYFUNCTION("""COMPUTED_VALUE"""),"ISSRE")</f>
        <v>ISSRE</v>
      </c>
      <c r="G1251" s="7" t="str">
        <f>IFERROR(__xludf.DUMMYFUNCTION("""COMPUTED_VALUE"""),"The prevalence of microservice architectures and container orchestration technologies increases the complexity of assessing such systems' resilience. Chaos engineering is an emerging approach for resilience assessment by testing hypotheses after intention"&amp;"ally injecting faults into a distributed system and observing customer- and business-affecting metrics. As the number of potential risks within a complex system is high, the identification and prioritization of effective and efficient chaos experiments ar"&amp;"e non-trivial. In the scope of an industrial case study, this work investigates means to identify and prioritize chaos experiments by using established risk analysis techniques known from engineering safety-critical systems, namely i) Fault Tree Analysis,"&amp;" ii) Failure Mode and Effects Analysis, iii) and Computer Hazard and Operability Study. We conducted semistructured interviews to elicit architectural information and resilience requirements of the case study system. The extracted knowledge was leveraged "&amp;"during the application of the risk analysis techniques. A subset of the identified and prioritized risks was used to create and execute chaos experiments. The risk analysis resulted in over 100 findings and revealed that the system is rather fragile as it"&amp;" comprises a high amount of single points of failure. The chaos experiments revealed further weaknesses for formerly unknown system behavior. © 2020 IEEE Computer Society. All rights reserved.")</f>
        <v>The prevalence of microservice architectures and container orchestration technologies increases the complexity of assessing such systems' resilience. Chaos engineering is an emerging approach for resilience assessment by testing hypotheses after intentionally injecting faults into a distributed system and observing customer- and business-affecting metrics. As the number of potential risks within a complex system is high, the identification and prioritization of effective and efficient chaos experiments are non-trivial. In the scope of an industrial case study, this work investigates means to identify and prioritize chaos experiments by using established risk analysis techniques known from engineering safety-critical systems, namely i) Fault Tree Analysis, ii) Failure Mode and Effects Analysis, iii) and Computer Hazard and Operability Study. We conducted semistructured interviews to elicit architectural information and resilience requirements of the case study system. The extracted knowledge was leveraged during the application of the risk analysis techniques. A subset of the identified and prioritized risks was used to create and execute chaos experiments. The risk analysis resulted in over 100 findings and revealed that the system is rather fragile as it comprises a high amount of single points of failure. The chaos experiments revealed further weaknesses for formerly unknown system behavior. © 2020 IEEE Computer Society. All rights reserved.</v>
      </c>
      <c r="H1251" s="7"/>
      <c r="I1251" s="10" t="b">
        <v>0</v>
      </c>
      <c r="J1251" s="10" t="b">
        <v>0</v>
      </c>
      <c r="K1251" s="10" t="b">
        <v>0</v>
      </c>
      <c r="L1251" s="10" t="b">
        <v>0</v>
      </c>
      <c r="M1251" s="10" t="b">
        <v>0</v>
      </c>
      <c r="N1251" s="10" t="b">
        <v>0</v>
      </c>
      <c r="O1251" s="11" t="b">
        <f t="shared" si="1"/>
        <v>0</v>
      </c>
      <c r="P1251" s="16" t="b">
        <v>0</v>
      </c>
      <c r="Q1251" s="7"/>
    </row>
    <row r="1252">
      <c r="A1252" s="5" t="b">
        <v>1</v>
      </c>
      <c r="B1252" s="5" t="s">
        <v>1303</v>
      </c>
      <c r="C1252" s="7" t="str">
        <f>IFERROR(__xludf.DUMMYFUNCTION("""COMPUTED_VALUE"""),"10.1109/ISSRE.2013.6698915")</f>
        <v>10.1109/ISSRE.2013.6698915</v>
      </c>
      <c r="D1252" s="7" t="str">
        <f>IFERROR(__xludf.DUMMYFUNCTION("""COMPUTED_VALUE"""),"Di Alesio S.; Nejati S.; Briand L.; Gotlieb A.")</f>
        <v>Di Alesio S.; Nejati S.; Briand L.; Gotlieb A.</v>
      </c>
      <c r="E1252" s="7" t="str">
        <f>IFERROR(__xludf.DUMMYFUNCTION("""COMPUTED_VALUE"""),"Stress testing of task deadlines: A constraint programming approach")</f>
        <v>Stress testing of task deadlines: A constraint programming approach</v>
      </c>
      <c r="F1252" s="7" t="str">
        <f>IFERROR(__xludf.DUMMYFUNCTION("""COMPUTED_VALUE"""),"ISSRE")</f>
        <v>ISSRE</v>
      </c>
      <c r="G1252" s="7" t="str">
        <f>IFERROR(__xludf.DUMMYFUNCTION("""COMPUTED_VALUE"""),"Safety-critical Real Time Embedded Systems (RT-ESs) are usually subject to strict timing and performance requirements that must be satisfied for the system to be deemed safe. In this paper, we use effective search strategies whose goal is finding worst ca"&amp;"se scenarios with respect to deadline misses. Such scenarios can in turn be used to test the target RTES and ensure that it satisfies its timing requirements even under worst case conditions. Specifically, we develop an approach based on Constraint Progra"&amp;"mming (CP) to automate the generation of test cases that reveal, or are likely to, task deadline misses. We evaluate it through a comparison with a state-of-the-art approach based on Genetic Algorithms (GA). In particular, we compare CP and GA in five cas"&amp;"e studies for efficiency, effectiveness, and scalability. Our experimental results show that, on the largest and more complex case studies, CP performs significantly better than GA. Furthermore, CP offers some advantages over GA, such as it guarantees a c"&amp;"omplete search when there is sufficient time, and, being deterministic, it doesn't rely on parameters that potentially have a significant effect on the search and therefore need to be tuned. Hence, we conclude that our results are encouraging and suggest "&amp;"this is an advantageous approach for stress testing of RTESs with respect to timing constraints. © 2013 IEEE.")</f>
        <v>Safety-critical Real Time Embedded Systems (RT-ESs) are usually subject to strict timing and performance requirements that must be satisfied for the system to be deemed safe. In this paper, we use effective search strategies whose goal is finding worst case scenarios with respect to deadline misses. Such scenarios can in turn be used to test the target RTES and ensure that it satisfies its timing requirements even under worst case conditions. Specifically, we develop an approach based on Constraint Programming (CP) to automate the generation of test cases that reveal, or are likely to, task deadline misses. We evaluate it through a comparison with a state-of-the-art approach based on Genetic Algorithms (GA). In particular, we compare CP and GA in five case studies for efficiency, effectiveness, and scalability. Our experimental results show that, on the largest and more complex case studies, CP performs significantly better than GA. Furthermore, CP offers some advantages over GA, such as it guarantees a complete search when there is sufficient time, and, being deterministic, it doesn't rely on parameters that potentially have a significant effect on the search and therefore need to be tuned. Hence, we conclude that our results are encouraging and suggest this is an advantageous approach for stress testing of RTESs with respect to timing constraints. © 2013 IEEE.</v>
      </c>
      <c r="H1252" s="7" t="str">
        <f>IFERROR(__xludf.DUMMYFUNCTION("""COMPUTED_VALUE"""),"Constraint Programming; Real-Time Systems; Stress Testing")</f>
        <v>Constraint Programming; Real-Time Systems; Stress Testing</v>
      </c>
      <c r="I1252" s="10" t="b">
        <v>0</v>
      </c>
      <c r="J1252" s="10" t="b">
        <v>0</v>
      </c>
      <c r="K1252" s="10" t="b">
        <v>0</v>
      </c>
      <c r="L1252" s="10" t="b">
        <v>0</v>
      </c>
      <c r="M1252" s="10" t="b">
        <v>0</v>
      </c>
      <c r="N1252" s="10" t="b">
        <v>0</v>
      </c>
      <c r="O1252" s="11" t="b">
        <f t="shared" si="1"/>
        <v>0</v>
      </c>
      <c r="P1252" s="16" t="b">
        <v>0</v>
      </c>
      <c r="Q1252" s="7"/>
    </row>
    <row r="1253">
      <c r="A1253" s="5" t="b">
        <v>1</v>
      </c>
      <c r="B1253" s="5" t="s">
        <v>1304</v>
      </c>
      <c r="C1253" s="7"/>
      <c r="D1253" s="7" t="str">
        <f>IFERROR(__xludf.DUMMYFUNCTION("""COMPUTED_VALUE"""),"Katchabaw Michael J.; Lutfiyya Hanan L.; Marshall Andrew D.; Bauer Michael A.")</f>
        <v>Katchabaw Michael J.; Lutfiyya Hanan L.; Marshall Andrew D.; Bauer Michael A.</v>
      </c>
      <c r="E1253" s="7" t="str">
        <f>IFERROR(__xludf.DUMMYFUNCTION("""COMPUTED_VALUE"""),"Policy-driven fault management in distributed systems")</f>
        <v>Policy-driven fault management in distributed systems</v>
      </c>
      <c r="F1253" s="7" t="str">
        <f>IFERROR(__xludf.DUMMYFUNCTION("""COMPUTED_VALUE"""),"ISSRE")</f>
        <v>ISSRE</v>
      </c>
      <c r="G1253" s="7" t="str">
        <f>IFERROR(__xludf.DUMMYFUNCTION("""COMPUTED_VALUE"""),"Management policies can be used to specify requirements about the desired behaviour of distributed systems. Violations of policies (faults) can then be detected, isolated, located, and corrected using a policy-driven fault management system. Other work in"&amp;" this are to date has focused on network-level faults. We believe that in a distributed system it is more appropriate to focus on faults at the application level. Furthermore, this work has been largely domain specific - a generic, structured approach to "&amp;"this problem is needed. Our work has focused on policy-driven fault management in distributed systems at the application level. In this paper, we define a generic architecture for policy-driven fault management, and present a prototype system based on thi"&amp;"s architecture. We also discuss experience to date using and experimenting with our prototype system.")</f>
        <v>Management policies can be used to specify requirements about the desired behaviour of distributed systems. Violations of policies (faults) can then be detected, isolated, located, and corrected using a policy-driven fault management system. Other work in this are to date has focused on network-level faults. We believe that in a distributed system it is more appropriate to focus on faults at the application level. Furthermore, this work has been largely domain specific - a generic, structured approach to this problem is needed. Our work has focused on policy-driven fault management in distributed systems at the application level. In this paper, we define a generic architecture for policy-driven fault management, and present a prototype system based on this architecture. We also discuss experience to date using and experimenting with our prototype system.</v>
      </c>
      <c r="H1253" s="7"/>
      <c r="I1253" s="10" t="b">
        <v>0</v>
      </c>
      <c r="J1253" s="10" t="b">
        <v>0</v>
      </c>
      <c r="K1253" s="10" t="b">
        <v>0</v>
      </c>
      <c r="L1253" s="10" t="b">
        <v>0</v>
      </c>
      <c r="M1253" s="10" t="b">
        <v>0</v>
      </c>
      <c r="N1253" s="10" t="b">
        <v>0</v>
      </c>
      <c r="O1253" s="11" t="b">
        <f t="shared" si="1"/>
        <v>0</v>
      </c>
      <c r="P1253" s="16" t="b">
        <v>0</v>
      </c>
      <c r="Q1253" s="7"/>
    </row>
    <row r="1254">
      <c r="A1254" s="5" t="b">
        <v>1</v>
      </c>
      <c r="B1254" s="5" t="s">
        <v>1305</v>
      </c>
      <c r="C1254" s="7" t="str">
        <f>IFERROR(__xludf.DUMMYFUNCTION("""COMPUTED_VALUE"""),"10.1109/WOSAR.2010.5722097")</f>
        <v>10.1109/WOSAR.2010.5722097</v>
      </c>
      <c r="D1254" s="7" t="str">
        <f>IFERROR(__xludf.DUMMYFUNCTION("""COMPUTED_VALUE"""),"Macêdo A.; Ferreira T.B.; Matias Jr. R.")</f>
        <v>Macêdo A.; Ferreira T.B.; Matias Jr. R.</v>
      </c>
      <c r="E1254" s="7" t="str">
        <f>IFERROR(__xludf.DUMMYFUNCTION("""COMPUTED_VALUE"""),"The mechanics of memory-related software aging")</f>
        <v>The mechanics of memory-related software aging</v>
      </c>
      <c r="F1254" s="7" t="str">
        <f>IFERROR(__xludf.DUMMYFUNCTION("""COMPUTED_VALUE"""),"ISSRE")</f>
        <v>ISSRE</v>
      </c>
      <c r="G1254" s="7" t="str">
        <f>IFERROR(__xludf.DUMMYFUNCTION("""COMPUTED_VALUE"""),"Software aging is a phenomenon defined as the continuing degradation of software systems during runtime, being particularly noticeable in long-running applications. Memory-related aging effects are one of the most important problems in this research field"&amp;". Therefore understanding their causes and how they work is a major requirement in designing dependable software systems. In this paper we go deep into how memory management works inside application process, focusing on two memory problems that cause soft"&amp;"ware aging: fragmenting and leakage. We explain the mechanics of memory-related software aging effects dissecting a real and widely adopted memory allocator. Along with the theoretical explanation, we present an experimental study that illustrates how mem"&amp;"ory fragmenting and leakage occur and how they accumulate over time in order to cause system aging-related failures. ©2011 IEEE.")</f>
        <v>Software aging is a phenomenon defined as the continuing degradation of software systems during runtime, being particularly noticeable in long-running applications. Memory-related aging effects are one of the most important problems in this research field. Therefore understanding their causes and how they work is a major requirement in designing dependable software systems. In this paper we go deep into how memory management works inside application process, focusing on two memory problems that cause software aging: fragmenting and leakage. We explain the mechanics of memory-related software aging effects dissecting a real and widely adopted memory allocator. Along with the theoretical explanation, we present an experimental study that illustrates how memory fragmenting and leakage occur and how they accumulate over time in order to cause system aging-related failures. ©2011 IEEE.</v>
      </c>
      <c r="H1254" s="7" t="str">
        <f>IFERROR(__xludf.DUMMYFUNCTION("""COMPUTED_VALUE"""),"Memory allocator; Memory fragmentation; Memory leak; Software aging")</f>
        <v>Memory allocator; Memory fragmentation; Memory leak; Software aging</v>
      </c>
      <c r="I1254" s="10" t="b">
        <v>0</v>
      </c>
      <c r="J1254" s="10" t="b">
        <v>0</v>
      </c>
      <c r="K1254" s="10" t="b">
        <v>0</v>
      </c>
      <c r="L1254" s="10" t="b">
        <v>0</v>
      </c>
      <c r="M1254" s="10" t="b">
        <v>0</v>
      </c>
      <c r="N1254" s="10" t="b">
        <v>0</v>
      </c>
      <c r="O1254" s="11" t="b">
        <f t="shared" si="1"/>
        <v>0</v>
      </c>
      <c r="P1254" s="16" t="b">
        <v>0</v>
      </c>
      <c r="Q1254" s="7"/>
    </row>
    <row r="1255">
      <c r="A1255" s="5" t="b">
        <v>1</v>
      </c>
      <c r="B1255" s="5" t="s">
        <v>1306</v>
      </c>
      <c r="C1255" s="7" t="str">
        <f>IFERROR(__xludf.DUMMYFUNCTION("""COMPUTED_VALUE"""),"10.1109/ISSRE.2008.56")</f>
        <v>10.1109/ISSRE.2008.56</v>
      </c>
      <c r="D1255" s="7" t="str">
        <f>IFERROR(__xludf.DUMMYFUNCTION("""COMPUTED_VALUE"""),"Uzuncaova E.; Garcia D.; Khurshid S.; Batory D.")</f>
        <v>Uzuncaova E.; Garcia D.; Khurshid S.; Batory D.</v>
      </c>
      <c r="E1255" s="7" t="str">
        <f>IFERROR(__xludf.DUMMYFUNCTION("""COMPUTED_VALUE"""),"Testing software product lines using incremental test generation")</f>
        <v>Testing software product lines using incremental test generation</v>
      </c>
      <c r="F1255" s="7" t="str">
        <f>IFERROR(__xludf.DUMMYFUNCTION("""COMPUTED_VALUE"""),"ISSRE")</f>
        <v>ISSRE</v>
      </c>
      <c r="G1255" s="7" t="str">
        <f>IFERROR(__xludf.DUMMYFUNCTION("""COMPUTED_VALUE"""),"We present a novel specification-based approach for generating tests for products in a software product line. Given properties of features as first-order logic formulas, our approach uses SAT-based analysis to automatically generate test inputs for each p"&amp;"roduct in a product line. To ensure soundness of generation, we introduce an automatic technique for mapping a formula that specifies a feature into a transformation that defines incremental refinement of test suites. Our experimental results using differ"&amp;"ent data structure product lines show that incremental approach can provide an order of magnitude speed-up over conventional techniques. © 2008 IEEE.")</f>
        <v>We present a novel specification-based approach for generating tests for products in a software product line. Given properties of features as first-order logic formulas,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incremental approach can provide an order of magnitude speed-up over conventional techniques. © 2008 IEEE.</v>
      </c>
      <c r="H1255" s="7"/>
      <c r="I1255" s="10" t="b">
        <v>0</v>
      </c>
      <c r="J1255" s="10" t="b">
        <v>0</v>
      </c>
      <c r="K1255" s="10" t="b">
        <v>0</v>
      </c>
      <c r="L1255" s="10" t="b">
        <v>0</v>
      </c>
      <c r="M1255" s="10" t="b">
        <v>0</v>
      </c>
      <c r="N1255" s="10" t="b">
        <v>0</v>
      </c>
      <c r="O1255" s="11" t="b">
        <f t="shared" si="1"/>
        <v>0</v>
      </c>
      <c r="P1255" s="16" t="b">
        <v>0</v>
      </c>
      <c r="Q1255" s="7"/>
    </row>
    <row r="1256">
      <c r="A1256" s="5" t="b">
        <v>1</v>
      </c>
      <c r="B1256" s="5" t="s">
        <v>1307</v>
      </c>
      <c r="C1256" s="7" t="str">
        <f>IFERROR(__xludf.DUMMYFUNCTION("""COMPUTED_VALUE"""),"10.1109/ISSRE55969.2022.00047")</f>
        <v>10.1109/ISSRE55969.2022.00047</v>
      </c>
      <c r="D1256" s="7" t="str">
        <f>IFERROR(__xludf.DUMMYFUNCTION("""COMPUTED_VALUE"""),"Guerin J.; Ferreira R.S.; Delmas K.; Guiochet J.")</f>
        <v>Guerin J.; Ferreira R.S.; Delmas K.; Guiochet J.</v>
      </c>
      <c r="E1256" s="7" t="str">
        <f>IFERROR(__xludf.DUMMYFUNCTION("""COMPUTED_VALUE"""),"Unifying Evaluation of Machine Learning Safety Monitors")</f>
        <v>Unifying Evaluation of Machine Learning Safety Monitors</v>
      </c>
      <c r="F1256" s="7" t="str">
        <f>IFERROR(__xludf.DUMMYFUNCTION("""COMPUTED_VALUE"""),"ISSRE")</f>
        <v>ISSRE</v>
      </c>
      <c r="G1256" s="7" t="str">
        <f>IFERROR(__xludf.DUMMYFUNCTION("""COMPUTED_VALUE"""),"With the increasing use of Machine Learning (ML) in critical autonomous systems, runtime monitors have been developed to detect prediction errors and keep the system in a safe state during operations. Monitors have been proposed for different applications"&amp;" involving diverse perception tasks and ML models, and specific evaluation procedures and metrics are used for different contexts. This paper introduces three unified safety-oriented metrics, representing the safety benefits of the monitor (Safety Gain), "&amp;"the remaining safety gaps after using it (Residual Hazard), and its negative impact on the system's performance (Availability Cost). To compute these metrics, one requires to define two return functions, representing how a given ML prediction will impact "&amp;"expected future rewards and hazards. Three use-cases (classification, drone landing, and autonomous driving) are used to demonstrate how metrics from the literature can be expressed in terms of the proposed metrics. Experimental results on these examples "&amp;"show how different evaluation choices impact the perceived performance of a monitor. As our formalism requires us to formulate explicit safety assumptions, it allows us to ensure that the evaluation conducted matches the high-level system requirements. © "&amp;"2022 IEEE.")</f>
        <v>With the increasing use of Machine Learning (ML) in critical autonomous systems, runtime monitors have been developed to detect prediction errors and keep the system in a safe state during operations. Monitors have been proposed for different applications involving diverse perception tasks and ML models, and specific evaluation procedures and metrics are used for different contexts. This paper introduces three unified safety-oriented metrics, representing the safety benefits of the monitor (Safety Gain), the remaining safety gaps after using it (Residual Hazard), and its negative impact on the system's performance (Availability Cost). To compute these metrics, one requires to define two return functions, representing how a given ML prediction will impact expected future rewards and hazards. Three use-cases (classification, drone landing, and autonomous driving) are used to demonstrate how metrics from the literature can be expressed in terms of the proposed metrics. Experimental results on these examples show how different evaluation choices impact the perceived performance of a monitor. As our formalism requires us to formulate explicit safety assumptions, it allows us to ensure that the evaluation conducted matches the high-level system requirements. © 2022 IEEE.</v>
      </c>
      <c r="H1256" s="7" t="str">
        <f>IFERROR(__xludf.DUMMYFUNCTION("""COMPUTED_VALUE"""),"Evaluation; Machine learning safety; Runtime monitoring")</f>
        <v>Evaluation; Machine learning safety; Runtime monitoring</v>
      </c>
      <c r="I1256" s="10" t="b">
        <v>0</v>
      </c>
      <c r="J1256" s="10" t="b">
        <v>0</v>
      </c>
      <c r="K1256" s="10" t="b">
        <v>0</v>
      </c>
      <c r="L1256" s="10" t="b">
        <v>0</v>
      </c>
      <c r="M1256" s="10" t="b">
        <v>0</v>
      </c>
      <c r="N1256" s="10" t="b">
        <v>0</v>
      </c>
      <c r="O1256" s="11" t="b">
        <f t="shared" si="1"/>
        <v>0</v>
      </c>
      <c r="P1256" s="16" t="b">
        <v>0</v>
      </c>
      <c r="Q1256" s="7"/>
    </row>
    <row r="1257">
      <c r="A1257" s="5" t="b">
        <v>1</v>
      </c>
      <c r="B1257" s="5" t="s">
        <v>1308</v>
      </c>
      <c r="C1257" s="7" t="str">
        <f>IFERROR(__xludf.DUMMYFUNCTION("""COMPUTED_VALUE"""),"10.1109/ISSRE.2015.7381796")</f>
        <v>10.1109/ISSRE.2015.7381796</v>
      </c>
      <c r="D1257" s="7" t="str">
        <f>IFERROR(__xludf.DUMMYFUNCTION("""COMPUTED_VALUE"""),"Farshchi M.; Schneider J.-G.; Weber I.; Grundy J.")</f>
        <v>Farshchi M.; Schneider J.-G.; Weber I.; Grundy J.</v>
      </c>
      <c r="E1257" s="7" t="str">
        <f>IFERROR(__xludf.DUMMYFUNCTION("""COMPUTED_VALUE"""),"Experience report: Anomaly detection of cloud application operations using log and cloud metric correlation analysis")</f>
        <v>Experience report: Anomaly detection of cloud application operations using log and cloud metric correlation analysis</v>
      </c>
      <c r="F1257" s="7" t="str">
        <f>IFERROR(__xludf.DUMMYFUNCTION("""COMPUTED_VALUE"""),"ISSRE")</f>
        <v>ISSRE</v>
      </c>
      <c r="G1257" s="7" t="str">
        <f>IFERROR(__xludf.DUMMYFUNCTION("""COMPUTED_VALUE"""),"Failure of application operations is one of the main causes of system-wide outages in cloud environments. This particularly applies to DevOps operations, such as backup, redeployment, upgrade, customized scaling, and migration that are exposed to frequent"&amp;" interference from other concurrent operations, configuration changes, and resources failure. However, current practices fail to provide a reliable assurance of correct execution of these kinds of operations. In this paper, we present an approach to addre"&amp;"ss this problem that adopts a regression-based analysis technique to find the correlation between an operation's activity logs and the operation activity's effect on cloud resources. The correlation model is then used to derive assertion specifications, w"&amp;"hich can be used for runtime verification of running operations and their impact on resources. We evaluated our proposed approach on Amazon EC2 with 22 rounds of rolling upgrade operations while other types of operations were running and random faults wer"&amp;"e injected. Our experiment shows that our approach successfully managed to raise alarms for 115 random injected faults, with a precision of 92.3%. © 2015 IEEE.")</f>
        <v>Failure of application operations is one of the main causes of system-wide outages in cloud environments. This particularly applies to DevOps operations, such as backup, redeployment, upgrade, customized scaling, and migration that are exposed to frequent interference from other concurrent operations, configuration changes, and resources failure. However, current practices fail to provide a reliable assurance of correct execution of these kinds of operations. In this paper, we present an approach to address this problem that adopts a regression-based analysis technique to find the correlation between an operation's activity logs and the operation activity's effect on cloud resources. The correlation model is then used to derive assertion specifications, which can be used for runtime verification of running operations and their impact on resources. We evaluated our proposed approach on Amazon EC2 with 22 rounds of rolling upgrade operations while other types of operations were running and random faults were injected. Our experiment shows that our approach successfully managed to raise alarms for 115 random injected faults, with a precision of 92.3%. © 2015 IEEE.</v>
      </c>
      <c r="H1257" s="7" t="str">
        <f>IFERROR(__xludf.DUMMYFUNCTION("""COMPUTED_VALUE"""),"anomaly detection; Cloud application operations; Cloud monitoring; DevOps; error detection; log analysis")</f>
        <v>anomaly detection; Cloud application operations; Cloud monitoring; DevOps; error detection; log analysis</v>
      </c>
      <c r="I1257" s="10" t="b">
        <v>0</v>
      </c>
      <c r="J1257" s="10" t="b">
        <v>0</v>
      </c>
      <c r="K1257" s="10" t="b">
        <v>0</v>
      </c>
      <c r="L1257" s="10" t="b">
        <v>0</v>
      </c>
      <c r="M1257" s="10" t="b">
        <v>0</v>
      </c>
      <c r="N1257" s="10" t="b">
        <v>0</v>
      </c>
      <c r="O1257" s="11" t="b">
        <f t="shared" si="1"/>
        <v>0</v>
      </c>
      <c r="P1257" s="16" t="b">
        <v>0</v>
      </c>
      <c r="Q1257" s="7"/>
    </row>
    <row r="1258">
      <c r="A1258" s="5" t="b">
        <v>1</v>
      </c>
      <c r="B1258" s="5" t="s">
        <v>1309</v>
      </c>
      <c r="C1258" s="7"/>
      <c r="D1258" s="7" t="str">
        <f>IFERROR(__xludf.DUMMYFUNCTION("""COMPUTED_VALUE"""),"Geoghegan Sean J.; Avresky D.R.")</f>
        <v>Geoghegan Sean J.; Avresky D.R.</v>
      </c>
      <c r="E1258" s="7" t="str">
        <f>IFERROR(__xludf.DUMMYFUNCTION("""COMPUTED_VALUE"""),"Method for designing and placing check sets based on control flow analysis of programs")</f>
        <v>Method for designing and placing check sets based on control flow analysis of programs</v>
      </c>
      <c r="F1258" s="7" t="str">
        <f>IFERROR(__xludf.DUMMYFUNCTION("""COMPUTED_VALUE"""),"ISSRE")</f>
        <v>ISSRE</v>
      </c>
      <c r="G1258" s="7" t="str">
        <f>IFERROR(__xludf.DUMMYFUNCTION("""COMPUTED_VALUE"""),"We propose a formal approach for adding fault detection to software. An assertion-based formalism is used to represent algorithm specifications. This representation is then used to generate a flowgraph or ddgraph, which is used to construct an execution p"&amp;"ath tree. The information gained from this algorithm representation is used to aid in the design of software based fault tolerance techniques. Algorithm-based fault tolerance (ABFT) techniques are used to detect data structure corrupting faults and checks"&amp;" are added to detect program flow errors. Flowgraph and ddgraph representations provide information to predict future program flow from current flow. During execution, the current program location is recorded, along with expected flow. Checks are placed t"&amp;"o verify that program flow follows the predicted flow. Fault coverage has been estimated through experiments with the fault injection tool, SOFIT and the data is presented to demonstrate the effectiveness of the method.")</f>
        <v>We propose a formal approach for adding fault detection to software. An assertion-based formalism is used to represent algorithm specifications. This representation is then used to generate a flowgraph or ddgraph, which is used to construct an execution path tree. The information gained from this algorithm representation is used to aid in the design of software based fault tolerance techniques. Algorithm-based fault tolerance (ABFT) techniques are used to detect data structure corrupting faults and checks are added to detect program flow errors. Flowgraph and ddgraph representations provide information to predict future program flow from current flow. During execution, the current program location is recorded, along with expected flow. Checks are placed to verify that program flow follows the predicted flow. Fault coverage has been estimated through experiments with the fault injection tool, SOFIT and the data is presented to demonstrate the effectiveness of the method.</v>
      </c>
      <c r="H1258" s="7"/>
      <c r="I1258" s="10" t="b">
        <v>0</v>
      </c>
      <c r="J1258" s="10" t="b">
        <v>0</v>
      </c>
      <c r="K1258" s="10" t="b">
        <v>0</v>
      </c>
      <c r="L1258" s="10" t="b">
        <v>0</v>
      </c>
      <c r="M1258" s="10" t="b">
        <v>0</v>
      </c>
      <c r="N1258" s="10" t="b">
        <v>0</v>
      </c>
      <c r="O1258" s="11" t="b">
        <f t="shared" si="1"/>
        <v>0</v>
      </c>
      <c r="P1258" s="16" t="b">
        <v>0</v>
      </c>
      <c r="Q1258" s="7"/>
    </row>
    <row r="1259">
      <c r="A1259" s="5" t="b">
        <v>1</v>
      </c>
      <c r="B1259" s="5" t="s">
        <v>1310</v>
      </c>
      <c r="C1259" s="7" t="str">
        <f>IFERROR(__xludf.DUMMYFUNCTION("""COMPUTED_VALUE"""),"10.1109/ISSRE55969.2022.00039")</f>
        <v>10.1109/ISSRE55969.2022.00039</v>
      </c>
      <c r="D1259" s="7" t="str">
        <f>IFERROR(__xludf.DUMMYFUNCTION("""COMPUTED_VALUE"""),"Cheng Y.; Cheng B.; Jin P.; Sun Y.; Nie X.; Zhao N.; Zhang S.; Pei D.")</f>
        <v>Cheng Y.; Cheng B.; Jin P.; Sun Y.; Nie X.; Zhao N.; Zhang S.; Pei D.</v>
      </c>
      <c r="E1259" s="7" t="str">
        <f>IFERROR(__xludf.DUMMYFUNCTION("""COMPUTED_VALUE"""),"Effective Attribute Selection for Multi-dimensional Root Cause Analysis")</f>
        <v>Effective Attribute Selection for Multi-dimensional Root Cause Analysis</v>
      </c>
      <c r="F1259" s="7" t="str">
        <f>IFERROR(__xludf.DUMMYFUNCTION("""COMPUTED_VALUE"""),"ISSRE")</f>
        <v>ISSRE</v>
      </c>
      <c r="G1259" s="7" t="str">
        <f>IFERROR(__xludf.DUMMYFUNCTION("""COMPUTED_VALUE"""),"Using large-scale multi-dimensional data for root cause analysis (MDRCA) is vitally important for online software services. It helps operators narrow down the scope of anomalies and failures quickly and localize the root cause to a finer granularity. Howe"&amp;"ver, most existing MDRCA algorithms can only solve low-dimensional problems. When dealing with high-dimensional data, the complexity of these algorithms would significantly increase, and even some algorithms would no longer work. Intuitively, passing only"&amp;" a subset of attributes rather than full attributes can improve the performance of these MDRCA algorithms. However, it is challenging due to data imbalance and novel root cause attributes. To better understand the problem of root-cause-oriented attribute "&amp;"selection (RCOAS), we conduct a preliminary study based on real-world data. We find that there exist several straightforward rules to filter out some attributes. In addition, we reveal that existing approaches do not fit the requirements of RCOAS. Motivat"&amp;"ed by the study, we propose an RCOAS approach, RC-LIR, to select a subset of attributes for downstream algorithms. RC-LIR first performs rule-based selection. Then it improves a feature selection algorithm by two strategies, i.e., scaling up imbalanced da"&amp;"ta and considering the redundant cost. Experiments on 1000 real-world fault cases demonstrate that RC-LIR can achieve an F1-score of 0.88, outper-forming the baseline approaches by at least 0.15. Furthermore, our experiments with four widely adopted MDRCA"&amp;" algorithms show that integrating RC-LIR can lead to more effective and efficient MDRCA. © 2022 IEEE.")</f>
        <v>Using large-scale multi-dimensional data for root cause analysis (MDRCA) is vitally important for online software services. It helps operators narrow down the scope of anomalies and failures quickly and localize the root cause to a finer granularity. However, most existing MDRCA algorithms can only solve low-dimensional problems. When dealing with high-dimensional data, the complexity of these algorithms would significantly increase, and even some algorithms would no longer work. Intuitively, passing only a subset of attributes rather than full attributes can improve the performance of these MDRCA algorithms. However, it is challenging due to data imbalance and novel root cause attributes. To better understand the problem of root-cause-oriented attribute selection (RCOAS), we conduct a preliminary study based on real-world data. We find that there exist several straightforward rules to filter out some attributes. In addition, we reveal that existing approaches do not fit the requirements of RCOAS. Motivated by the study, we propose an RCOAS approach, RC-LIR, to select a subset of attributes for downstream algorithms. RC-LIR first performs rule-based selection. Then it improves a feature selection algorithm by two strategies, i.e., scaling up imbalanced data and considering the redundant cost. Experiments on 1000 real-world fault cases demonstrate that RC-LIR can achieve an F1-score of 0.88, outper-forming the baseline approaches by at least 0.15. Furthermore, our experiments with four widely adopted MDRCA algorithms show that integrating RC-LIR can lead to more effective and efficient MDRCA. © 2022 IEEE.</v>
      </c>
      <c r="H1259" s="7" t="str">
        <f>IFERROR(__xludf.DUMMYFUNCTION("""COMPUTED_VALUE"""),"Attribute Selection; Logistic Iterative Relief; Multi-dimensional Data; Root Cause Analysis")</f>
        <v>Attribute Selection; Logistic Iterative Relief; Multi-dimensional Data; Root Cause Analysis</v>
      </c>
      <c r="I1259" s="10" t="b">
        <v>0</v>
      </c>
      <c r="J1259" s="10" t="b">
        <v>0</v>
      </c>
      <c r="K1259" s="10" t="b">
        <v>0</v>
      </c>
      <c r="L1259" s="10" t="b">
        <v>0</v>
      </c>
      <c r="M1259" s="10" t="b">
        <v>0</v>
      </c>
      <c r="N1259" s="10" t="b">
        <v>0</v>
      </c>
      <c r="O1259" s="11" t="b">
        <f t="shared" si="1"/>
        <v>0</v>
      </c>
      <c r="P1259" s="16" t="b">
        <v>0</v>
      </c>
      <c r="Q1259" s="7"/>
    </row>
    <row r="1260">
      <c r="A1260" s="5" t="b">
        <v>1</v>
      </c>
      <c r="B1260" s="5" t="s">
        <v>1311</v>
      </c>
      <c r="C1260" s="7"/>
      <c r="D1260" s="7" t="str">
        <f>IFERROR(__xludf.DUMMYFUNCTION("""COMPUTED_VALUE"""),"Li J.Jenny; Horgan J.Robert")</f>
        <v>Li J.Jenny; Horgan J.Robert</v>
      </c>
      <c r="E1260" s="7" t="str">
        <f>IFERROR(__xludf.DUMMYFUNCTION("""COMPUTED_VALUE"""),"To maintain a reliable software specification")</f>
        <v>To maintain a reliable software specification</v>
      </c>
      <c r="F1260" s="7" t="str">
        <f>IFERROR(__xludf.DUMMYFUNCTION("""COMPUTED_VALUE"""),"ISSRE")</f>
        <v>ISSRE</v>
      </c>
      <c r="G1260" s="7" t="str">
        <f>IFERROR(__xludf.DUMMYFUNCTION("""COMPUTED_VALUE"""),"To maintain a reliable software specification, i.e. keeping software specification and design document synchronized with its implementation is always a difficult task because of the time constraints on software developers. Under such pressure, software de"&amp;"velopers often view finishing implementation as the end of their duty and updating documentation as tedious, time consuming and without payoff. This paper presents a methodology and its accompanying tool set, Workflow-Implementation-Synchronization (WIS),"&amp;" for automatic synchronization of specification and implementation. The idea is to have the implementation and specification running in parallel during regression testing. Inconsistencies are discovered when the two versions generate different results. Th"&amp;"e inconsistency will lead to the automatic update of the specification documents. To illustrate this approach, we use software architecture description as an example of software specification document. We applied the WIS method to a specific telecommunica"&amp;"tion control software. The experimental results show that WIS method is able to detect inconsistencies and synchronize the software architecture document with the software implementation. This line of research promises to reduce human involvement in keepi"&amp;"ng specification and implementation synchronized and thus improve the efficiency and reliability of software maintenance.")</f>
        <v>To maintain a reliable software specification, i.e. keeping software specification and design document synchronized with its implementation is always a difficult task because of the time constraints on software developers. Under such pressure, software developers often view finishing implementation as the end of their duty and updating documentation as tedious, time consuming and without payoff. This paper presents a methodology and its accompanying tool set, Workflow-Implementation-Synchronization (WIS), for automatic synchronization of specification and implementation. The idea is to have the implementation and specification running in parallel during regression testing. Inconsistencies are discovered when the two versions generate different results. The inconsistency will lead to the automatic update of the specification documents. To illustrate this approach, we use software architecture description as an example of software specification document. We applied the WIS method to a specific telecommunication control software. The experimental results show that WIS method is able to detect inconsistencies and synchronize the software architecture document with the software implementation. This line of research promises to reduce human involvement in keeping specification and implementation synchronized and thus improve the efficiency and reliability of software maintenance.</v>
      </c>
      <c r="H1260" s="7"/>
      <c r="I1260" s="10" t="b">
        <v>0</v>
      </c>
      <c r="J1260" s="10" t="b">
        <v>0</v>
      </c>
      <c r="K1260" s="10" t="b">
        <v>0</v>
      </c>
      <c r="L1260" s="10" t="b">
        <v>0</v>
      </c>
      <c r="M1260" s="10" t="b">
        <v>0</v>
      </c>
      <c r="N1260" s="10" t="b">
        <v>0</v>
      </c>
      <c r="O1260" s="11" t="b">
        <f t="shared" si="1"/>
        <v>0</v>
      </c>
      <c r="P1260" s="16" t="b">
        <v>0</v>
      </c>
      <c r="Q1260" s="7"/>
    </row>
    <row r="1261">
      <c r="A1261" s="5" t="b">
        <v>1</v>
      </c>
      <c r="B1261" s="5" t="s">
        <v>1312</v>
      </c>
      <c r="C1261" s="7"/>
      <c r="D1261" s="7" t="str">
        <f>IFERROR(__xludf.DUMMYFUNCTION("""COMPUTED_VALUE"""),"Cohen D.M.; Dalal S.R.; Kajla A.; Patton G.C.")</f>
        <v>Cohen D.M.; Dalal S.R.; Kajla A.; Patton G.C.</v>
      </c>
      <c r="E1261" s="7" t="str">
        <f>IFERROR(__xludf.DUMMYFUNCTION("""COMPUTED_VALUE"""),"Automatic efficient test generator (AETG) system")</f>
        <v>Automatic efficient test generator (AETG) system</v>
      </c>
      <c r="F1261" s="7" t="str">
        <f>IFERROR(__xludf.DUMMYFUNCTION("""COMPUTED_VALUE"""),"ISSRE")</f>
        <v>ISSRE</v>
      </c>
      <c r="G1261" s="7" t="str">
        <f>IFERROR(__xludf.DUMMYFUNCTION("""COMPUTED_VALUE"""),"Software testing is expensive, tedious and time consuming. Thus, the problem of making testing more efficient and mechanical, without losing its effectiveness, is very important. The Automatic Efficient Test Generator (AETG) is a new tool that mechanicall"&amp;"y generates efficient test sets from user defined test requirements. It is based on algorithms that use ideas from statistical experimental design theory to minimize the number of tests needed for a specific level of test coverage of the input test space."&amp;" The savings due to AETG are substantial when compared to exhaustive testing or other methods of testing. AETG has been used in Bellcore for screen testing, interoperability testing and for protocol conformance testing. This paper describes the current sy"&amp;"stem and it constructs and reports some preliminary results obtained during initial trials.")</f>
        <v>Software testing is expensive, tedious and time consuming. Thus, the problem of making testing more efficient and mechanical, without losing its effectiveness, is very important. The Automatic Efficient Test Generator (AETG) is a new tool that mechanically generates efficient test sets from user defined test requirements. It is based on algorithms that use ideas from statistical experimental design theory to minimize the number of tests needed for a specific level of test coverage of the input test space. The savings due to AETG are substantial when compared to exhaustive testing or other methods of testing. AETG has been used in Bellcore for screen testing, interoperability testing and for protocol conformance testing. This paper describes the current system and it constructs and reports some preliminary results obtained during initial trials.</v>
      </c>
      <c r="H1261" s="7"/>
      <c r="I1261" s="10" t="b">
        <v>0</v>
      </c>
      <c r="J1261" s="10" t="b">
        <v>0</v>
      </c>
      <c r="K1261" s="10" t="b">
        <v>0</v>
      </c>
      <c r="L1261" s="10" t="b">
        <v>0</v>
      </c>
      <c r="M1261" s="10" t="b">
        <v>0</v>
      </c>
      <c r="N1261" s="10" t="b">
        <v>0</v>
      </c>
      <c r="O1261" s="11" t="b">
        <f t="shared" si="1"/>
        <v>0</v>
      </c>
      <c r="P1261" s="16" t="b">
        <v>0</v>
      </c>
      <c r="Q1261" s="7"/>
    </row>
    <row r="1262">
      <c r="A1262" s="5" t="b">
        <v>1</v>
      </c>
      <c r="B1262" s="5" t="s">
        <v>1313</v>
      </c>
      <c r="C1262" s="7" t="str">
        <f>IFERROR(__xludf.DUMMYFUNCTION("""COMPUTED_VALUE"""),"10.1109/ISSRE59848.2023.00023")</f>
        <v>10.1109/ISSRE59848.2023.00023</v>
      </c>
      <c r="D1262" s="7" t="str">
        <f>IFERROR(__xludf.DUMMYFUNCTION("""COMPUTED_VALUE"""),"Lin J.; Li T.; Chen Y.; Wei G.; Lin J.; Zhang S.; Xu H.")</f>
        <v>Lin J.; Li T.; Chen Y.; Wei G.; Lin J.; Zhang S.; Xu H.</v>
      </c>
      <c r="E1262" s="7" t="str">
        <f>IFERROR(__xludf.DUMMYFUNCTION("""COMPUTED_VALUE"""),"FoREST: A Tree-based Black-box Fuzzing Approach for RESTful APIs")</f>
        <v>FoREST: A Tree-based Black-box Fuzzing Approach for RESTful APIs</v>
      </c>
      <c r="F1262" s="7" t="str">
        <f>IFERROR(__xludf.DUMMYFUNCTION("""COMPUTED_VALUE"""),"ISSRE")</f>
        <v>ISSRE</v>
      </c>
      <c r="G1262" s="7" t="str">
        <f>IFERROR(__xludf.DUMMYFUNCTION("""COMPUTED_VALUE"""),"Representational state transfer (REST) is a widely employed architecture by web applications and cloud. Users can invoke such services according to the specification of their application interfaces, namely RESTful APIs. Existing approaches for fuzzing RES"&amp;"Tful APIs are generally based on classic API-dependency graphs. However, such dependencies are inefficient for REST services due to the explosion of dependencies among APIs. In this paper, we propose a novel tree-based approach that can better capture the"&amp;" essential dependencies and largely improve the efficiency of RESTful API fuzzing. In particular, the hierarchical information of the endpoints across multiple APIs enables us to construct an API tree, and the relationships of tree nodes can indicate the "&amp;"priority of resource dependencies, e.g., it's more likely that a node depends on its parent node rather than its offspring or siblings. We employ two real-world REST projects and the REST-Go benchmark for evaluation and compare the performance of foREST w"&amp;"ith two state-of-the-art fuzzing tools, RESTler and EvoMaster (black-box mode). Results show that foREST can achieve substantial coverage improvement in most experiments. Besides, foREST finds 20 new bugs previously unknown.  © 2023 IEEE.")</f>
        <v>Representational state transfer (REST) is a widely employed architecture by web applications and cloud. Users can invoke such services according to the specification of their application interfaces, namely RESTful APIs. Existing approaches for fuzzing RESTful APIs are generally based on classic API-dependency graphs. However, such dependencies are inefficient for REST services due to the explosion of dependencies among APIs. In this paper, we propose a novel tree-based approach that can better capture the essential dependencies and largely improve the efficiency of RESTful API fuzzing. In particular, the hierarchical information of the endpoints across multiple APIs enables us to construct an API tree, and the relationships of tree nodes can indicate the priority of resource dependencies, e.g., it's more likely that a node depends on its parent node rather than its offspring or siblings. We employ two real-world REST projects and the REST-Go benchmark for evaluation and compare the performance of foREST with two state-of-the-art fuzzing tools, RESTler and EvoMaster (black-box mode). Results show that foREST can achieve substantial coverage improvement in most experiments. Besides, foREST finds 20 new bugs previously unknown.  © 2023 IEEE.</v>
      </c>
      <c r="H1262" s="7" t="str">
        <f>IFERROR(__xludf.DUMMYFUNCTION("""COMPUTED_VALUE"""),"Dependency Graph; Fuzzing; RESTful API")</f>
        <v>Dependency Graph; Fuzzing; RESTful API</v>
      </c>
      <c r="I1262" s="10" t="b">
        <v>0</v>
      </c>
      <c r="J1262" s="10" t="b">
        <v>0</v>
      </c>
      <c r="K1262" s="10" t="b">
        <v>0</v>
      </c>
      <c r="L1262" s="10" t="b">
        <v>0</v>
      </c>
      <c r="M1262" s="10" t="b">
        <v>0</v>
      </c>
      <c r="N1262" s="10" t="b">
        <v>0</v>
      </c>
      <c r="O1262" s="11" t="b">
        <f t="shared" si="1"/>
        <v>0</v>
      </c>
      <c r="P1262" s="16" t="b">
        <v>0</v>
      </c>
      <c r="Q1262" s="7"/>
    </row>
    <row r="1263">
      <c r="A1263" s="5" t="b">
        <v>1</v>
      </c>
      <c r="B1263" s="5" t="s">
        <v>1314</v>
      </c>
      <c r="C1263" s="7" t="str">
        <f>IFERROR(__xludf.DUMMYFUNCTION("""COMPUTED_VALUE"""),"10.1109/ISSRE.2012.35")</f>
        <v>10.1109/ISSRE.2012.35</v>
      </c>
      <c r="D1263" s="7" t="str">
        <f>IFERROR(__xludf.DUMMYFUNCTION("""COMPUTED_VALUE"""),"Kim Y.; Kim M.")</f>
        <v>Kim Y.; Kim M.</v>
      </c>
      <c r="E1263" s="7" t="str">
        <f>IFERROR(__xludf.DUMMYFUNCTION("""COMPUTED_VALUE"""),"Hybrid statistical model checking technique for reliable safety critical systems")</f>
        <v>Hybrid statistical model checking technique for reliable safety critical systems</v>
      </c>
      <c r="F1263" s="7" t="str">
        <f>IFERROR(__xludf.DUMMYFUNCTION("""COMPUTED_VALUE"""),"ISSRE")</f>
        <v>ISSRE</v>
      </c>
      <c r="G1263" s="7" t="str">
        <f>IFERROR(__xludf.DUMMYFUNCTION("""COMPUTED_VALUE"""),"Reliability of safety critical systems such as nuclear power plants and automobiles has become a significant issue to our society. As more computing systems are utilized in these safety critical systems, there are high demands for verification and validat"&amp;"ion (V&amp;V) techniques to assure the reliability of such complex computing systems. However, as the complexity of computing systems increases, conventional V&amp;V techniques such as testing and model checking have limitations, since such systems often control "&amp;"highly complex continuous dynamics. To improve the reliability of such systems, statistical model checking (SMC) techniques have been proposed. SMC techniques can check if a target system satisfies given requirements through statistical methods. In this p"&amp;"aper, we propose a new hybrid SMC technique that integrates sequential probability ratio test (SPRT) technique and Bayesian interval estimation testing (BIET) technique to achieve precise verification results quickly. In our experiment, the new hybrid SMC"&amp;" was up to 20% faster than BIET. In addition, we demonstrate the effectiveness and efficiency of this hybrid SMC technique by applying the hybrid SMC technique to three safety critical systems in the automobile domain. © 2012 IEEE.")</f>
        <v>Reliability of safety critical systems such as nuclear power plants and automobiles has become a significant issue to our society. As more computing systems are utilized in these safety critical systems, there are high demands for verification and validation (V&amp;V) techniques to assure the reliability of such complex computing systems. However, as the complexity of computing systems increases, conventional V&amp;V techniques such as testing and model checking have limitations, since such systems often control highly complex continuous dynamics. To improve the reliability of such systems, statistical model checking (SMC) techniques have been proposed. SMC techniques can check if a target system satisfies given requirements through statistical methods. In this paper, we propose a new hybrid SMC technique that integrates sequential probability ratio test (SPRT) technique and Bayesian interval estimation testing (BIET) technique to achieve precise verification results quickly. In our experiment, the new hybrid SMC was up to 20% faster than BIET. In addition, we demonstrate the effectiveness and efficiency of this hybrid SMC technique by applying the hybrid SMC technique to three safety critical systems in the automobile domain. © 2012 IEEE.</v>
      </c>
      <c r="H1263" s="7"/>
      <c r="I1263" s="10" t="b">
        <v>0</v>
      </c>
      <c r="J1263" s="10" t="b">
        <v>0</v>
      </c>
      <c r="K1263" s="10" t="b">
        <v>0</v>
      </c>
      <c r="L1263" s="10" t="b">
        <v>0</v>
      </c>
      <c r="M1263" s="10" t="b">
        <v>0</v>
      </c>
      <c r="N1263" s="10" t="b">
        <v>0</v>
      </c>
      <c r="O1263" s="11" t="b">
        <f t="shared" si="1"/>
        <v>0</v>
      </c>
      <c r="P1263" s="16" t="b">
        <v>0</v>
      </c>
      <c r="Q1263" s="7"/>
    </row>
    <row r="1264">
      <c r="A1264" s="5" t="b">
        <v>1</v>
      </c>
      <c r="B1264" s="5" t="s">
        <v>1315</v>
      </c>
      <c r="C1264" s="7" t="str">
        <f>IFERROR(__xludf.DUMMYFUNCTION("""COMPUTED_VALUE"""),"10.1109/ISSRE5O03.202O.OO028")</f>
        <v>10.1109/ISSRE5O03.202O.OO028</v>
      </c>
      <c r="D1264" s="7" t="str">
        <f>IFERROR(__xludf.DUMMYFUNCTION("""COMPUTED_VALUE"""),"Wu H.; Shang Z.; Peng G.; Wolter K.")</f>
        <v>Wu H.; Shang Z.; Peng G.; Wolter K.</v>
      </c>
      <c r="E1264" s="7" t="str">
        <f>IFERROR(__xludf.DUMMYFUNCTION("""COMPUTED_VALUE"""),"A reactive batching strategy of apache kafka for reliable stream processing in real-time")</f>
        <v>A reactive batching strategy of apache kafka for reliable stream processing in real-time</v>
      </c>
      <c r="F1264" s="7" t="str">
        <f>IFERROR(__xludf.DUMMYFUNCTION("""COMPUTED_VALUE"""),"ISSRE")</f>
        <v>ISSRE</v>
      </c>
      <c r="G1264" s="7" t="str">
        <f>IFERROR(__xludf.DUMMYFUNCTION("""COMPUTED_VALUE"""),"Modern stream processing systems need lo process large volumes of data in real-lime. Various stream processing frameworks have been developed and messaging systems are widely applied to transfer streaming data among different appli cations. As a distribut"&amp;"ed messaging system with growing popular ity. Apache Kafka processes streaming data in small hatches for efficiency. However, the robustness of Kafka's batching method against variable operating conditions is not known. In this paper we study the impact o"&amp;"f the hatch size on the performance of Kafka. Both configuration parameters, the spatial and temporal hatch size, are considered. We build a Kafka lest bed using Docker containers to analyze the distribution of Kafka's end-lo-end latency. The experimental"&amp;" results indicate that evaluating the mean latency only is unreliable in the context or real-time systems. In the experiments where network faults are injected, we find that the batch size affects the message loss rate in the presence of an unstable netwo"&amp;"rk connection. However, allocating resources for message processing and delivery that will violate the reliability requirements implemented as latency constraints of a real-time system is inefficient. To address these challenges we propose a reactive batc"&amp;"hing strategy. We evaluate our batching strategy in both good and poor network conditions. The results show that the strategy is powerful enough to meet both latency and throughput constraints even when network conditions aie variable. © 2020 IEEE Compute"&amp;"r Society. All rights reserved.")</f>
        <v>Modern stream processing systems need lo process large volumes of data in real-lime. Various stream processing frameworks have been developed and messaging systems are widely applied to transfer streaming data among different appli cations. As a distributed messaging system with growing popular ity. Apache Kafka processes streaming data in small hatches for efficiency. However, the robustness of Kafka's batching method against variable operating conditions is not known. In this paper we study the impact of the hatch size on the performance of Kafka. Both configuration parameters, the spatial and temporal hatch size, are considered. We build a Kafka lest bed using Docker containers to analyze the distribution of Kafka's end-lo-end latency. The experimental results indicate that evaluating the mean latency only is unreliable in the context or real-time systems. In the experiments where network faults are injected, we find that the batch size affects the message loss rate in the presence of an unstable network connection. However, allocating resources for message processing and delivery that will violate the reliability requirements implemented as latency constraints of a real-time system is inefficient. To address these challenges we propose a reactive batching strategy. We evaluate our batching strategy in both good and poor network conditions. The results show that the strategy is powerful enough to meet both latency and throughput constraints even when network conditions aie variable. © 2020 IEEE Computer Society. All rights reserved.</v>
      </c>
      <c r="H1264" s="7" t="str">
        <f>IFERROR(__xludf.DUMMYFUNCTION("""COMPUTED_VALUE"""),"Apache Kafka; Docker; Per formance; Real-time; Reliability; Stream processing")</f>
        <v>Apache Kafka; Docker; Per formance; Real-time; Reliability; Stream processing</v>
      </c>
      <c r="I1264" s="10" t="b">
        <v>0</v>
      </c>
      <c r="J1264" s="10" t="b">
        <v>0</v>
      </c>
      <c r="K1264" s="10" t="b">
        <v>0</v>
      </c>
      <c r="L1264" s="10" t="b">
        <v>0</v>
      </c>
      <c r="M1264" s="10" t="b">
        <v>0</v>
      </c>
      <c r="N1264" s="10" t="b">
        <v>0</v>
      </c>
      <c r="O1264" s="11" t="b">
        <f t="shared" si="1"/>
        <v>0</v>
      </c>
      <c r="P1264" s="16" t="b">
        <v>0</v>
      </c>
      <c r="Q1264" s="7"/>
    </row>
    <row r="1265">
      <c r="A1265" s="5" t="b">
        <v>1</v>
      </c>
      <c r="B1265" s="5" t="s">
        <v>1316</v>
      </c>
      <c r="C1265" s="7"/>
      <c r="D1265" s="7" t="str">
        <f>IFERROR(__xludf.DUMMYFUNCTION("""COMPUTED_VALUE"""),"Denise A.; Gaudel M.-C.; Gouraud S.-D.")</f>
        <v>Denise A.; Gaudel M.-C.; Gouraud S.-D.</v>
      </c>
      <c r="E1265" s="7" t="str">
        <f>IFERROR(__xludf.DUMMYFUNCTION("""COMPUTED_VALUE"""),"A generic method for statistical testing")</f>
        <v>A generic method for statistical testing</v>
      </c>
      <c r="F1265" s="7" t="str">
        <f>IFERROR(__xludf.DUMMYFUNCTION("""COMPUTED_VALUE"""),"ISSRE")</f>
        <v>ISSRE</v>
      </c>
      <c r="G1265" s="7" t="str">
        <f>IFERROR(__xludf.DUMMYFUNCTION("""COMPUTED_VALUE"""),"This paper addresses the problem of selecting finite test sets and automating this selection. Among these methods, some are deterministic and some are statistical. The kind of statistical testing we consider has been inspired by the work of Thevenod-Fosse"&amp;" and Waeselynck. There, the choice of the distribution on the input domain is guided by the structure of the program or the form of its specification. In the present paper, we describe a new generic method for performing statistical testing according to a"&amp;"ny given graphical description of the behavior of the system under test. This method can be fully automated. Its main originality is that it exploits recent results and tools in combinatorics, precisely in the area of random generation of combinatorial st"&amp;"ructures. Uniform random generation routines are used for drawing paths from the set of execution paths or traces of the system under test. Then a constraint resolution step is performed, aiming to design a set of test data that activate the generated pat"&amp;"hs. This approach applies to a number of classical coverage criteria. Moreover, we show how linear programming techniques may help to improve the quality of test, i.e. the probabilities for the elements to be covered by the test process. The paper present"&amp;"s the method in its generality. Then, in the last section, experimental results on applying it to structural statistical software testing are reported. © 2004 IEEE.")</f>
        <v>This paper addresses the problem of selecting finite test sets and automating this selection. Among these methods, some are deterministic and some are statistical. The kind of statistical testing we consider has been inspired by the work of Thevenod-Fosse and Waeselynck. There, the choice of the distribution on the input domain is guided by the structure of the program or the form of its specification. In the present paper, we describe a new generic method for performing statistical testing according to any given graphical description of the behavior of the system under test. This method can be fully automated. Its main originality is that it exploits recent results and tools in combinatorics, precisely in the area of random generation of combinatorial structures. Uniform random generation routines are used for drawing paths from the set of execution paths or traces of the system under test. Then a constraint resolution step is performed, aiming to design a set of test data that activate the generated paths. This approach applies to a number of classical coverage criteria. Moreover, we show how linear programming techniques may help to improve the quality of test, i.e. the probabilities for the elements to be covered by the test process. The paper presents the method in its generality. Then, in the last section, experimental results on applying it to structural statistical software testing are reported. © 2004 IEEE.</v>
      </c>
      <c r="H1265" s="7"/>
      <c r="I1265" s="10" t="b">
        <v>0</v>
      </c>
      <c r="J1265" s="10" t="b">
        <v>0</v>
      </c>
      <c r="K1265" s="10" t="b">
        <v>0</v>
      </c>
      <c r="L1265" s="10" t="b">
        <v>0</v>
      </c>
      <c r="M1265" s="10" t="b">
        <v>0</v>
      </c>
      <c r="N1265" s="10" t="b">
        <v>0</v>
      </c>
      <c r="O1265" s="11" t="b">
        <f t="shared" si="1"/>
        <v>0</v>
      </c>
      <c r="P1265" s="16" t="b">
        <v>0</v>
      </c>
      <c r="Q1265" s="7"/>
    </row>
    <row r="1266">
      <c r="A1266" s="5" t="b">
        <v>1</v>
      </c>
      <c r="B1266" s="5" t="s">
        <v>1317</v>
      </c>
      <c r="C1266" s="7"/>
      <c r="D1266" s="7"/>
      <c r="E1266" s="7" t="str">
        <f>IFERROR(__xludf.DUMMYFUNCTION("""COMPUTED_VALUE"""),"Proceedings - 1991 International Symposium on Software Reliability Engineering, ISSRE 1991")</f>
        <v>Proceedings - 1991 International Symposium on Software Reliability Engineering, ISSRE 1991</v>
      </c>
      <c r="F1266" s="7" t="str">
        <f>IFERROR(__xludf.DUMMYFUNCTION("""COMPUTED_VALUE"""),"ISSRE")</f>
        <v>ISSRE</v>
      </c>
      <c r="G1266" s="7" t="str">
        <f>IFERROR(__xludf.DUMMYFUNCTION("""COMPUTED_VALUE"""),"The proceedings contain 29 papers. The topics discussed include: the use of software complexity metrics in software reliability modeling; a framework for selecting system design metrics; the influence of syntactic and semantic errors on the quality of sof"&amp;"tware; parameter estimation of the hyper-geometric distribution model for real test/debug data; reliability models for very large software systems in industry; safety arguments, software and system reliability; a micro software reliability model for predi"&amp;"ction and test apportionment; realistic assumptions for software reliability models; a mechanical verifier for supporting the design of reliable reactive systems; and formal specifications and reliability: an experimental study.")</f>
        <v>The proceedings contain 29 papers. The topics discussed include: the use of software complexity metrics in software reliability modeling; a framework for selecting system design metrics; the influence of syntactic and semantic errors on the quality of software; parameter estimation of the hyper-geometric distribution model for real test/debug data; reliability models for very large software systems in industry; safety arguments, software and system reliability; a micro software reliability model for prediction and test apportionment; realistic assumptions for software reliability models; a mechanical verifier for supporting the design of reliable reactive systems; and formal specifications and reliability: an experimental study.</v>
      </c>
      <c r="H1266" s="7"/>
      <c r="I1266" s="10" t="b">
        <v>0</v>
      </c>
      <c r="J1266" s="10" t="b">
        <v>0</v>
      </c>
      <c r="K1266" s="10" t="b">
        <v>0</v>
      </c>
      <c r="L1266" s="10" t="b">
        <v>0</v>
      </c>
      <c r="M1266" s="10" t="b">
        <v>0</v>
      </c>
      <c r="N1266" s="10" t="b">
        <v>0</v>
      </c>
      <c r="O1266" s="11" t="b">
        <f t="shared" si="1"/>
        <v>0</v>
      </c>
      <c r="P1266" s="16" t="b">
        <v>0</v>
      </c>
      <c r="Q1266" s="7"/>
    </row>
    <row r="1267">
      <c r="A1267" s="5" t="b">
        <v>1</v>
      </c>
      <c r="B1267" s="5" t="s">
        <v>1318</v>
      </c>
      <c r="C1267" s="7" t="str">
        <f>IFERROR(__xludf.DUMMYFUNCTION("""COMPUTED_VALUE"""),"10.1109/ISSRE.2006.51")</f>
        <v>10.1109/ISSRE.2006.51</v>
      </c>
      <c r="D1267" s="7" t="str">
        <f>IFERROR(__xludf.DUMMYFUNCTION("""COMPUTED_VALUE"""),"Sampath S.; Sprenkle S.; Gibson E.; Pollock L.")</f>
        <v>Sampath S.; Sprenkle S.; Gibson E.; Pollock L.</v>
      </c>
      <c r="E1267" s="7" t="str">
        <f>IFERROR(__xludf.DUMMYFUNCTION("""COMPUTED_VALUE"""),"Web application testing with customized test requirements - An experimental comparison study")</f>
        <v>Web application testing with customized test requirements - An experimental comparison study</v>
      </c>
      <c r="F1267" s="7" t="str">
        <f>IFERROR(__xludf.DUMMYFUNCTION("""COMPUTED_VALUE"""),"ISSRE")</f>
        <v>ISSRE</v>
      </c>
      <c r="G1267" s="7" t="str">
        <f>IFERROR(__xludf.DUMMYFUNCTION("""COMPUTED_VALUE"""),"Test suite reduction uses test requirement coverage to determine if the reduced test suite maintains the original suite's requirement coverage. Based on observations from our previous experimental studies on test suite reduction, we believe there is a nee"&amp;"d for customized test requirements for web applications. In this paper, we examine usage-based customized test requirements for the test suite reduction problem in web application testing. We conduct an extensive experimental study to evaluate the tradeof"&amp;"fs between five classes of customized requirements with respect to reduced test suite size, program coverage and fault detection effectiveness. Our results show that the reduced suites' program coverage and fault detection effectiveness increases with the"&amp;" context or data associated with the reduction requirement. Based on our experimental results, we provide guidance to testers on the most useful test requirement for web applications in general and provide intuition on factors testers need to consider whe"&amp;"n selecting test requirements. ©2006 IEEE.")</f>
        <v>Test suite reduction uses test requirement coverage to determine if the reduced test suite maintains the original suite's requirement coverage. Based on observations from our previous experimental studies on test suite reduction, we believe there is a need for customized test requirements for web applications. In this paper, we examine usage-based customized test requirements for the test suite reduction problem in web application testing. We conduct an extensive experimental study to evaluate the tradeoffs between five classes of customized requirements with respect to reduced test suite size, program coverage and fault detection effectiveness. Our results show that the reduced suites' program coverage and fault detection effectiveness increases with the context or data associated with the reduction requirement. Based on our experimental results, we provide guidance to testers on the most useful test requirement for web applications in general and provide intuition on factors testers need to consider when selecting test requirements. ©2006 IEEE.</v>
      </c>
      <c r="H1267" s="7"/>
      <c r="I1267" s="10" t="b">
        <v>0</v>
      </c>
      <c r="J1267" s="9" t="b">
        <v>1</v>
      </c>
      <c r="K1267" s="9" t="b">
        <v>1</v>
      </c>
      <c r="L1267" s="10" t="b">
        <v>0</v>
      </c>
      <c r="M1267" s="10" t="b">
        <v>0</v>
      </c>
      <c r="N1267" s="10" t="b">
        <v>0</v>
      </c>
      <c r="O1267" s="11" t="b">
        <f t="shared" si="1"/>
        <v>0</v>
      </c>
      <c r="P1267" s="16" t="b">
        <v>0</v>
      </c>
      <c r="Q1267" s="7"/>
    </row>
    <row r="1268">
      <c r="A1268" s="5" t="b">
        <v>1</v>
      </c>
      <c r="B1268" s="5" t="s">
        <v>1319</v>
      </c>
      <c r="C1268" s="7"/>
      <c r="D1268" s="7" t="str">
        <f>IFERROR(__xludf.DUMMYFUNCTION("""COMPUTED_VALUE"""),"Fabbri Sandra C.Pinto Ferraz; Delamaro Marcio Eduardo; Maldonado Jose Carlos; Masiero Paulo Cesar")</f>
        <v>Fabbri Sandra C.Pinto Ferraz; Delamaro Marcio Eduardo; Maldonado Jose Carlos; Masiero Paulo Cesar</v>
      </c>
      <c r="E1268" s="7" t="str">
        <f>IFERROR(__xludf.DUMMYFUNCTION("""COMPUTED_VALUE"""),"Mutation analysis testing for finite state machines")</f>
        <v>Mutation analysis testing for finite state machines</v>
      </c>
      <c r="F1268" s="7" t="str">
        <f>IFERROR(__xludf.DUMMYFUNCTION("""COMPUTED_VALUE"""),"ISSRE")</f>
        <v>ISSRE</v>
      </c>
      <c r="G1268" s="7" t="str">
        <f>IFERROR(__xludf.DUMMYFUNCTION("""COMPUTED_VALUE"""),"The application of the Mutation Analysis criterion in the context of specification based on Finite State Machine is proposed. The main concepts of Finite State Machine and of Mutation Analysis are briefly introduced. An experiment is reported which manual"&amp;"ly applied Mutation Analysis to a finite state machine modeling a Class 0 ISO Transport Protocol Specification, using two test sequence generator criteria - the W Method and the TT Method. The results obtained are presented and evidences are given that th"&amp;"e use of Mutation Analysis is effective in this context. Finally, the lines of evolution of the work presented in this paper are briefly discussed.")</f>
        <v>The application of the Mutation Analysis criterion in the context of specification based on Finite State Machine is proposed. The main concepts of Finite State Machine and of Mutation Analysis are briefly introduced. An experiment is reported which manually applied Mutation Analysis to a finite state machine modeling a Class 0 ISO Transport Protocol Specification, using two test sequence generator criteria - the W Method and the TT Method. The results obtained are presented and evidences are given that the use of Mutation Analysis is effective in this context. Finally, the lines of evolution of the work presented in this paper are briefly discussed.</v>
      </c>
      <c r="H1268" s="7"/>
      <c r="I1268" s="10" t="b">
        <v>0</v>
      </c>
      <c r="J1268" s="10" t="b">
        <v>0</v>
      </c>
      <c r="K1268" s="10" t="b">
        <v>0</v>
      </c>
      <c r="L1268" s="10" t="b">
        <v>0</v>
      </c>
      <c r="M1268" s="10" t="b">
        <v>0</v>
      </c>
      <c r="N1268" s="10" t="b">
        <v>0</v>
      </c>
      <c r="O1268" s="11" t="b">
        <f t="shared" si="1"/>
        <v>0</v>
      </c>
      <c r="P1268" s="16" t="b">
        <v>0</v>
      </c>
      <c r="Q1268" s="7"/>
    </row>
    <row r="1269">
      <c r="A1269" s="5" t="b">
        <v>1</v>
      </c>
      <c r="B1269" s="5" t="s">
        <v>1320</v>
      </c>
      <c r="C1269" s="7" t="str">
        <f>IFERROR(__xludf.DUMMYFUNCTION("""COMPUTED_VALUE"""),"10.1109/ISSRE.2006.24")</f>
        <v>10.1109/ISSRE.2006.24</v>
      </c>
      <c r="D1269" s="7" t="str">
        <f>IFERROR(__xludf.DUMMYFUNCTION("""COMPUTED_VALUE"""),"Owen D.; Desovski D.; Cukic B.")</f>
        <v>Owen D.; Desovski D.; Cukic B.</v>
      </c>
      <c r="E1269" s="7" t="str">
        <f>IFERROR(__xludf.DUMMYFUNCTION("""COMPUTED_VALUE"""),"Effectively combining software verification strategies: Understanding different assumptions")</f>
        <v>Effectively combining software verification strategies: Understanding different assumptions</v>
      </c>
      <c r="F1269" s="7" t="str">
        <f>IFERROR(__xludf.DUMMYFUNCTION("""COMPUTED_VALUE"""),"ISSRE")</f>
        <v>ISSRE</v>
      </c>
      <c r="G1269" s="7" t="str">
        <f>IFERROR(__xludf.DUMMYFUNCTION("""COMPUTED_VALUE"""),"In this paper we describe an experiment in which inconsistent results between two tools for testing formal models (and a third used to determine which of the two was correct) led us to a more careful look at the way each tool was being used and a clearer "&amp;"understanding of the output of the tools. For the experiment, we created error-seeded versions of an SCR specification representing a real-world personnel access control system. They were checked using the model checker SPIN and Lurch, our random testing "&amp;"tool for finite-state models. In one case a property violation was detected by Lurch, an incomplete tool, but missed by SPIN, a model checking tool designed for complete verification. We used the SCR Toolset and the Salsa invariant checker to determine th"&amp;"at the violation detected by Lurch was indeed present in the specification. We then looked more carefully at how we were using SPIN in conjunction with the SCR Toolset and, eventually, made adjustments so that SPIN also detected the property violation ini"&amp;"tially detected only by Lurch. Once it was clear the tools were being used correctly and would give consistent results, we did an experiment to determine how they could be combined to optimize completeness and efficiency. We found that combining tools mad"&amp;"e it possible to verify the specifications faster and with much less memory in most cases. © 2006 IEEE.")</f>
        <v>In this paper we describe an experiment in which inconsistent results between two tools for testing formal models (and a third used to determine which of the two was correct) led us to a more careful look at the way each tool was being used and a clearer understanding of the output of the tools. For the experiment, we created error-seeded versions of an SCR specification representing a real-world personnel access control system. They were checked using the model checker SPIN and Lurch, our random testing tool for finite-state models. In one case a property violation was detected by Lurch, an incomplete tool, but missed by SPIN, a model checking tool designed for complete verification. We used the SCR Toolset and the Salsa invariant checker to determine that the violation detected by Lurch was indeed present in the specification. We then looked more carefully at how we were using SPIN in conjunction with the SCR Toolset and, eventually, made adjustments so that SPIN also detected the property violation initially detected only by Lurch. Once it was clear the tools were being used correctly and would give consistent results, we did an experiment to determine how they could be combined to optimize completeness and efficiency. We found that combining tools made it possible to verify the specifications faster and with much less memory in most cases. © 2006 IEEE.</v>
      </c>
      <c r="H1269" s="7"/>
      <c r="I1269" s="10" t="b">
        <v>0</v>
      </c>
      <c r="J1269" s="10" t="b">
        <v>0</v>
      </c>
      <c r="K1269" s="10" t="b">
        <v>0</v>
      </c>
      <c r="L1269" s="10" t="b">
        <v>0</v>
      </c>
      <c r="M1269" s="10" t="b">
        <v>0</v>
      </c>
      <c r="N1269" s="10" t="b">
        <v>0</v>
      </c>
      <c r="O1269" s="11" t="b">
        <f t="shared" si="1"/>
        <v>0</v>
      </c>
      <c r="P1269" s="16" t="b">
        <v>0</v>
      </c>
      <c r="Q1269" s="7"/>
    </row>
    <row r="1270">
      <c r="A1270" s="5" t="b">
        <v>1</v>
      </c>
      <c r="B1270" s="5" t="s">
        <v>1321</v>
      </c>
      <c r="C1270" s="7" t="str">
        <f>IFERROR(__xludf.DUMMYFUNCTION("""COMPUTED_VALUE"""),"10.1109/ISSRE.2005.21")</f>
        <v>10.1109/ISSRE.2005.21</v>
      </c>
      <c r="D1270" s="7" t="str">
        <f>IFERROR(__xludf.DUMMYFUNCTION("""COMPUTED_VALUE"""),"Beiroumi M.Z.")</f>
        <v>Beiroumi M.Z.</v>
      </c>
      <c r="E1270" s="7" t="str">
        <f>IFERROR(__xludf.DUMMYFUNCTION("""COMPUTED_VALUE"""),"High available mobile infrastructure applications")</f>
        <v>High available mobile infrastructure applications</v>
      </c>
      <c r="F1270" s="7" t="str">
        <f>IFERROR(__xludf.DUMMYFUNCTION("""COMPUTED_VALUE"""),"ISSRE")</f>
        <v>ISSRE</v>
      </c>
      <c r="G1270" s="7" t="str">
        <f>IFERROR(__xludf.DUMMYFUNCTION("""COMPUTED_VALUE"""),"High availability is a key requirement in mobile communication systems, especially, when it is used for mission-critical services such as public safety. A failure in the fixed network infrastructure can affect a large number of its users and risk loss of "&amp;"lives. The software applications that run the infrastructure and provide services to the mobile users according to some defined communication protocols play a key role for system availability. However, the real-time peer-to-peer aspects of these protocols"&amp;" pose a real challenge to the development of a recovery method that can work in such environment. In a previous paper, we introduced a new failure recovery approach based on a behavioral model for communication protocols. We extend our model based recover"&amp;"y method to also include infrastructure applications that provide data delivery with QoS. Our experimental results have shown that the method improves the availability of these applications by enabling them to quickly and successfully recover from failure"&amp;"s. Moreover, the failure-free overhead caused by this approach is relatively low, and is experimentally found to be less than 5%. © 2005 IEEE.")</f>
        <v>High availability is a key requirement in mobile communication systems, especially, when it is used for mission-critical services such as public safety. A failure in the fixed network infrastructure can affect a large number of its users and risk loss of lives. The software applications that run the infrastructure and provide services to the mobile users according to some defined communication protocols play a key role for system availability. However, the real-time peer-to-peer aspects of these protocols pose a real challenge to the development of a recovery method that can work in such environment. In a previous paper, we introduced a new failure recovery approach based on a behavioral model for communication protocols. We extend our model based recovery method to also include infrastructure applications that provide data delivery with QoS. Our experimental results have shown that the method improves the availability of these applications by enabling them to quickly and successfully recover from failures. Moreover, the failure-free overhead caused by this approach is relatively low, and is experimentally found to be less than 5%. © 2005 IEEE.</v>
      </c>
      <c r="H1270" s="7"/>
      <c r="I1270" s="10" t="b">
        <v>0</v>
      </c>
      <c r="J1270" s="10" t="b">
        <v>0</v>
      </c>
      <c r="K1270" s="10" t="b">
        <v>0</v>
      </c>
      <c r="L1270" s="10" t="b">
        <v>0</v>
      </c>
      <c r="M1270" s="10" t="b">
        <v>0</v>
      </c>
      <c r="N1270" s="10" t="b">
        <v>0</v>
      </c>
      <c r="O1270" s="11" t="b">
        <f t="shared" si="1"/>
        <v>0</v>
      </c>
      <c r="P1270" s="16" t="b">
        <v>0</v>
      </c>
      <c r="Q1270" s="7"/>
    </row>
    <row r="1271">
      <c r="A1271" s="5" t="b">
        <v>1</v>
      </c>
      <c r="B1271" s="5" t="s">
        <v>1322</v>
      </c>
      <c r="C1271" s="7" t="str">
        <f>IFERROR(__xludf.DUMMYFUNCTION("""COMPUTED_VALUE"""),"10.1109/ISSRE59848.2023.00038")</f>
        <v>10.1109/ISSRE59848.2023.00038</v>
      </c>
      <c r="D1271" s="7" t="str">
        <f>IFERROR(__xludf.DUMMYFUNCTION("""COMPUTED_VALUE"""),"He S.; Lei Y.; Zhang Y.; Xie K.; Sharma P.K.")</f>
        <v>He S.; Lei Y.; Zhang Y.; Xie K.; Sharma P.K.</v>
      </c>
      <c r="E1271" s="7" t="str">
        <f>IFERROR(__xludf.DUMMYFUNCTION("""COMPUTED_VALUE"""),"Parameter-Efficient Log Anomaly Detection based on Pre-training model and LORA")</f>
        <v>Parameter-Efficient Log Anomaly Detection based on Pre-training model and LORA</v>
      </c>
      <c r="F1271" s="7" t="str">
        <f>IFERROR(__xludf.DUMMYFUNCTION("""COMPUTED_VALUE"""),"ISSRE")</f>
        <v>ISSRE</v>
      </c>
      <c r="G1271" s="7" t="str">
        <f>IFERROR(__xludf.DUMMYFUNCTION("""COMPUTED_VALUE"""),"Logs record both the normal and abnormal system operating status at any time, which are crucial data during system operation. Log anomaly detection can help with system debugging and analyzing root causes, such as system fault, shutdown fault, null-pointe"&amp;"r exception, illegal-argument exception, and class cast exception. Deep learning is widely applied to log anomaly detection to enhance detection accuracy. However, the deep learning model requires a lot of label logs, which consume large amounts of labor "&amp;"and time. To tackle this label requirement problem, the pre-training model is introduced, for instance, the Bidirectional Encoder Representations from Transformers (BERT). However, the pre-training model brings new problems. The parameters of BERT needed "&amp;"to be fine-tuned are huge, resulting in a high training overhead. Besides, the direct word sequence input representation of BERT ignores the semantic information among logs. Therefore, we propose a parameter-efficient log anomaly detection scheme (LogBP-L"&amp;"ORA) based on BERT and Low-Rank Adaptation (LORA). LORA is an effective parameter-tuning strategy. LogBP-LORA increases bypass weight matrices and only updates the bypass parameters instead of all the original parameters to reduce the training overhead. A"&amp;"dditionally, LogBP-LORA exploits log event sequence representation to obtain more semantic information with a shorter sequence length. Extensive experiments carry on three public log datasets, BGL, Thunderbird, and HDFS, demonstrate LogBP-LORA can obtain "&amp;"favorable performance with lower resource consumption. When fewer label data is available, LogBP-LORA achieves about 10%-99% higher F1-score compared with Neurallog, Deeplog, MADDC, and Loganomaly. The training parameters of LogBP-LoRA are only 0.06% of t"&amp;"he original parameters of BERT.  © 2023 IEEE.")</f>
        <v>Logs record both the normal and abnormal system operating status at any time, which are crucial data during system operation. Log anomaly detection can help with system debugging and analyzing root causes, such as system fault, shutdown fault, null-pointer exception, illegal-argument exception, and class cast exception. Deep learning is widely applied to log anomaly detection to enhance detection accuracy. However, the deep learning model requires a lot of label logs, which consume large amounts of labor and time. To tackle this label requirement problem, the pre-training model is introduced, for instance, the Bidirectional Encoder Representations from Transformers (BERT). However, the pre-training model brings new problems. The parameters of BERT needed to be fine-tuned are huge, resulting in a high training overhead. Besides, the direct word sequence input representation of BERT ignores the semantic information among logs. Therefore, we propose a parameter-efficient log anomaly detection scheme (LogBP-LORA) based on BERT and Low-Rank Adaptation (LORA). LORA is an effective parameter-tuning strategy. LogBP-LORA increases bypass weight matrices and only updates the bypass parameters instead of all the original parameters to reduce the training overhead. Additionally, LogBP-LORA exploits log event sequence representation to obtain more semantic information with a shorter sequence length. Extensive experiments carry on three public log datasets, BGL, Thunderbird, and HDFS, demonstrate LogBP-LORA can obtain favorable performance with lower resource consumption. When fewer label data is available, LogBP-LORA achieves about 10%-99% higher F1-score compared with Neurallog, Deeplog, MADDC, and Loganomaly. The training parameters of LogBP-LoRA are only 0.06% of the original parameters of BERT.  © 2023 IEEE.</v>
      </c>
      <c r="H1271" s="7" t="str">
        <f>IFERROR(__xludf.DUMMYFUNCTION("""COMPUTED_VALUE"""),"BERT; Log anomaly detection; log event; log feature extraction; parameter-tuning strategy")</f>
        <v>BERT; Log anomaly detection; log event; log feature extraction; parameter-tuning strategy</v>
      </c>
      <c r="I1271" s="10" t="b">
        <v>0</v>
      </c>
      <c r="J1271" s="10" t="b">
        <v>0</v>
      </c>
      <c r="K1271" s="10" t="b">
        <v>0</v>
      </c>
      <c r="L1271" s="10" t="b">
        <v>0</v>
      </c>
      <c r="M1271" s="10" t="b">
        <v>0</v>
      </c>
      <c r="N1271" s="10" t="b">
        <v>0</v>
      </c>
      <c r="O1271" s="11" t="b">
        <f t="shared" si="1"/>
        <v>0</v>
      </c>
      <c r="P1271" s="16" t="b">
        <v>0</v>
      </c>
      <c r="Q1271" s="7"/>
    </row>
    <row r="1272">
      <c r="A1272" s="5" t="b">
        <v>1</v>
      </c>
      <c r="B1272" s="5" t="s">
        <v>1323</v>
      </c>
      <c r="C1272" s="7" t="str">
        <f>IFERROR(__xludf.DUMMYFUNCTION("""COMPUTED_VALUE"""),"10.1109/ISSRE.2010.27")</f>
        <v>10.1109/ISSRE.2010.27</v>
      </c>
      <c r="D1272" s="7" t="str">
        <f>IFERROR(__xludf.DUMMYFUNCTION("""COMPUTED_VALUE"""),"Shao D.; Gopinath D.; Khurshid S.; Perry D.E.")</f>
        <v>Shao D.; Gopinath D.; Khurshid S.; Perry D.E.</v>
      </c>
      <c r="E1272" s="7" t="str">
        <f>IFERROR(__xludf.DUMMYFUNCTION("""COMPUTED_VALUE"""),"Optimizing incremental scope-bounded checking with data-flow analysis")</f>
        <v>Optimizing incremental scope-bounded checking with data-flow analysis</v>
      </c>
      <c r="F1272" s="7" t="str">
        <f>IFERROR(__xludf.DUMMYFUNCTION("""COMPUTED_VALUE"""),"ISSRE")</f>
        <v>ISSRE</v>
      </c>
      <c r="G1272" s="7" t="str">
        <f>IFERROR(__xludf.DUMMYFUNCTION("""COMPUTED_VALUE"""),"We present a novel approach to optimize incremental scope-bounded checking of programs using a relational constraint solver. Given a program and its correctness specification, scope-bounded checking encodes control-flow and data-flow of bounded code segme"&amp;"nts into declarative formulas and uses constraint solvers to search for correctness violations. For non-trivial programs, the formulas are often complex and represent a heavy workload that can choke the solvers. To scale scope-bounded checking, our previo"&amp;"us work introduced an incremental approach that uses the program's control-flow as a basis of partitioning the program and generating several sub-formulas, which represent simpler problem instances for the underlying solvers. This paper introduces a new a"&amp;"pproach that uses the program's dataflow, specifically variable- definitions, as a basis for incremental checking. Experimental results show that the use of data-flow provides a significant reduction in the number of variables in the encoded formulas over"&amp;" the previous control-flow-based approach, thereby further improving scalability of scope-bounded checking. © 2010 IEEE.")</f>
        <v>We present a novel approach to optimize incremental scope-bounded checking of programs using a relational constraint solver. Given a program and its correctness specification, scope-bounded checking encodes control-flow and data-flow of bounded code segments into declarative formulas and uses constraint solvers to search for correctness violations. For non-trivial programs, the formulas are often complex and represent a heavy workload that can choke the solvers. To scale scope-bounded checking, our previous work introduced an incremental approach that uses the program's control-flow as a basis of partitioning the program and generating several sub-formulas, which represent simpler problem instances for the underlying solvers. This paper introduces a new approach that uses the program's dataflow, specifically variable- definitions, as a basis for incremental checking. Experimental results show that the use of data-flow provides a significant reduction in the number of variables in the encoded formulas over the previous control-flow-based approach, thereby further improving scalability of scope-bounded checking. © 2010 IEEE.</v>
      </c>
      <c r="H1272" s="7" t="str">
        <f>IFERROR(__xludf.DUMMYFUNCTION("""COMPUTED_VALUE"""),"Alloy; Computation graph; Data-flow analysis; First-order logic; JML; Lightweight formal method; SAT; Scope-bounded checking; White-box testing")</f>
        <v>Alloy; Computation graph; Data-flow analysis; First-order logic; JML; Lightweight formal method; SAT; Scope-bounded checking; White-box testing</v>
      </c>
      <c r="I1272" s="10" t="b">
        <v>0</v>
      </c>
      <c r="J1272" s="10" t="b">
        <v>0</v>
      </c>
      <c r="K1272" s="10" t="b">
        <v>0</v>
      </c>
      <c r="L1272" s="10" t="b">
        <v>0</v>
      </c>
      <c r="M1272" s="10" t="b">
        <v>0</v>
      </c>
      <c r="N1272" s="10" t="b">
        <v>0</v>
      </c>
      <c r="O1272" s="11" t="b">
        <f t="shared" si="1"/>
        <v>0</v>
      </c>
      <c r="P1272" s="16" t="b">
        <v>0</v>
      </c>
      <c r="Q1272" s="7"/>
    </row>
    <row r="1273">
      <c r="A1273" s="5" t="b">
        <v>1</v>
      </c>
      <c r="B1273" s="5" t="s">
        <v>1324</v>
      </c>
      <c r="C1273" s="7" t="str">
        <f>IFERROR(__xludf.DUMMYFUNCTION("""COMPUTED_VALUE"""),"10.1145/1013886.1007531")</f>
        <v>10.1145/1013886.1007531</v>
      </c>
      <c r="D1273" s="7" t="str">
        <f>IFERROR(__xludf.DUMMYFUNCTION("""COMPUTED_VALUE"""),"Sullivan K.; Yang J.; Coppit D.; Khurshid S.; Jackson D.")</f>
        <v>Sullivan K.; Yang J.; Coppit D.; Khurshid S.; Jackson D.</v>
      </c>
      <c r="E1273" s="7" t="str">
        <f>IFERROR(__xludf.DUMMYFUNCTION("""COMPUTED_VALUE"""),"Software assurance by bounded exhaustive testing")</f>
        <v>Software assurance by bounded exhaustive testing</v>
      </c>
      <c r="F1273" s="7" t="str">
        <f>IFERROR(__xludf.DUMMYFUNCTION("""COMPUTED_VALUE"""),"ISSTA")</f>
        <v>ISSTA</v>
      </c>
      <c r="G1273" s="7" t="str">
        <f>IFERROR(__xludf.DUMMYFUNCTION("""COMPUTED_VALUE"""),"The contribution of this paper is an experiment that shows the potential value of a combination of selective reverse engineering to formal specifications and bounded exhaustive testing to improve the assurance levels of complex software. A key problem is "&amp;"to scale up test input generation so that meaningful results can be obtained. We present an approach, using Alloy and TestEra for test input generation, which we evaluate by experimental application to the Galileo dynamic fault tree analysis tool. Copyrig"&amp;"ht 2004 ACM.")</f>
        <v>The contribution of this paper is an experiment that shows the potential value of a combination of selective reverse engineering to formal specifications and bounded exhaustive testing to improve the assurance levels of complex software. A key problem is to scale up test input generation so that meaningful results can be obtained. We present an approach, using Alloy and TestEra for test input generation, which we evaluate by experimental application to the Galileo dynamic fault tree analysis tool. Copyright 2004 ACM.</v>
      </c>
      <c r="H1273" s="7" t="str">
        <f>IFERROR(__xludf.DUMMYFUNCTION("""COMPUTED_VALUE"""),"Automated test case generation; Bounded exhaustive testing; Formal methods; Reverse engineering; Specification-based testing; TestEra")</f>
        <v>Automated test case generation; Bounded exhaustive testing; Formal methods; Reverse engineering; Specification-based testing; TestEra</v>
      </c>
      <c r="I1273" s="10" t="b">
        <v>0</v>
      </c>
      <c r="J1273" s="10" t="b">
        <v>0</v>
      </c>
      <c r="K1273" s="10" t="b">
        <v>0</v>
      </c>
      <c r="L1273" s="10" t="b">
        <v>0</v>
      </c>
      <c r="M1273" s="10" t="b">
        <v>0</v>
      </c>
      <c r="N1273" s="10" t="b">
        <v>0</v>
      </c>
      <c r="O1273" s="11" t="b">
        <f t="shared" si="1"/>
        <v>0</v>
      </c>
      <c r="P1273" s="16" t="b">
        <v>0</v>
      </c>
      <c r="Q1273" s="7"/>
    </row>
    <row r="1274">
      <c r="A1274" s="5" t="b">
        <v>1</v>
      </c>
      <c r="B1274" s="5" t="s">
        <v>1325</v>
      </c>
      <c r="C1274" s="7"/>
      <c r="D1274" s="7"/>
      <c r="E1274" s="7" t="str">
        <f>IFERROR(__xludf.DUMMYFUNCTION("""COMPUTED_VALUE"""),"Proceedings of the 1998 ACM SIGSOFT International Symposium on Software Testing and Analysis, ISSTA 1998")</f>
        <v>Proceedings of the 1998 ACM SIGSOFT International Symposium on Software Testing and Analysis, ISSTA 1998</v>
      </c>
      <c r="F1274" s="7" t="str">
        <f>IFERROR(__xludf.DUMMYFUNCTION("""COMPUTED_VALUE"""),"ISSTA")</f>
        <v>ISSTA</v>
      </c>
      <c r="G1274" s="7" t="str">
        <f>IFERROR(__xludf.DUMMYFUNCTION("""COMPUTED_VALUE"""),"The proceedings contain 17 papers. The topics discussed include: an applicable test data generation algorithm for domain errors; computation of interprocedural control dependence; automatic test data generation using constraint solving techniques; panel: "&amp;"the most influential papers from the ISSTA research community; an applicable test data generation algorithm for domain errors; comparing flow and context sensitivity on the modification-side-effects problem; what can we learn by testing a program?; constr"&amp;"ucting compact models of concurrent java programs; on random and partition testing; an experiment in estimating reliability growth under both representative and directed testing; automated program flaw finding using simulated annealing; verifying systems "&amp;"with integer constraints and Boolean predicates: a composite approach; automatic interoperability test generation for source-to-source translators; improving efficiency of symbolic model checking for state-based system requirements; model checking without"&amp;" a model: an analysis of the heart-beat monitor of a telephone switch using VeriSoft; and on the limit of control flow analysis for regression test selection.")</f>
        <v>The proceedings contain 17 papers. The topics discussed include: an applicable test data generation algorithm for domain errors; computation of interprocedural control dependence; automatic test data generation using constraint solving techniques; panel: the most influential papers from the ISSTA research community; an applicable test data generation algorithm for domain errors; comparing flow and context sensitivity on the modification-side-effects problem; what can we learn by testing a program?; constructing compact models of concurrent java programs; on random and partition testing; an experiment in estimating reliability growth under both representative and directed testing; automated program flaw finding using simulated annealing; verifying systems with integer constraints and Boolean predicates: a composite approach; automatic interoperability test generation for source-to-source translators; improving efficiency of symbolic model checking for state-based system requirements; model checking without a model: an analysis of the heart-beat monitor of a telephone switch using VeriSoft; and on the limit of control flow analysis for regression test selection.</v>
      </c>
      <c r="H1274" s="7"/>
      <c r="I1274" s="10" t="b">
        <v>0</v>
      </c>
      <c r="J1274" s="10" t="b">
        <v>0</v>
      </c>
      <c r="K1274" s="10" t="b">
        <v>0</v>
      </c>
      <c r="L1274" s="10" t="b">
        <v>0</v>
      </c>
      <c r="M1274" s="10" t="b">
        <v>0</v>
      </c>
      <c r="N1274" s="10" t="b">
        <v>0</v>
      </c>
      <c r="O1274" s="11" t="b">
        <f t="shared" si="1"/>
        <v>0</v>
      </c>
      <c r="P1274" s="16" t="b">
        <v>0</v>
      </c>
      <c r="Q1274" s="7"/>
    </row>
    <row r="1275">
      <c r="A1275" s="5" t="b">
        <v>1</v>
      </c>
      <c r="B1275" s="5" t="s">
        <v>1326</v>
      </c>
      <c r="C1275" s="7" t="str">
        <f>IFERROR(__xludf.DUMMYFUNCTION("""COMPUTED_VALUE"""),"10.1145/1273463.1273487")</f>
        <v>10.1145/1273463.1273487</v>
      </c>
      <c r="D1275" s="7" t="str">
        <f>IFERROR(__xludf.DUMMYFUNCTION("""COMPUTED_VALUE"""),"Shoham S.; Yahav E.; Fink S.; Pistoia M.")</f>
        <v>Shoham S.; Yahav E.; Fink S.; Pistoia M.</v>
      </c>
      <c r="E1275" s="7" t="str">
        <f>IFERROR(__xludf.DUMMYFUNCTION("""COMPUTED_VALUE"""),"Static specification mining using automata-based abstractions")</f>
        <v>Static specification mining using automata-based abstractions</v>
      </c>
      <c r="F1275" s="7" t="str">
        <f>IFERROR(__xludf.DUMMYFUNCTION("""COMPUTED_VALUE"""),"ISSTA")</f>
        <v>ISSTA</v>
      </c>
      <c r="G1275" s="7" t="str">
        <f>IFERROR(__xludf.DUMMYFUNCTION("""COMPUTED_VALUE"""),"We present a novel approach to client-side mining of temporal API specifications based on static analysis. Specifically, we present an interprocedural analysis over a combined domain that abstracts both aliasing and event sequences for individual objects."&amp;" The analysis uses a new family of automata-based abstractions to represent unbounded event sequences, designed to disambiguate distinct usage patterns and merge similar usage patterns. Additionally, our approach includes an algorithm that summarizes abst"&amp;"ract traces based on automata clusters, and effectively rules out spurious behaviors. We show experimental results mining specifications from a number of Java clients and APIs. The results indicate that effective static analysis for client-side mining req"&amp;"uires fairly precise treatment of aliasing and abstract event sequences. Based on the results, we conclude that static client-side specification mining shows promise as a complement or alternative to dynamic approaches.")</f>
        <v>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v>
      </c>
      <c r="H1275" s="7" t="str">
        <f>IFERROR(__xludf.DUMMYFUNCTION("""COMPUTED_VALUE"""),"Abstract interpretation; Specification mining; Static analysis; Typestate")</f>
        <v>Abstract interpretation; Specification mining; Static analysis; Typestate</v>
      </c>
      <c r="I1275" s="10" t="b">
        <v>0</v>
      </c>
      <c r="J1275" s="10" t="b">
        <v>0</v>
      </c>
      <c r="K1275" s="10" t="b">
        <v>0</v>
      </c>
      <c r="L1275" s="10" t="b">
        <v>0</v>
      </c>
      <c r="M1275" s="10" t="b">
        <v>0</v>
      </c>
      <c r="N1275" s="10" t="b">
        <v>0</v>
      </c>
      <c r="O1275" s="11" t="b">
        <f t="shared" si="1"/>
        <v>0</v>
      </c>
      <c r="P1275" s="16" t="b">
        <v>0</v>
      </c>
      <c r="Q1275" s="7"/>
    </row>
    <row r="1276">
      <c r="A1276" s="5" t="b">
        <v>1</v>
      </c>
      <c r="B1276" s="5" t="s">
        <v>1327</v>
      </c>
      <c r="C1276" s="7" t="str">
        <f>IFERROR(__xludf.DUMMYFUNCTION("""COMPUTED_VALUE"""),"10.1145/3092703.3098229")</f>
        <v>10.1145/3092703.3098229</v>
      </c>
      <c r="D1276" s="7" t="str">
        <f>IFERROR(__xludf.DUMMYFUNCTION("""COMPUTED_VALUE"""),"Hallé S.; Khoury R.")</f>
        <v>Hallé S.; Khoury R.</v>
      </c>
      <c r="E1276" s="7" t="str">
        <f>IFERROR(__xludf.DUMMYFUNCTION("""COMPUTED_VALUE"""),"SealTest: A simple library for test sequence generation")</f>
        <v>SealTest: A simple library for test sequence generation</v>
      </c>
      <c r="F1276" s="7" t="str">
        <f>IFERROR(__xludf.DUMMYFUNCTION("""COMPUTED_VALUE"""),"ISSTA")</f>
        <v>ISSTA</v>
      </c>
      <c r="G1276" s="7" t="str">
        <f>IFERROR(__xludf.DUMMYFUNCTION("""COMPUTED_VALUE"""),"SealTest is a Java library for generating test sequences based on a formal specification. It allows a user to easily define a wide range of coverage metrics using multiple specification languages. Its simple and generic architecture makes it a useful test"&amp;"ing tool for dynamic software systems, as well as an appropriate research testbed for implementing and experimentally comparing test sequence generation algorithms. © 2017 Association for Computing Machinery.")</f>
        <v>SealTest is a Java library for generating test sequences based on a formal specification. It allows a user to easily define a wide range of coverage metrics using multiple specification languages. Its simple and generic architecture makes it a useful testing tool for dynamic software systems, as well as an appropriate research testbed for implementing and experimentally comparing test sequence generation algorithms. © 2017 Association for Computing Machinery.</v>
      </c>
      <c r="H1276" s="7" t="str">
        <f>IFERROR(__xludf.DUMMYFUNCTION("""COMPUTED_VALUE"""),"Software testing; Temporal logic; Test sequence generation; UML statecharts")</f>
        <v>Software testing; Temporal logic; Test sequence generation; UML statecharts</v>
      </c>
      <c r="I1276" s="10" t="b">
        <v>0</v>
      </c>
      <c r="J1276" s="10" t="b">
        <v>0</v>
      </c>
      <c r="K1276" s="10" t="b">
        <v>0</v>
      </c>
      <c r="L1276" s="10" t="b">
        <v>0</v>
      </c>
      <c r="M1276" s="10" t="b">
        <v>0</v>
      </c>
      <c r="N1276" s="10" t="b">
        <v>0</v>
      </c>
      <c r="O1276" s="11" t="b">
        <f t="shared" si="1"/>
        <v>0</v>
      </c>
      <c r="P1276" s="16" t="b">
        <v>0</v>
      </c>
      <c r="Q1276" s="7"/>
    </row>
    <row r="1277">
      <c r="A1277" s="5" t="b">
        <v>1</v>
      </c>
      <c r="B1277" s="5" t="s">
        <v>1328</v>
      </c>
      <c r="C1277" s="7" t="str">
        <f>IFERROR(__xludf.DUMMYFUNCTION("""COMPUTED_VALUE"""),"10.1145/2483760.2483790")</f>
        <v>10.1145/2483760.2483790</v>
      </c>
      <c r="D1277" s="7" t="str">
        <f>IFERROR(__xludf.DUMMYFUNCTION("""COMPUTED_VALUE"""),"Samimi H.; Hicks R.; Fogel A.; Millstein T.")</f>
        <v>Samimi H.; Hicks R.; Fogel A.; Millstein T.</v>
      </c>
      <c r="E1277" s="7" t="str">
        <f>IFERROR(__xludf.DUMMYFUNCTION("""COMPUTED_VALUE"""),"Declarative mocking")</f>
        <v>Declarative mocking</v>
      </c>
      <c r="F1277" s="7" t="str">
        <f>IFERROR(__xludf.DUMMYFUNCTION("""COMPUTED_VALUE"""),"ISSTA")</f>
        <v>ISSTA</v>
      </c>
      <c r="G1277" s="7" t="str">
        <f>IFERROR(__xludf.DUMMYFUNCTION("""COMPUTED_VALUE"""),"Test-driven methodologies encourage testing early and often. Mock objects support this approach by allowing a component to be tested before all depended-upon components are available. Today mock objects typically reflect little to none of an objects inten"&amp;"ded functionality, which makes it difficult and error-prone for developers to test rich properties of their code. This paper presents declarative mocking, which enables the creation of expressive and reliable mock objects with relatively little effort. In"&amp;" our approach, developers write method specifications in a high-level logical language for the API being mocked, and a constraint solver dynamically executes these specifications when the methods are invoked. In addition to mocking functionality, this app"&amp;"roach seamlessly allows data and other aspects of the environment to be easily mocked. We have implemented the approach as an extension to an existing tool for executable specifications in Java called PBnJ. We have performed an exploratory study of declar"&amp;"ative mocking on several existing Java applications, in order to understand the power of the approach and to categorize its potential benefits and limitations. We also performed an experiment to port the unit tests of several open-source applications from"&amp;" a widely used mocking library to PBnJ. We found that more than half of these unit tests can be enhanced, in terms of the strength of properties and coverage, by exploiting executable specifications, with relatively little additional developer effort. © 2"&amp;"013 ACM.")</f>
        <v>Test-driven methodologies encourage testing early and often. Mock objects support this approach by allowing a component to be tested before all depended-upon components are available. Today mock objects typically reflect little to none of an objects intended functionality, which makes it difficult and error-prone for developers to test rich properties of their code. This paper presents declarative mocking, which enables the creation of expressive and reliable mock objects with relatively little effort. In our approach, developers write method specifications in a high-level logical language for the API being mocked, and a constraint solver dynamically executes these specifications when the methods are invoked. In addition to mocking functionality, this approach seamlessly allows data and other aspects of the environment to be easily mocked. We have implemented the approach as an extension to an existing tool for executable specifications in Java called PBnJ. We have performed an exploratory study of declarative mocking on several existing Java applications, in order to understand the power of the approach and to categorize its potential benefits and limitations. We also performed an experiment to port the unit tests of several open-source applications from a widely used mocking library to PBnJ. We found that more than half of these unit tests can be enhanced, in terms of the strength of properties and coverage, by exploiting executable specifications, with relatively little additional developer effort. © 2013 ACM.</v>
      </c>
      <c r="H1277" s="7" t="str">
        <f>IFERROR(__xludf.DUMMYFUNCTION("""COMPUTED_VALUE"""),"executable specifications; mock objects")</f>
        <v>executable specifications; mock objects</v>
      </c>
      <c r="I1277" s="10" t="b">
        <v>0</v>
      </c>
      <c r="J1277" s="10" t="b">
        <v>0</v>
      </c>
      <c r="K1277" s="10" t="b">
        <v>0</v>
      </c>
      <c r="L1277" s="10" t="b">
        <v>0</v>
      </c>
      <c r="M1277" s="10" t="b">
        <v>0</v>
      </c>
      <c r="N1277" s="10" t="b">
        <v>0</v>
      </c>
      <c r="O1277" s="11" t="b">
        <f t="shared" si="1"/>
        <v>0</v>
      </c>
      <c r="P1277" s="16" t="b">
        <v>0</v>
      </c>
      <c r="Q1277" s="7"/>
    </row>
    <row r="1278">
      <c r="A1278" s="5" t="b">
        <v>1</v>
      </c>
      <c r="B1278" s="5" t="s">
        <v>1329</v>
      </c>
      <c r="C1278" s="7" t="str">
        <f>IFERROR(__xludf.DUMMYFUNCTION("""COMPUTED_VALUE"""),"10.1145/3533767.3534372")</f>
        <v>10.1145/3533767.3534372</v>
      </c>
      <c r="D1278" s="7" t="str">
        <f>IFERROR(__xludf.DUMMYFUNCTION("""COMPUTED_VALUE"""),"Liu Y.; Li Y.; Lin S.-W.; Artho C.")</f>
        <v>Liu Y.; Li Y.; Lin S.-W.; Artho C.</v>
      </c>
      <c r="E1278" s="7" t="str">
        <f>IFERROR(__xludf.DUMMYFUNCTION("""COMPUTED_VALUE"""),"Finding permission bugs in smart contracts with role mining")</f>
        <v>Finding permission bugs in smart contracts with role mining</v>
      </c>
      <c r="F1278" s="7" t="str">
        <f>IFERROR(__xludf.DUMMYFUNCTION("""COMPUTED_VALUE"""),"ISSTA")</f>
        <v>ISSTA</v>
      </c>
      <c r="G1278" s="7" t="str">
        <f>IFERROR(__xludf.DUMMYFUNCTION("""COMPUTED_VALUE"""),"Smart contracts deployed on permissionless blockchains, such as Ethereum, are accessible to any user in a trustless environment. Therefore, most smart contract applications implement access control policies to protect their valuable assets from unauthoriz"&amp;"ed accesses. A difficulty in validating the conformance to such policies, i.e., whether the contract implementation adheres to the expected behaviors, is the lack of policy specifications. In this paper, we mine past transactions of a contract to recover "&amp;"a likely access control model, which can then be checked against various information flow policies and identify potential bugs related to user permissions. We implement our role mining and security policy validation in tool SPCon. The experimental evaluat"&amp;"ion on labeled smart contract role mining benchmark demonstrates that SPCon effectively mines more accurate user roles compared to the state-of-the-art role mining tools. Moreover, the experimental evaluation on real-world smart contract benchmark and acc"&amp;"ess control CVEs indicates SPCon effectively detects potential permission bugs while having better scalability and lower false-positive rate compared to the state-of-the-art security tools, finding 11 previously unknown bugs and detecting six CVEs that no"&amp;" other tool can find.  © 2022 ACM.")</f>
        <v>Smart contracts deployed on permissionless blockchains, such as Ethereum, are accessible to any user in a trustless environment. Therefore, most smart contract applications implement access control policies to protect their valuable assets from unauthorized accesses. A difficulty in validating the conformance to such policies, i.e., whether the contract implementation adheres to the expected behaviors, is the lack of policy specifications. In this paper, we mine past transactions of a contract to recover a likely access control model, which can then be checked against various information flow policies and identify potential bugs related to user permissions. We implement our role mining and security policy validation in tool SPCon. The experimental evaluation on labeled smart contract role mining benchmark demonstrates that SPCon effectively mines more accurate user roles compared to the state-of-the-art role mining tools. Moreover, the experimental evaluation on real-world smart contract benchmark and access control CVEs indicates SPCon effectively detects potential permission bugs while having better scalability and lower false-positive rate compared to the state-of-the-art security tools, finding 11 previously unknown bugs and detecting six CVEs that no other tool can find.  © 2022 ACM.</v>
      </c>
      <c r="H1278" s="7" t="str">
        <f>IFERROR(__xludf.DUMMYFUNCTION("""COMPUTED_VALUE"""),"access control; information flow policy; role mining; Smart contract")</f>
        <v>access control; information flow policy; role mining; Smart contract</v>
      </c>
      <c r="I1278" s="10" t="b">
        <v>0</v>
      </c>
      <c r="J1278" s="10" t="b">
        <v>0</v>
      </c>
      <c r="K1278" s="10" t="b">
        <v>0</v>
      </c>
      <c r="L1278" s="10" t="b">
        <v>0</v>
      </c>
      <c r="M1278" s="10" t="b">
        <v>0</v>
      </c>
      <c r="N1278" s="10" t="b">
        <v>0</v>
      </c>
      <c r="O1278" s="11" t="b">
        <f t="shared" si="1"/>
        <v>0</v>
      </c>
      <c r="P1278" s="16" t="b">
        <v>0</v>
      </c>
      <c r="Q1278" s="7"/>
    </row>
    <row r="1279">
      <c r="A1279" s="5" t="b">
        <v>1</v>
      </c>
      <c r="B1279" s="5" t="s">
        <v>1330</v>
      </c>
      <c r="C1279" s="7" t="str">
        <f>IFERROR(__xludf.DUMMYFUNCTION("""COMPUTED_VALUE"""),"10.1145/3460319.3464841")</f>
        <v>10.1145/3460319.3464841</v>
      </c>
      <c r="D1279" s="7" t="str">
        <f>IFERROR(__xludf.DUMMYFUNCTION("""COMPUTED_VALUE"""),"Godboley S.; Jaffar J.; Maghareh R.; Dutta A.")</f>
        <v>Godboley S.; Jaffar J.; Maghareh R.; Dutta A.</v>
      </c>
      <c r="E1279" s="7" t="str">
        <f>IFERROR(__xludf.DUMMYFUNCTION("""COMPUTED_VALUE"""),"Toward optimal mc/dc test case generation")</f>
        <v>Toward optimal mc/dc test case generation</v>
      </c>
      <c r="F1279" s="7" t="str">
        <f>IFERROR(__xludf.DUMMYFUNCTION("""COMPUTED_VALUE"""),"ISSTA")</f>
        <v>ISSTA</v>
      </c>
      <c r="G1279" s="7" t="str">
        <f>IFERROR(__xludf.DUMMYFUNCTION("""COMPUTED_VALUE"""),"MC/DC coverage prescribes a set of MC/DC sequences. Such a sequence is defined by a specification of the truth values of certain atomic boolean expressions which appear in predicates (i.e. boolean combinations of atomic boolean expressions) in the program"&amp;". An execution trace satisfies the sequence if it realizes the atomic boolean conditions in accordance with the truth value specification of the sequence. An MC/DC sequence is feasible if there is one such execution trace. The overall goal for an MC/DC te"&amp;"st generator is, for each sequence: if feasible, to generate a test input realizing the sequence; otherwise, to prove that the sequence is infeasible. In this paper, we propose a method whose aim is optimal MC/DC coverage for bounded programs, i.e. for ea"&amp;"ch MC/DC sequence, the method either produces a test input, or proves that sequence is infeasible. The method is based on symbolic execution with interpolation, and in this paper, we present a customized interpolation algorithm. We then present a comprehe"&amp;"nsive experimental evaluation comparing with the only available system CBMC which can operate on reasonably large programs, and further, which can provide optimal coverage for many examples. We will use a benchmark based on RERS which contains the kinds o"&amp;"f reactive programs for which MC/DC was motivated by. We show that our method, by a significant margin, surpasses CBMC. In particular, our method often produces an optimal MC/DC result. © 2021 ACM.")</f>
        <v>MC/DC coverage prescribes a set of MC/DC sequences. Such a sequence is defined by a specification of the truth values of certain atomic boolean expressions which appear in predicates (i.e. boolean combinations of atomic boolean expressions) in the program. An execution trace satisfies the sequence if it realizes the atomic boolean conditions in accordance with the truth value specification of the sequence. An MC/DC sequence is feasible if there is one such execution trace. The overall goal for an MC/DC test generator is, for each sequence: if feasible, to generate a test input realizing the sequence; otherwise, to prove that the sequence is infeasible. In this paper, we propose a method whose aim is optimal MC/DC coverage for bounded programs, i.e. for each MC/DC sequence, the method either produces a test input, or proves that sequence is infeasible. The method is based on symbolic execution with interpolation, and in this paper, we present a customized interpolation algorithm. We then present a comprehensive experimental evaluation comparing with the only available system CBMC which can operate on reasonably large programs, and further, which can provide optimal coverage for many examples. We will use a benchmark based on RERS which contains the kinds of reactive programs for which MC/DC was motivated by. We show that our method, by a significant margin, surpasses CBMC. In particular, our method often produces an optimal MC/DC result. © 2021 ACM.</v>
      </c>
      <c r="H1279" s="7" t="str">
        <f>IFERROR(__xludf.DUMMYFUNCTION("""COMPUTED_VALUE"""),"MC/DC Testing; Software Testing; Symbolic Execution")</f>
        <v>MC/DC Testing; Software Testing; Symbolic Execution</v>
      </c>
      <c r="I1279" s="10" t="b">
        <v>0</v>
      </c>
      <c r="J1279" s="10" t="b">
        <v>0</v>
      </c>
      <c r="K1279" s="10" t="b">
        <v>0</v>
      </c>
      <c r="L1279" s="10" t="b">
        <v>0</v>
      </c>
      <c r="M1279" s="10" t="b">
        <v>0</v>
      </c>
      <c r="N1279" s="10" t="b">
        <v>0</v>
      </c>
      <c r="O1279" s="11" t="b">
        <f t="shared" si="1"/>
        <v>0</v>
      </c>
      <c r="P1279" s="16" t="b">
        <v>0</v>
      </c>
      <c r="Q1279" s="7"/>
    </row>
    <row r="1280">
      <c r="A1280" s="5" t="b">
        <v>1</v>
      </c>
      <c r="B1280" s="5" t="s">
        <v>1331</v>
      </c>
      <c r="C1280" s="7" t="str">
        <f>IFERROR(__xludf.DUMMYFUNCTION("""COMPUTED_VALUE"""),"10.1145/3460319.3464805")</f>
        <v>10.1145/3460319.3464805</v>
      </c>
      <c r="D1280" s="7" t="str">
        <f>IFERROR(__xludf.DUMMYFUNCTION("""COMPUTED_VALUE"""),"Pan Y.; Ma M.; Jiang X.; Wang P.")</f>
        <v>Pan Y.; Ma M.; Jiang X.; Wang P.</v>
      </c>
      <c r="E1280" s="7" t="str">
        <f>IFERROR(__xludf.DUMMYFUNCTION("""COMPUTED_VALUE"""),"Faster, deeper, easier: Crowdsourcing diagnosis of microservice kernel failure from user space")</f>
        <v>Faster, deeper, easier: Crowdsourcing diagnosis of microservice kernel failure from user space</v>
      </c>
      <c r="F1280" s="7" t="str">
        <f>IFERROR(__xludf.DUMMYFUNCTION("""COMPUTED_VALUE"""),"ISSTA")</f>
        <v>ISSTA</v>
      </c>
      <c r="G1280" s="7" t="str">
        <f>IFERROR(__xludf.DUMMYFUNCTION("""COMPUTED_VALUE"""),"With the widespread use of cloud-native architecture, increasing web applications (apps) choose to build on microservices. Simultaneously, troubleshooting becomes full of challenges owing to the high dynamics and complexity of anomaly propagation. Existin"&amp;"g diagnostic methods rely heavily on monitoring metrics collected from the kernel side of microservice systems. Without a comprehensive monitoring infrastructure, application owners and even cloud operators cannot resort to these kernel-space solutions. T"&amp;"his paper summarizes several insights on operating a top commercial cloud platform. Then, for the first time, we put forward the idea of user-space diagnosis for microservice kernel failures. To this end, we develop a crowdsourcing solution - DyCause, to "&amp;"resolve the asymmetric diagnostic information problem. DyCause deploys on the application side in a distributed manner. Through lightweight API log sharing, apps collect the operational status of kernel services collaboratively and initiate diagnosis on d"&amp;"emand. Deploying DyCause is fast and lightweight as we do not have any architectural and functional requirements for the kernel. To reveal more accurate correlations from asymmetric diagnostic information, we design a novel statistical algorithm that can "&amp;"efficiently discover the time-varying causalities between services. This algorithm also helps us build the temporal order of the anomaly propagation. Therefore, by using DyCause, we can obtain more in-depth and interpretable diagnostic clues with limited "&amp;"indicators. We apply and evaluate DyCause on both a simulated test-bed and a real-world cloud system. Experimental results verify that DyCause running in the user-space outperforms several state-of-the-art algorithms running in the kernel on accuracy. Bes"&amp;"ides, DyCause shows superior advantages in terms of algorithmic efficiency and data sensitivity. Simply put, DyCause produces a significantly better result than other baselines when analyzing much fewer or sparser metrics. To conclude, DyCause is faster t"&amp;"o act, deeper in analysis, and easier to deploy. © 2021 ACM.")</f>
        <v>With the widespread use of cloud-native architecture, increasing web applications (apps) choose to build on microservices. Simultaneously, troubleshooting becomes full of challenges owing to the high dynamics and complexity of anomaly propagation. Existing diagnostic methods rely heavily on monitoring metrics collected from the kernel side of microservice systems. Without a comprehensive monitoring infrastructure, application owners and even cloud operators cannot resort to these kernel-space solutions. This paper summarizes several insights on operating a top commercial cloud platform. Then, for the first time, we put forward the idea of user-space diagnosis for microservice kernel failures. To this end, we develop a crowdsourcing solution - DyCause, to resolve the asymmetric diagnostic information problem. DyCause deploys on the application side in a distributed manner. Through lightweight API log sharing, apps collect the operational status of kernel services collaboratively and initiate diagnosis on demand. Deploying DyCause is fast and lightweight as we do not have any architectural and functional requirements for the kernel. To reveal more accurate correlations from asymmetric diagnostic information, we design a novel statistical algorithm that can efficiently discover the time-varying causalities between services. This algorithm also helps us build the temporal order of the anomaly propagation. Therefore, by using DyCause, we can obtain more in-depth and interpretable diagnostic clues with limited indicators. We apply and evaluate DyCause on both a simulated test-bed and a real-world cloud system. Experimental results verify that DyCause running in the user-space outperforms several state-of-the-art algorithms running in the kernel on accuracy. Besides, DyCause shows superior advantages in terms of algorithmic efficiency and data sensitivity. Simply put, DyCause produces a significantly better result than other baselines when analyzing much fewer or sparser metrics. To conclude, DyCause is faster to act, deeper in analysis, and easier to deploy. © 2021 ACM.</v>
      </c>
      <c r="H1280" s="7" t="str">
        <f>IFERROR(__xludf.DUMMYFUNCTION("""COMPUTED_VALUE"""),"Dynamic service dependency; Granger causal intervals; Microservice system; Root cause analysis")</f>
        <v>Dynamic service dependency; Granger causal intervals; Microservice system; Root cause analysis</v>
      </c>
      <c r="I1280" s="10" t="b">
        <v>0</v>
      </c>
      <c r="J1280" s="10" t="b">
        <v>0</v>
      </c>
      <c r="K1280" s="10" t="b">
        <v>0</v>
      </c>
      <c r="L1280" s="10" t="b">
        <v>0</v>
      </c>
      <c r="M1280" s="10" t="b">
        <v>0</v>
      </c>
      <c r="N1280" s="10" t="b">
        <v>0</v>
      </c>
      <c r="O1280" s="11" t="b">
        <f t="shared" si="1"/>
        <v>0</v>
      </c>
      <c r="P1280" s="16" t="b">
        <v>0</v>
      </c>
      <c r="Q1280" s="7"/>
    </row>
    <row r="1281">
      <c r="A1281" s="5" t="b">
        <v>1</v>
      </c>
      <c r="B1281" s="5" t="s">
        <v>1332</v>
      </c>
      <c r="C1281" s="7" t="str">
        <f>IFERROR(__xludf.DUMMYFUNCTION("""COMPUTED_VALUE"""),"10.1145/2001420.2001459")</f>
        <v>10.1145/2001420.2001459</v>
      </c>
      <c r="D1281" s="7" t="str">
        <f>IFERROR(__xludf.DUMMYFUNCTION("""COMPUTED_VALUE"""),"Le W.; Soffa M.L.")</f>
        <v>Le W.; Soffa M.L.</v>
      </c>
      <c r="E1281" s="7" t="str">
        <f>IFERROR(__xludf.DUMMYFUNCTION("""COMPUTED_VALUE"""),"Generating analyses for detecting faults in path segments")</f>
        <v>Generating analyses for detecting faults in path segments</v>
      </c>
      <c r="F1281" s="7" t="str">
        <f>IFERROR(__xludf.DUMMYFUNCTION("""COMPUTED_VALUE"""),"ISSTA")</f>
        <v>ISSTA</v>
      </c>
      <c r="G1281" s="7" t="str">
        <f>IFERROR(__xludf.DUMMYFUNCTION("""COMPUTED_VALUE"""),"Although static bug detectors are extensively applied, there is a cost in using them. One challenge is that static analysis often reports a large number of false positives but little diagnostic information. Also, individual bug detectors need to be built "&amp;"in response to new types of faults, and tuning a static tool for precision and scalability is time-consuming. This paper presents a novel frame-work that automatically generates scalable, interprocedural, path-sensitive analyses to detect user-specified f"&amp;"aults. The framework consists of a specification technique that expresses faults and information needed for their detection, a scalable, path-sensitive algorithm, and a generator that unifies the two. The analysis produced identifies not only faults but a"&amp;"lso the path segments where the root causes of a fault are located. The generality of the framework is accomplished for both data- and control-centric faults. We implemented our framework and generated fault detectors for identifying buffer overflows, int"&amp;"eger violations, null-pointer dereferences and memory leaks. We experimentally demonstrate that the generated analyses scales to large deployed software, and its detection capability is comparable to tools that target a specific type of fault. In our expe"&amp;"riments, we identify a total of 146 faults of the four types. While the length of path segments for the majority of faults is 1 - 4 procedures, we are able to detect faults deeply embedded in the code across 35 procedures. © 2011 ACM.")</f>
        <v>Although static bug detectors are extensively applied, there is a cost in using them. One challenge is that static analysis often reports a large number of false positives but little diagnostic information. Also, individual bug detectors need to be built in response to new types of faults, and tuning a static tool for precision and scalability is time-consuming. This paper presents a novel frame-work that automatically generates scalable, interprocedural, path-sensitive analyses to detect user-specified faults. The framework consists of a specification technique that expresses faults and information needed for their detection, a scalable, path-sensitive algorithm, and a generator that unifies the two. The analysis produced identifies not only faults but also the path segments where the root causes of a fault are located. The generality of the framework is accomplished for both data- and control-centric faults. We implemented our framework and generated fault detectors for identifying buffer overflows, integer violations, null-pointer dereferences and memory leaks. We experimentally demonstrate that the generated analyses scales to large deployed software, and its detection capability is comparable to tools that target a specific type of fault. In our experiments, we identify a total of 146 faults of the four types. While the length of path segments for the majority of faults is 1 - 4 procedures, we are able to detect faults deeply embedded in the code across 35 procedures. © 2011 ACM.</v>
      </c>
      <c r="H1281" s="7" t="str">
        <f>IFERROR(__xludf.DUMMYFUNCTION("""COMPUTED_VALUE"""),"demand-driven; generate analysis; path segment; specification")</f>
        <v>demand-driven; generate analysis; path segment; specification</v>
      </c>
      <c r="I1281" s="10" t="b">
        <v>0</v>
      </c>
      <c r="J1281" s="10" t="b">
        <v>0</v>
      </c>
      <c r="K1281" s="10" t="b">
        <v>0</v>
      </c>
      <c r="L1281" s="10" t="b">
        <v>0</v>
      </c>
      <c r="M1281" s="10" t="b">
        <v>0</v>
      </c>
      <c r="N1281" s="10" t="b">
        <v>0</v>
      </c>
      <c r="O1281" s="11" t="b">
        <f t="shared" si="1"/>
        <v>0</v>
      </c>
      <c r="P1281" s="16" t="b">
        <v>0</v>
      </c>
      <c r="Q1281" s="7"/>
    </row>
    <row r="1282">
      <c r="A1282" s="5" t="b">
        <v>1</v>
      </c>
      <c r="B1282" s="5" t="s">
        <v>1333</v>
      </c>
      <c r="C1282" s="7" t="str">
        <f>IFERROR(__xludf.DUMMYFUNCTION("""COMPUTED_VALUE"""),"10.1145/1572272.1572275")</f>
        <v>10.1145/1572272.1572275</v>
      </c>
      <c r="D1282" s="7" t="str">
        <f>IFERROR(__xludf.DUMMYFUNCTION("""COMPUTED_VALUE"""),"Stengel Z.; Bultan T.")</f>
        <v>Stengel Z.; Bultan T.</v>
      </c>
      <c r="E1282" s="7" t="str">
        <f>IFERROR(__xludf.DUMMYFUNCTION("""COMPUTED_VALUE"""),"Analyzing singularity channel contracts")</f>
        <v>Analyzing singularity channel contracts</v>
      </c>
      <c r="F1282" s="7" t="str">
        <f>IFERROR(__xludf.DUMMYFUNCTION("""COMPUTED_VALUE"""),"ISSTA")</f>
        <v>ISSTA</v>
      </c>
      <c r="G1282" s="7" t="str">
        <f>IFERROR(__xludf.DUMMYFUNCTION("""COMPUTED_VALUE"""),"This paper presents techniques for analyzing channel contract specifications in Microsoft Research's Singularity operating system. A channel contract is a state machine that specifies the allowable interactions between a server and a client through an asy"&amp;"nchronous communication channel. We show that, contrary to what is claimed in the Singularity documentation, processes that faithfully follow a channel contract can deadlock. We present a realizability analysis that can be used to identify channel contrac"&amp;"ts with problems. Our realizability analysis also leads to an efficient verification approach where properties about the interaction behavior can be verified without modeling the contents of communication channels. We analyzed more than 90 channel contrac"&amp;"ts from the Singularity code distribution and documentation. Only two contracts failed our realizability condition and these two contracts allow deadlocks. Our experimental results demonstrate that realizability analysis and verification of channel contra"&amp;"cts can be done efficiently using our approach. Copyright 2009 ACM.")</f>
        <v>This paper presents techniques for analyzing channel contract specifications in Microsoft Research's Singularity operating system. A channel contract is a state machine that specifies the allowable interactions between a server and a client through an asynchronous communication channel. We show that, contrary to what is claimed in the Singularity documentation, processes that faithfully follow a channel contract can deadlock. We present a realizability analysis that can be used to identify channel contracts with problems. Our realizability analysis also leads to an efficient verification approach where properties about the interaction behavior can be verified without modeling the contents of communication channels. We analyzed more than 90 channel contracts from the Singularity code distribution and documentation. Only two contracts failed our realizability condition and these two contracts allow deadlocks. Our experimental results demonstrate that realizability analysis and verification of channel contracts can be done efficiently using our approach. Copyright 2009 ACM.</v>
      </c>
      <c r="H1282" s="7" t="str">
        <f>IFERROR(__xludf.DUMMYFUNCTION("""COMPUTED_VALUE"""),"Asynchronous communication; Conversations; Realizability")</f>
        <v>Asynchronous communication; Conversations; Realizability</v>
      </c>
      <c r="I1282" s="10" t="b">
        <v>0</v>
      </c>
      <c r="J1282" s="10" t="b">
        <v>0</v>
      </c>
      <c r="K1282" s="10" t="b">
        <v>0</v>
      </c>
      <c r="L1282" s="10" t="b">
        <v>0</v>
      </c>
      <c r="M1282" s="10" t="b">
        <v>0</v>
      </c>
      <c r="N1282" s="10" t="b">
        <v>0</v>
      </c>
      <c r="O1282" s="11" t="b">
        <f t="shared" si="1"/>
        <v>0</v>
      </c>
      <c r="P1282" s="16" t="b">
        <v>0</v>
      </c>
      <c r="Q1282" s="7"/>
    </row>
    <row r="1283">
      <c r="A1283" s="5" t="b">
        <v>1</v>
      </c>
      <c r="B1283" s="5" t="s">
        <v>1334</v>
      </c>
      <c r="C1283" s="7" t="str">
        <f>IFERROR(__xludf.DUMMYFUNCTION("""COMPUTED_VALUE"""),"10.1145/3395363.3404363")</f>
        <v>10.1145/3395363.3404363</v>
      </c>
      <c r="D1283" s="7" t="str">
        <f>IFERROR(__xludf.DUMMYFUNCTION("""COMPUTED_VALUE"""),"Guo C.; He T.; Yuan W.; Guo Y.; Hao R.")</f>
        <v>Guo C.; He T.; Yuan W.; Guo Y.; Hao R.</v>
      </c>
      <c r="E1283" s="7" t="str">
        <f>IFERROR(__xludf.DUMMYFUNCTION("""COMPUTED_VALUE"""),"Crowdsourced requirements generation for automatic testing via knowledge graph")</f>
        <v>Crowdsourced requirements generation for automatic testing via knowledge graph</v>
      </c>
      <c r="F1283" s="7" t="str">
        <f>IFERROR(__xludf.DUMMYFUNCTION("""COMPUTED_VALUE"""),"ISSTA")</f>
        <v>ISSTA</v>
      </c>
      <c r="G1283" s="7" t="str">
        <f>IFERROR(__xludf.DUMMYFUNCTION("""COMPUTED_VALUE"""),"Crowdsourced testing provides an effective way to deal with the problem of Android system fragmentation, as well as the application scenario diversity faced by Android testing. The generation of test requirements is a significant part of crowdsourced test"&amp;"ing. However, manually generating crowdsourced testing requirements is tedious, which requires the issuers to have the domain knowledge of the Android application under test. To solve these problems, we have developed a tool named KARA, short for Knowledg"&amp;"e Graph Aided Crowdsourced Requirements Generation for Android Testing. KARA first analyzes the result of automatic testing on the Android application, through which the operation sequences can be obtained. Then, the knowledge graph of the target applicat"&amp;"ion is constructed in a manner of pay-as-you-go. Finally, KARA utilizes knowledge graph and the automatic testing result to generate crowdsourced testing requirements with domain knowledge. Experiments prove that the test requirements generated by KARA ar"&amp;"e well understandable, and KARA can improve the quality of crowdsourced testing. The demo video can be found at https://youtu.be/kE-dOiekWWM. © 2020 ACM.")</f>
        <v>Crowdsourced testing provides an effective way to deal with the problem of Android system fragmentation, as well as the application scenario diversity faced by Android testing. The generation of test requirements is a significant part of crowdsourced testing. However, manually generating crowdsourced testing requirements is tedious, which requires the issuers to have the domain knowledge of the Android application under test. To solve these problems, we have developed a tool named KARA, short for Knowledge Graph Aided Crowdsourced Requirements Generation for Android Testing. KARA first analyzes the result of automatic testing on the Android application, through which the operation sequences can be obtained. Then, the knowledge graph of the target application is constructed in a manner of pay-as-you-go. Finally, KARA utilizes knowledge graph and the automatic testing result to generate crowdsourced testing requirements with domain knowledge. Experiments prove that the test requirements generated by KARA are well understandable, and KARA can improve the quality of crowdsourced testing. The demo video can be found at https://youtu.be/kE-dOiekWWM. © 2020 ACM.</v>
      </c>
      <c r="H1283" s="7" t="str">
        <f>IFERROR(__xludf.DUMMYFUNCTION("""COMPUTED_VALUE"""),"Android GUI Testing; Crowdsourced Requirements; Knowledge Graph")</f>
        <v>Android GUI Testing; Crowdsourced Requirements; Knowledge Graph</v>
      </c>
      <c r="I1283" s="10" t="b">
        <v>0</v>
      </c>
      <c r="J1283" s="10" t="b">
        <v>0</v>
      </c>
      <c r="K1283" s="10" t="b">
        <v>0</v>
      </c>
      <c r="L1283" s="10" t="b">
        <v>0</v>
      </c>
      <c r="M1283" s="10" t="b">
        <v>0</v>
      </c>
      <c r="N1283" s="10" t="b">
        <v>0</v>
      </c>
      <c r="O1283" s="11" t="b">
        <f t="shared" si="1"/>
        <v>0</v>
      </c>
      <c r="P1283" s="16" t="b">
        <v>0</v>
      </c>
      <c r="Q1283" s="7"/>
    </row>
    <row r="1284">
      <c r="A1284" s="5" t="b">
        <v>1</v>
      </c>
      <c r="B1284" s="5" t="s">
        <v>1335</v>
      </c>
      <c r="C1284" s="7" t="str">
        <f>IFERROR(__xludf.DUMMYFUNCTION("""COMPUTED_VALUE"""),"10.1145/3597926.3598070")</f>
        <v>10.1145/3597926.3598070</v>
      </c>
      <c r="D1284" s="7" t="str">
        <f>IFERROR(__xludf.DUMMYFUNCTION("""COMPUTED_VALUE"""),"Zhang X.; Cai Y.")</f>
        <v>Zhang X.; Cai Y.</v>
      </c>
      <c r="E1284" s="7" t="str">
        <f>IFERROR(__xludf.DUMMYFUNCTION("""COMPUTED_VALUE"""),"Building Critical Testing Scenarios for Autonomous Driving from Real Accidents")</f>
        <v>Building Critical Testing Scenarios for Autonomous Driving from Real Accidents</v>
      </c>
      <c r="F1284" s="7" t="str">
        <f>IFERROR(__xludf.DUMMYFUNCTION("""COMPUTED_VALUE"""),"ISSTA")</f>
        <v>ISSTA</v>
      </c>
      <c r="G1284" s="7" t="str">
        <f>IFERROR(__xludf.DUMMYFUNCTION("""COMPUTED_VALUE"""),"One of the aims of the development and spread of autonomous driving technology is to reduce traffic accidents caused by human factors. But recently reported data on fatal accidents involving autonomous driving system (ADS) shows that this important goal h"&amp;"as not been achieved. So there is an emerge requirement on more comprehensive and targeted testing especially on safe driving. In this paper, we propose an approach to automatically building critical testing scenarios from real-world accident data. Firstl"&amp;"y, we propose a new model called M-CPS (Multi-channel Panoptic Segmentation) to extract the effective information from the accident record (such as images or videos), and separate the independent individuals of different traffic participants for further s"&amp;"cene recovery. Compared with the traditional panoramic segmentation models, M-CPS model is able to effectively handle segmentation challenges due to the shooting angle, image quality, pixel overlap and other problems existing in the accident record. Next,"&amp;" the extracted core information is then connected with the virtual testing platform to generate the original scene set. Besides, we also design a mutation testing solution on the basis of the original scene set, thus greatly enriching the scene library fo"&amp;"r testing. In our experiments, the M-CPS model reaches a result of 66.1% PQ on CityScapes test set, shows that our model has only slight fluctuations on performance compared with the best benchmark model on pure panoptic segmentation task. It also reaches"&amp;" a result of 84.5% IoU for semantic segmentation branch and 40.3% mAP for instance segmentation branch on SHIFT dataset. Then we use UCF-Crime, CADP and US-Accidents datasets to generate the original and mutated scene set. Those generated scene sets are c"&amp;"onnected to Apollo and Carla simulation platforms to test ADS prototypes. We find three types of scenarios that can lead to accidents of ADS prototypes, which indicates that the existing ADS prototype has defects. Our solution provides a new possible dire"&amp;"ction for the recovery of key scenarios in ADS testing, and can improve the efficiency in related fields.  © 2023 ACM.")</f>
        <v>One of the aims of the development and spread of autonomous driving technology is to reduce traffic accidents caused by human factors. But recently reported data on fatal accidents involving autonomous driving system (ADS) shows that this important goal has not been achieved. So there is an emerge requirement on more comprehensive and targeted testing especially on safe driving. In this paper, we propose an approach to automatically building critical testing scenarios from real-world accident data. Firstly, we propose a new model called M-CPS (Multi-channel Panoptic Segmentation) to extract the effective information from the accident record (such as images or videos), and separate the independent individuals of different traffic participants for further scene recovery. Compared with the traditional panoramic segmentation models, M-CPS model is able to effectively handle segmentation challenges due to the shooting angle, image quality, pixel overlap and other problems existing in the accident record. Next, the extracted core information is then connected with the virtual testing platform to generate the original scene set. Besides, we also design a mutation testing solution on the basis of the original scene set, thus greatly enriching the scene library for testing. In our experiments, the M-CPS model reaches a result of 66.1% PQ on CityScapes test set, shows that our model has only slight fluctuations on performance compared with the best benchmark model on pure panoptic segmentation task. It also reaches a result of 84.5% IoU for semantic segmentation branch and 40.3% mAP for instance segmentation branch on SHIFT dataset. Then we use UCF-Crime, CADP and US-Accidents datasets to generate the original and mutated scene set. Those generated scene sets are connected to Apollo and Carla simulation platforms to test ADS prototypes. We find three types of scenarios that can lead to accidents of ADS prototypes, which indicates that the existing ADS prototype has defects. Our solution provides a new possible direction for the recovery of key scenarios in ADS testing, and can improve the efficiency in related fields.  © 2023 ACM.</v>
      </c>
      <c r="H1284" s="7" t="str">
        <f>IFERROR(__xludf.DUMMYFUNCTION("""COMPUTED_VALUE"""),"Autonomous Driving Systems; Panoptic Segmentation; Parameter Mutation; Scene Recovery; Testing")</f>
        <v>Autonomous Driving Systems; Panoptic Segmentation; Parameter Mutation; Scene Recovery; Testing</v>
      </c>
      <c r="I1284" s="10" t="b">
        <v>0</v>
      </c>
      <c r="J1284" s="10" t="b">
        <v>0</v>
      </c>
      <c r="K1284" s="10" t="b">
        <v>0</v>
      </c>
      <c r="L1284" s="10" t="b">
        <v>0</v>
      </c>
      <c r="M1284" s="10" t="b">
        <v>0</v>
      </c>
      <c r="N1284" s="10" t="b">
        <v>0</v>
      </c>
      <c r="O1284" s="11" t="b">
        <f t="shared" si="1"/>
        <v>0</v>
      </c>
      <c r="P1284" s="16" t="b">
        <v>0</v>
      </c>
      <c r="Q1284" s="7"/>
    </row>
    <row r="1285">
      <c r="A1285" s="5" t="b">
        <v>1</v>
      </c>
      <c r="B1285" s="5" t="s">
        <v>1336</v>
      </c>
      <c r="C1285" s="7" t="str">
        <f>IFERROR(__xludf.DUMMYFUNCTION("""COMPUTED_VALUE"""),"10.1145/3533767.3534219")</f>
        <v>10.1145/3533767.3534219</v>
      </c>
      <c r="D1285" s="7" t="str">
        <f>IFERROR(__xludf.DUMMYFUNCTION("""COMPUTED_VALUE"""),"Yuan W.; Zhang Q.; He T.; Fang C.; Hung N.Q.V.; Hao X.; Yin H.")</f>
        <v>Yuan W.; Zhang Q.; He T.; Fang C.; Hung N.Q.V.; Hao X.; Yin H.</v>
      </c>
      <c r="E1285" s="7" t="str">
        <f>IFERROR(__xludf.DUMMYFUNCTION("""COMPUTED_VALUE"""),"CIRCLE: Continual repair across programming languages")</f>
        <v>CIRCLE: Continual repair across programming languages</v>
      </c>
      <c r="F1285" s="7" t="str">
        <f>IFERROR(__xludf.DUMMYFUNCTION("""COMPUTED_VALUE"""),"ISSTA")</f>
        <v>ISSTA</v>
      </c>
      <c r="G1285" s="7" t="str">
        <f>IFERROR(__xludf.DUMMYFUNCTION("""COMPUTED_VALUE"""),"Automatic Program Repair (APR) aims at fixing buggy source code with less manual debugging efforts, which plays a vital role in improving software reliability and development productivity. Recent APR works have achieved remarkable progress via applying de"&amp;"ep learning (DL), particularly neural machine translation (NMT) techniques. However, we observe that existing DL-based APR models suffer from at least two severe drawbacks: (1) Most of them can only generate patches for a single programming language, as a"&amp;" result, to repair multiple languages, we have to build and train many repairing models. (2) Most of them are developed offline. Therefore, they won't function when there are new-coming requirements. To address the above problems, a T5-based APR framework"&amp;" equipped with continual learning ability across multiple programming languages is proposed, namely ContInual Repair aCross Programming LanguagEs (CIRCLE). Specifically, (1) CIRCLE utilizes a prompting function to narrow the gap between natural language p"&amp;"rocessing (NLP) pre-trained tasks and APR. (2) CIRCLE adopts a difficulty-based rehearsal strategy to achieve lifelong learning for APR without access to the full historical data. (3) An elastic regularization method is employed to strengthen CIRCLE's con"&amp;"tinual learning ability further, preventing it from catastrophic forgetting. (4) CIRCLE applies a simple but effective re-repairing method to revise generated errors caused by crossing multiple programming languages. We train CIRCLE for four languages (i."&amp;"e., C, JAVA, JavaScript, and Python) and evaluate it on five commonly used benchmarks. The experimental results demonstrate that CIRCLE not only effectively and efficiently repairs multiple programming languages in continual learning settings, but also ac"&amp;"hieves state-of-the-art performance (e.g., fixes 64 Defects4J bugs) with a single repair model.  © 2022 ACM.")</f>
        <v>Automatic Program Repair (APR) aims at fixing buggy source code with less manual debugging efforts, which plays a vital role in improving software reliability and development productivity. Recent APR works have achieved remarkable progress via applying deep learning (DL), particularly neural machine translation (NMT) techniques. However, we observe that existing DL-based APR models suffer from at least two severe drawbacks: (1) Most of them can only generate patches for a single programming language, as a result, to repair multiple languages, we have to build and train many repairing models. (2) Most of them are developed offline. Therefore, they won't function when there are new-coming requirements. To address the above problems, a T5-based APR framework equipped with continual learning ability across multiple programming languages is proposed, namely ContInual Repair aCross Programming LanguagEs (CIRCLE). Specifically, (1) CIRCLE utilizes a prompting function to narrow the gap between natural language processing (NLP) pre-trained tasks and APR. (2) CIRCLE adopts a difficulty-based rehearsal strategy to achieve lifelong learning for APR without access to the full historical data. (3) An elastic regularization method is employed to strengthen CIRCLE's continual learning ability further, preventing it from catastrophic forgetting. (4) CIRCLE applies a simple but effective re-repairing method to revise generated errors caused by crossing multiple programming languages. We train CIRCLE for four languages (i.e., C, JAVA, JavaScript, and Python) and evaluate it on five commonly used benchmarks. The experimental results demonstrate that CIRCLE not only effectively and efficiently repairs multiple programming languages in continual learning settings, but also achieves state-of-the-art performance (e.g., fixes 64 Defects4J bugs) with a single repair model.  © 2022 ACM.</v>
      </c>
      <c r="H1285" s="7" t="str">
        <f>IFERROR(__xludf.DUMMYFUNCTION("""COMPUTED_VALUE"""),"AI and Software Engineering; Automatic Program Repair; Lifelong Learning; Neural Machine Translation")</f>
        <v>AI and Software Engineering; Automatic Program Repair; Lifelong Learning; Neural Machine Translation</v>
      </c>
      <c r="I1285" s="10" t="b">
        <v>0</v>
      </c>
      <c r="J1285" s="10" t="b">
        <v>0</v>
      </c>
      <c r="K1285" s="10" t="b">
        <v>0</v>
      </c>
      <c r="L1285" s="10" t="b">
        <v>0</v>
      </c>
      <c r="M1285" s="10" t="b">
        <v>0</v>
      </c>
      <c r="N1285" s="10" t="b">
        <v>0</v>
      </c>
      <c r="O1285" s="11" t="b">
        <f t="shared" si="1"/>
        <v>0</v>
      </c>
      <c r="P1285" s="16" t="b">
        <v>0</v>
      </c>
      <c r="Q1285" s="7"/>
    </row>
    <row r="1286">
      <c r="A1286" s="5" t="b">
        <v>1</v>
      </c>
      <c r="B1286" s="5" t="s">
        <v>1337</v>
      </c>
      <c r="C1286" s="7" t="str">
        <f>IFERROR(__xludf.DUMMYFUNCTION("""COMPUTED_VALUE"""),"10.1145/1868044.1868047")</f>
        <v>10.1145/1868044.1868047</v>
      </c>
      <c r="D1286" s="7" t="str">
        <f>IFERROR(__xludf.DUMMYFUNCTION("""COMPUTED_VALUE"""),"Shahbaz M.; Eschbach R.")</f>
        <v>Shahbaz M.; Eschbach R.</v>
      </c>
      <c r="E1286" s="7" t="str">
        <f>IFERROR(__xludf.DUMMYFUNCTION("""COMPUTED_VALUE"""),"Reverse engineering ECUs of automotive components - A case study")</f>
        <v>Reverse engineering ECUs of automotive components - A case study</v>
      </c>
      <c r="F1286" s="7" t="str">
        <f>IFERROR(__xludf.DUMMYFUNCTION("""COMPUTED_VALUE"""),"ISSTA")</f>
        <v>ISSTA</v>
      </c>
      <c r="G1286" s="7" t="str">
        <f>IFERROR(__xludf.DUMMYFUNCTION("""COMPUTED_VALUE"""),"This paper reports experiments conducted on the electronic control units of automobile components using model inference approach. We are studying the application of this approach to the problem of selecting quality components, validation and maintenance o"&amp;"f component variants and their integration into a system. Our final results will help designers and researchers in embedded systems, specifically in automotive industry, to address these issues when complete specifications of component behaviors are unava"&amp;"ilable. Copyright © 2010 ACM.")</f>
        <v>This paper reports experiments conducted on the electronic control units of automobile components using model inference approach. We are studying the application of this approach to the problem of selecting quality components, validation and maintenance of component variants and their integration into a system. Our final results will help designers and researchers in embedded systems, specifically in automotive industry, to address these issues when complete specifications of component behaviors are unavailable. Copyright © 2010 ACM.</v>
      </c>
      <c r="H1286" s="7" t="str">
        <f>IFERROR(__xludf.DUMMYFUNCTION("""COMPUTED_VALUE"""),"Automotive; Behavior inference; ECU; Reverse engineering")</f>
        <v>Automotive; Behavior inference; ECU; Reverse engineering</v>
      </c>
      <c r="I1286" s="10" t="b">
        <v>0</v>
      </c>
      <c r="J1286" s="10" t="b">
        <v>0</v>
      </c>
      <c r="K1286" s="10" t="b">
        <v>0</v>
      </c>
      <c r="L1286" s="10" t="b">
        <v>0</v>
      </c>
      <c r="M1286" s="10" t="b">
        <v>0</v>
      </c>
      <c r="N1286" s="10" t="b">
        <v>0</v>
      </c>
      <c r="O1286" s="11" t="b">
        <f t="shared" si="1"/>
        <v>0</v>
      </c>
      <c r="P1286" s="16" t="b">
        <v>0</v>
      </c>
      <c r="Q1286" s="7"/>
    </row>
    <row r="1287">
      <c r="A1287" s="5" t="b">
        <v>1</v>
      </c>
      <c r="B1287" s="5" t="s">
        <v>1338</v>
      </c>
      <c r="C1287" s="7" t="str">
        <f>IFERROR(__xludf.DUMMYFUNCTION("""COMPUTED_VALUE"""),"10.1145/1390630.1390662")</f>
        <v>10.1145/1390630.1390662</v>
      </c>
      <c r="D1287" s="7" t="str">
        <f>IFERROR(__xludf.DUMMYFUNCTION("""COMPUTED_VALUE"""),"Artz S.; Kiezun A.; Dolby J.; Tip F.; Dig D.; Paradkar A.; Ernsf M.D.")</f>
        <v>Artz S.; Kiezun A.; Dolby J.; Tip F.; Dig D.; Paradkar A.; Ernsf M.D.</v>
      </c>
      <c r="E1287" s="7" t="str">
        <f>IFERROR(__xludf.DUMMYFUNCTION("""COMPUTED_VALUE"""),"Finding bugs in dynamic web applications")</f>
        <v>Finding bugs in dynamic web applications</v>
      </c>
      <c r="F1287" s="7" t="str">
        <f>IFERROR(__xludf.DUMMYFUNCTION("""COMPUTED_VALUE"""),"ISSTA")</f>
        <v>ISSTA</v>
      </c>
      <c r="G1287" s="7" t="str">
        <f>IFERROR(__xludf.DUMMYFUNCTION("""COMPUTED_VALUE"""),"Web script crashes and malformed dynamically-generated Web pages are common errors, and they seriously impact usability of Web applications. Current tools for Web-page validation cannot handle the dynamically-generated pages that are ubiquitous on today's"&amp;" Internet. In this work, we apply a dynamic test generation technique, based on combined concrete and symbolic execution, to the domain of dynamic Web applications. The technique generates tests automatically, uses the tests to detect failures, and minimi"&amp;"zes the conditions on the inputs exposing each failure, so that the resulting bug reports are small and useful in finding and fixing the underlying faults. Our tool Apollo implements the technique for PHP. Apollo generates test inputs for the Web applicat"&amp;"ion, monitors the application for crashes, and validates that the output conforms to the HTML specification. This paper presents Apollo's algorithms and implementation, and an experimental evaluation that revealed 214 faults in 4 PHP Web applications.")</f>
        <v>Web script crashes and malformed dynamically-generated Web pages are common errors, and they seriously impact usability of Web applications. Current tools for Web-page validation cannot handle the dynamically-generated pages that are ubiquitous on today's Internet. In this work, we apply a dynamic test generation technique, based on combined concrete and symbolic execution, to the domain of dynamic Web applications. The technique generates tests automatically, uses the tests to detect failures, and minimizes the conditions on the inputs exposing each failure, so that the resulting bug reports are small and useful in finding and fixing the underlying faults. Our tool Apollo implements the technique for PHP. Apollo generates test inputs for the Web application, monitors the application for crashes, and validates that the output conforms to the HTML specification. This paper presents Apollo's algorithms and implementation, and an experimental evaluation that revealed 214 faults in 4 PHP Web applications.</v>
      </c>
      <c r="H1287" s="7" t="str">
        <f>IFERROR(__xludf.DUMMYFUNCTION("""COMPUTED_VALUE"""),"Dynamic analysis; PHP; Software testing; Web applications")</f>
        <v>Dynamic analysis; PHP; Software testing; Web applications</v>
      </c>
      <c r="I1287" s="10" t="b">
        <v>0</v>
      </c>
      <c r="J1287" s="10" t="b">
        <v>0</v>
      </c>
      <c r="K1287" s="10" t="b">
        <v>0</v>
      </c>
      <c r="L1287" s="10" t="b">
        <v>0</v>
      </c>
      <c r="M1287" s="10" t="b">
        <v>0</v>
      </c>
      <c r="N1287" s="10" t="b">
        <v>0</v>
      </c>
      <c r="O1287" s="11" t="b">
        <f t="shared" si="1"/>
        <v>0</v>
      </c>
      <c r="P1287" s="16" t="b">
        <v>0</v>
      </c>
      <c r="Q1287" s="7"/>
    </row>
    <row r="1288">
      <c r="A1288" s="5" t="b">
        <v>1</v>
      </c>
      <c r="B1288" s="5" t="s">
        <v>1339</v>
      </c>
      <c r="C1288" s="7" t="str">
        <f>IFERROR(__xludf.DUMMYFUNCTION("""COMPUTED_VALUE"""),"10.1145/3395363.3397347")</f>
        <v>10.1145/3395363.3397347</v>
      </c>
      <c r="D1288" s="7" t="str">
        <f>IFERROR(__xludf.DUMMYFUNCTION("""COMPUTED_VALUE"""),"Alhanahnah M.; Stevens C.; Bagheri H.")</f>
        <v>Alhanahnah M.; Stevens C.; Bagheri H.</v>
      </c>
      <c r="E1288" s="7" t="str">
        <f>IFERROR(__xludf.DUMMYFUNCTION("""COMPUTED_VALUE"""),"Scalable analysis of interaction threats in IoT systems")</f>
        <v>Scalable analysis of interaction threats in IoT systems</v>
      </c>
      <c r="F1288" s="7" t="str">
        <f>IFERROR(__xludf.DUMMYFUNCTION("""COMPUTED_VALUE"""),"ISSTA")</f>
        <v>ISSTA</v>
      </c>
      <c r="G1288" s="7" t="str">
        <f>IFERROR(__xludf.DUMMYFUNCTION("""COMPUTED_VALUE"""),"The ubiquity of Internet of Things (IoT) and our growing reliance on IoT apps are leaving us more vulnerable to safety and security threats than ever before. Many of these threats are manifested at the interaction level, where undesired or malicious coord"&amp;"inations between apps and physical devices can lead to intricate safety and security issues. This paper presents IoTCOM, an approach to automatically discover such hidden and unsafe interaction threats in a compositional and scalable fashion. It is backed"&amp;" with auto-mated program analysis and formally rigorous violation detection engines. IoTCOM relies on program analysis to automatically infer the relevant app's behavior. Leveraging a novel strategy to trim the extracted app's behavior prior to translatin"&amp;"g them to analyzable formal specifications,IoTCOM mitigates the state explosion associated with formal analysis. Our experiments with numerous bundles of real-world IoT apps have corroborated IoTCOM's ability to effectively detect a broad spectrum of inte"&amp;"raction threats triggered through cyber and physical channels, many of which were previously unknown, and to significantly outperform the existing techniques in terms of scalability. © 2020 ACM.")</f>
        <v>The ubiquity of Internet of Things (IoT) and our growing reliance on IoT apps are leaving us more vulnerable to safety and security threats than ever before. Many of these threats are manifested at the interaction level, where undesired or malicious coordinations between apps and physical devices can lead to intricate safety and security issues. This paper presents IoTCOM, an approach to automatically discover such hidden and unsafe interaction threats in a compositional and scalable fashion. It is backed with auto-mated program analysis and formally rigorous violation detection engines. IoTCOM relies on program analysis to automatically infer the relevant app's behavior. Leveraging a novel strategy to trim the extracted app's behavior prior to translating them to analyzable formal specifications,IoTCOM mitigates the state explosion associated with formal analysis. Our experiments with numerous bundles of real-world IoT apps have corroborated IoTCOM's ability to effectively detect a broad spectrum of interaction threats triggered through cyber and physical channels, many of which were previously unknown, and to significantly outperform the existing techniques in terms of scalability. © 2020 ACM.</v>
      </c>
      <c r="H1288" s="7" t="str">
        <f>IFERROR(__xludf.DUMMYFUNCTION("""COMPUTED_VALUE"""),"Formal Verification; Interaction Threats; IoT Safety")</f>
        <v>Formal Verification; Interaction Threats; IoT Safety</v>
      </c>
      <c r="I1288" s="10" t="b">
        <v>0</v>
      </c>
      <c r="J1288" s="10" t="b">
        <v>0</v>
      </c>
      <c r="K1288" s="10" t="b">
        <v>0</v>
      </c>
      <c r="L1288" s="10" t="b">
        <v>0</v>
      </c>
      <c r="M1288" s="10" t="b">
        <v>0</v>
      </c>
      <c r="N1288" s="10" t="b">
        <v>0</v>
      </c>
      <c r="O1288" s="11" t="b">
        <f t="shared" si="1"/>
        <v>0</v>
      </c>
      <c r="P1288" s="16" t="b">
        <v>0</v>
      </c>
      <c r="Q1288" s="7"/>
    </row>
    <row r="1289">
      <c r="A1289" s="5" t="b">
        <v>1</v>
      </c>
      <c r="B1289" s="5" t="s">
        <v>1340</v>
      </c>
      <c r="C1289" s="7" t="str">
        <f>IFERROR(__xludf.DUMMYFUNCTION("""COMPUTED_VALUE"""),"10.1145/2483760.2492398")</f>
        <v>10.1145/2483760.2492398</v>
      </c>
      <c r="D1289" s="7" t="str">
        <f>IFERROR(__xludf.DUMMYFUNCTION("""COMPUTED_VALUE"""),"Bonacchi A.")</f>
        <v>Bonacchi A.</v>
      </c>
      <c r="E1289" s="7" t="str">
        <f>IFERROR(__xludf.DUMMYFUNCTION("""COMPUTED_VALUE"""),"Formal safety proof: A real case study in a railway interlocking system")</f>
        <v>Formal safety proof: A real case study in a railway interlocking system</v>
      </c>
      <c r="F1289" s="7" t="str">
        <f>IFERROR(__xludf.DUMMYFUNCTION("""COMPUTED_VALUE"""),"ISSTA")</f>
        <v>ISSTA</v>
      </c>
      <c r="G1289" s="7" t="str">
        <f>IFERROR(__xludf.DUMMYFUNCTION("""COMPUTED_VALUE"""),"A challenging problem for model checking is represented by railway interlocking systems. It is a well known fact that interlocking systems, due to their inherent complexity related to the high number of variables involved, are not readily amenable to auto"&amp;"matic verification, typically incurring in state space explosion problems. The study described in this paper aims at evaluating and experimenting the industrial application of verification by model checking for this class of systems. The choices made at t"&amp;"he beginning of the study, also on the basis of specific requirements from the industrial partner, are presented, together with the advancement status of the project and the plans for its completion. © 2013 ACM.")</f>
        <v>A challenging problem for model checking is represented by railway interlocking systems. It is a well known fact that interlocking systems, due to their inherent complexity related to the high number of variables involved, are not readily amenable to automatic verification, typically incurring in state space explosion problems. The study described in this paper aims at evaluating and experimenting the industrial application of verification by model checking for this class of systems. The choices made at the beginning of the study, also on the basis of specific requirements from the industrial partner, are presented, together with the advancement status of the project and the plans for its completion. © 2013 ACM.</v>
      </c>
      <c r="H1289" s="7" t="str">
        <f>IFERROR(__xludf.DUMMYFUNCTION("""COMPUTED_VALUE"""),"Formal Proof")</f>
        <v>Formal Proof</v>
      </c>
      <c r="I1289" s="10" t="b">
        <v>0</v>
      </c>
      <c r="J1289" s="10" t="b">
        <v>0</v>
      </c>
      <c r="K1289" s="10" t="b">
        <v>0</v>
      </c>
      <c r="L1289" s="10" t="b">
        <v>0</v>
      </c>
      <c r="M1289" s="10" t="b">
        <v>0</v>
      </c>
      <c r="N1289" s="10" t="b">
        <v>0</v>
      </c>
      <c r="O1289" s="11" t="b">
        <f t="shared" si="1"/>
        <v>0</v>
      </c>
      <c r="P1289" s="16" t="b">
        <v>0</v>
      </c>
      <c r="Q1289" s="7"/>
    </row>
    <row r="1290">
      <c r="A1290" s="5" t="b">
        <v>1</v>
      </c>
      <c r="B1290" s="5" t="s">
        <v>1341</v>
      </c>
      <c r="C1290" s="7" t="str">
        <f>IFERROR(__xludf.DUMMYFUNCTION("""COMPUTED_VALUE"""),"10.1145/3533767.3534224")</f>
        <v>10.1145/3533767.3534224</v>
      </c>
      <c r="D1290" s="7" t="str">
        <f>IFERROR(__xludf.DUMMYFUNCTION("""COMPUTED_VALUE"""),"Song X.; Lin Y.; Ng S.H.; Wu Y.; Peng X.; Dong J.S.; Mei H.")</f>
        <v>Song X.; Lin Y.; Ng S.H.; Wu Y.; Peng X.; Dong J.S.; Mei H.</v>
      </c>
      <c r="E1290" s="7" t="str">
        <f>IFERROR(__xludf.DUMMYFUNCTION("""COMPUTED_VALUE"""),"RegMiner: Towards constructing a large regression dataset from code evolution history")</f>
        <v>RegMiner: Towards constructing a large regression dataset from code evolution history</v>
      </c>
      <c r="F1290" s="7" t="str">
        <f>IFERROR(__xludf.DUMMYFUNCTION("""COMPUTED_VALUE"""),"ISSTA")</f>
        <v>ISSTA</v>
      </c>
      <c r="G1290" s="7" t="str">
        <f>IFERROR(__xludf.DUMMYFUNCTION("""COMPUTED_VALUE"""),"Bug datasets lay significant empirical and experimental foundation for various SE/PL researches such as fault localization, software testing, and program repair. Current well-known datasets are constructed manually, which inevitably limits their scalabili"&amp;"ty, representativeness, and the support for the emerging data-driven research. In this work, we propose an approach to automate the process of harvesting replicable regression bugs from the code evolution history. We focus on regression bugs, as they (1) "&amp;"manifest how a bug is introduced and fixed (as non-regression bugs), (2) support regression bug analysis, and (3) incorporate more specification (i.e., both the original passing version and the fixing version) than nonregression bug dataset for bug analys"&amp;"is. Technically, we address an information retrieval problem on code evolution history. Given a code repository, we search for regressions where a test can pass a regression-fixing commit, fail a regression-inducing commit, and pass a previous working com"&amp;"mit. We address the challenges of (1) identifying potential regression-fixing commits from the code evolution history, (2) migrating the test and its code dependencies over the history, and (3) minimizing the compilation overhead during the regression sea"&amp;"rch. We build our tool, RegMiner, which harvested 1035 regressions over 147 projects in 8 weeks, creating the largest replicable regression dataset within the shortest period, to the best of our knowledge. Our extensive experiments show that (1) RegMiner "&amp;"can construct the regression dataset with very high precision and acceptable recall, and (2) the constructed regression dataset is of high authenticity and diversity. We foresee that a continuously growing regression dataset opens many data-driven researc"&amp;"h opportunities in the SE/PL communities.  © 2022 ACM.")</f>
        <v>Bug datasets lay significant empirical and experimental foundation for various SE/PL researches such as fault localization, software testing, and program repair. Current well-known datasets are constructed manually, which inevitably limits their scalability, representativeness, and the support for the emerging data-driven research. In this work, we propose an approach to automate the process of harvesting replicable regression bugs from the code evolution history. We focus on regression bugs, as they (1) manifest how a bug is introduced and fixed (as non-regression bugs), (2) support regression bug analysis, and (3) incorporate more specification (i.e., both the original passing version and the fixing version) than nonregression bug dataset for bug analysis. Technically, we address an information retrieval problem on code evolution history. Given a code repository, we search for regressions where a test can pass a regression-fixing commit, fail a regression-inducing commit, and pass a previous working commit. We address the challenges of (1) identifying potential regression-fixing commits from the code evolution history, (2) migrating the test and its code dependencies over the history, and (3) minimizing the compilation overhead during the regression search. We build our tool, RegMiner, which harvested 1035 regressions over 147 projects in 8 weeks, creating the largest replicable regression dataset within the shortest period, to the best of our knowledge. Our extensive experiments show that (1) RegMiner can construct the regression dataset with very high precision and acceptable recall, and (2) the constructed regression dataset is of high authenticity and diversity. We foresee that a continuously growing regression dataset opens many data-driven research opportunities in the SE/PL communities.  © 2022 ACM.</v>
      </c>
      <c r="H1290" s="7" t="str">
        <f>IFERROR(__xludf.DUMMYFUNCTION("""COMPUTED_VALUE"""),"bug collection; mining code repository; regression bug")</f>
        <v>bug collection; mining code repository; regression bug</v>
      </c>
      <c r="I1290" s="10" t="b">
        <v>0</v>
      </c>
      <c r="J1290" s="10" t="b">
        <v>0</v>
      </c>
      <c r="K1290" s="10" t="b">
        <v>0</v>
      </c>
      <c r="L1290" s="10" t="b">
        <v>0</v>
      </c>
      <c r="M1290" s="10" t="b">
        <v>0</v>
      </c>
      <c r="N1290" s="10" t="b">
        <v>0</v>
      </c>
      <c r="O1290" s="11" t="b">
        <f t="shared" si="1"/>
        <v>0</v>
      </c>
      <c r="P1290" s="16" t="b">
        <v>0</v>
      </c>
      <c r="Q1290" s="7"/>
    </row>
    <row r="1291">
      <c r="A1291" s="5" t="b">
        <v>1</v>
      </c>
      <c r="B1291" s="5" t="s">
        <v>1342</v>
      </c>
      <c r="C1291" s="7" t="str">
        <f>IFERROR(__xludf.DUMMYFUNCTION("""COMPUTED_VALUE"""),"10.1145/2931037.2931046")</f>
        <v>10.1145/2931037.2931046</v>
      </c>
      <c r="D1291" s="7" t="str">
        <f>IFERROR(__xludf.DUMMYFUNCTION("""COMPUTED_VALUE"""),"Liu P.; Tripp O.; Zhang X.")</f>
        <v>Liu P.; Tripp O.; Zhang X.</v>
      </c>
      <c r="E1291" s="7" t="str">
        <f>IFERROR(__xludf.DUMMYFUNCTION("""COMPUTED_VALUE"""),"IPA: Improving predictive analysis with pointer analysis")</f>
        <v>IPA: Improving predictive analysis with pointer analysis</v>
      </c>
      <c r="F1291" s="7" t="str">
        <f>IFERROR(__xludf.DUMMYFUNCTION("""COMPUTED_VALUE"""),"ISSTA")</f>
        <v>ISSTA</v>
      </c>
      <c r="G1291" s="7" t="str">
        <f>IFERROR(__xludf.DUMMYFUNCTION("""COMPUTED_VALUE"""),"Predictive analysis, recently proposed for race detection, guarantees to report no false positives and achieves good coverage. Predictive analysis starts with the trace of an execution and mutates the schedule order of the trace to ""predict"" the executi"&amp;"ons that expose the hidden races. Ideally, the predictive analysis should allow the schedule mutation to change the memory location accessed by the field access, which helps meet the ""same memory location"" requirement of the data race. However, existing"&amp;" predictive approaches, including causality-preserving approaches and symbolic approaches, lack this capability. We propose the first predictive analysis that allows changing the accessed locations. The key challenge is that modeling of the field accesses"&amp;" relies on the location, which may however become unknown due to schedule mutation. We solve this challenge through a novel combination of predictive analysis and pointer analysis. Furthermore, unlike previous work, our analysis applies a hybrid encoding "&amp;"scheme to increase practical applicability. We have implemented our approach as a prototype IPA, and compared it against the most recent predictive analysis over a set of popular Java applications. Our experimental evaluation confirms the effectiveness of"&amp;" our approach: IPA is able to find close to 2X as many races as previous approaches. © 2016 ACM.")</f>
        <v>Predictive analysis, recently proposed for race detection, guarantees to report no false positives and achieves good coverage. Predictive analysis starts with the trace of an execution and mutates the schedule order of the trace to "predict" the executions that expose the hidden races. Ideally, the predictive analysis should allow the schedule mutation to change the memory location accessed by the field access, which helps meet the "same memory location" requirement of the data race. However, existing predictive approaches, including causality-preserving approaches and symbolic approaches, lack this capability. We propose the first predictive analysis that allows changing the accessed locations. The key challenge is that modeling of the field accesses relies on the location, which may however become unknown due to schedule mutation. We solve this challenge through a novel combination of predictive analysis and pointer analysis. Furthermore, unlike previous work, our analysis applies a hybrid encoding scheme to increase practical applicability. We have implemented our approach as a prototype IPA, and compared it against the most recent predictive analysis over a set of popular Java applications. Our experimental evaluation confirms the effectiveness of our approach: IPA is able to find close to 2X as many races as previous approaches. © 2016 ACM.</v>
      </c>
      <c r="H1291" s="7" t="str">
        <f>IFERROR(__xludf.DUMMYFUNCTION("""COMPUTED_VALUE"""),"Causality model; Concurrency; Constraint solver; Data race detection; Predictive analysis; Symbolic analysis; Thread scheduling")</f>
        <v>Causality model; Concurrency; Constraint solver; Data race detection; Predictive analysis; Symbolic analysis; Thread scheduling</v>
      </c>
      <c r="I1291" s="10" t="b">
        <v>0</v>
      </c>
      <c r="J1291" s="10" t="b">
        <v>0</v>
      </c>
      <c r="K1291" s="10" t="b">
        <v>0</v>
      </c>
      <c r="L1291" s="10" t="b">
        <v>0</v>
      </c>
      <c r="M1291" s="10" t="b">
        <v>0</v>
      </c>
      <c r="N1291" s="10" t="b">
        <v>0</v>
      </c>
      <c r="O1291" s="11" t="b">
        <f t="shared" si="1"/>
        <v>0</v>
      </c>
      <c r="P1291" s="16" t="b">
        <v>0</v>
      </c>
      <c r="Q1291" s="7"/>
    </row>
    <row r="1292">
      <c r="A1292" s="5" t="b">
        <v>1</v>
      </c>
      <c r="B1292" s="5" t="s">
        <v>1343</v>
      </c>
      <c r="C1292" s="7" t="str">
        <f>IFERROR(__xludf.DUMMYFUNCTION("""COMPUTED_VALUE"""),"10.1145/04000800.2336768")</f>
        <v>10.1145/04000800.2336768</v>
      </c>
      <c r="D1292" s="7" t="str">
        <f>IFERROR(__xludf.DUMMYFUNCTION("""COMPUTED_VALUE"""),"Canali D.; Lanzi A.; Balzarotti D.; Kruegel C.; Christodorescu M.; Kirda E.")</f>
        <v>Canali D.; Lanzi A.; Balzarotti D.; Kruegel C.; Christodorescu M.; Kirda E.</v>
      </c>
      <c r="E1292" s="7" t="str">
        <f>IFERROR(__xludf.DUMMYFUNCTION("""COMPUTED_VALUE"""),"A quantitative study of accuracy in system call-based malware detection")</f>
        <v>A quantitative study of accuracy in system call-based malware detection</v>
      </c>
      <c r="F1292" s="7" t="str">
        <f>IFERROR(__xludf.DUMMYFUNCTION("""COMPUTED_VALUE"""),"ISSTA")</f>
        <v>ISSTA</v>
      </c>
      <c r="G1292" s="7" t="str">
        <f>IFERROR(__xludf.DUMMYFUNCTION("""COMPUTED_VALUE"""),"Over the last decade, there has been a significant increase in the number and sophistication of malware-related attacks and infections. Many detection techniques have been proposed to mitigate the malware threat. A running theme among existing detection t"&amp;"echniques is the similar promises of high detection rates, in spite of the wildly different models (or specification classes) of malicious activity used. In addition, the lack of a common testing methodology and the limited datasets used in the experiment"&amp;"s make difficult to compare these models in order to determine which ones yield the best detection accuracy. In this paper, we present a systematic approach to measure how the choice of behavioral models influences the quality of a malware detector. We ta"&amp;"ckle this problem by executing a large number of testing experiments, in which we explored the parameter space of over 200 different models, corresponding to more than 220 million of signatures. Our results suggest that commonly held beliefs about simple "&amp;"models are incorrect in how they relate changes in complexity to changes in detection accuracy. This implies that accuracy is non-linear across the model space, and that analytical reasoning is insufficient for finding an optimal model, and has to be supp"&amp;"lemented by testing and empirical measurements. © 2012 ACM.")</f>
        <v>Over the last decade, there has been a significant increase in the number and sophistication of malware-related attacks and infections. Many detection techniques have been proposed to mitigate the malware threat. A running theme among existing detection techniques is the similar promises of high detection rates, in spite of the wildly different models (or specification classes) of malicious activity used. In addition, the lack of a common testing methodology and the limited datasets used in the experiments make difficult to compare these models in order to determine which ones yield the best detection accuracy. In this paper, we present a systematic approach to measure how the choice of behavioral models influences the quality of a malware detector. We tackle this problem by executing a large number of testing experiments, in which we explored the parameter space of over 200 different models, corresponding to more than 220 million of signatures. Our results suggest that commonly held beliefs about simple models are incorrect in how they relate changes in complexity to changes in detection accuracy. This implies that accuracy is non-linear across the model space, and that analytical reasoning is insufficient for finding an optimal model, and has to be supplemented by testing and empirical measurements. © 2012 ACM.</v>
      </c>
      <c r="H1292" s="7" t="str">
        <f>IFERROR(__xludf.DUMMYFUNCTION("""COMPUTED_VALUE"""),"behavior; evaluation; malware; Security")</f>
        <v>behavior; evaluation; malware; Security</v>
      </c>
      <c r="I1292" s="10" t="b">
        <v>0</v>
      </c>
      <c r="J1292" s="10" t="b">
        <v>0</v>
      </c>
      <c r="K1292" s="10" t="b">
        <v>0</v>
      </c>
      <c r="L1292" s="10" t="b">
        <v>0</v>
      </c>
      <c r="M1292" s="10" t="b">
        <v>0</v>
      </c>
      <c r="N1292" s="10" t="b">
        <v>0</v>
      </c>
      <c r="O1292" s="11" t="b">
        <f t="shared" si="1"/>
        <v>0</v>
      </c>
      <c r="P1292" s="16" t="b">
        <v>0</v>
      </c>
      <c r="Q1292" s="7"/>
    </row>
    <row r="1293">
      <c r="A1293" s="5" t="b">
        <v>1</v>
      </c>
      <c r="B1293" s="5" t="s">
        <v>1344</v>
      </c>
      <c r="C1293" s="7"/>
      <c r="D1293" s="7"/>
      <c r="E1293" s="7" t="str">
        <f>IFERROR(__xludf.DUMMYFUNCTION("""COMPUTED_VALUE"""),"Proceedings of the 2001 ACM International Symposium on Software Testing and Analysis, ISSTA'07")</f>
        <v>Proceedings of the 2001 ACM International Symposium on Software Testing and Analysis, ISSTA'07</v>
      </c>
      <c r="F1293" s="7" t="str">
        <f>IFERROR(__xludf.DUMMYFUNCTION("""COMPUTED_VALUE"""),"ISSTA")</f>
        <v>ISSTA</v>
      </c>
      <c r="G1293" s="7" t="str">
        <f>IFERROR(__xludf.DUMMYFUNCTION("""COMPUTED_VALUE"""),"The proceedings contain 23 papers. The topics discussed include: statistical debugging using compound boolean predicates; debugging in parallel; interface grammars for modular software model checking; delta execution for efficient state-space exploration "&amp;"of object-oriented programs; automating component-based system assembly; experimental assessment of random testing for object-oriented software; variably interprocedural program analysis for runtime error detection; using portfolio theory for better and m"&amp;"ore consistent quality; blended analysis for performance understanding of framework-based applications; interaction testing of highly-configurable systems in the presence of constraints; Pareto efficient multi-objective test case selection; dynamic test i"&amp;"nput generation for database applications; static specification mining using automata-based abstractions; and efficient online detection of dynamic control dependence.")</f>
        <v>The proceedings contain 23 papers. The topics discussed include: statistical debugging using compound boolean predicates; debugging in parallel; interface grammars for modular software model checking; delta execution for efficient state-space exploration of object-oriented programs; automating component-based system assembly; experimental assessment of random testing for object-oriented software; variably interprocedural program analysis for runtime error detection; using portfolio theory for better and more consistent quality; blended analysis for performance understanding of framework-based applications; interaction testing of highly-configurable systems in the presence of constraints; Pareto efficient multi-objective test case selection; dynamic test input generation for database applications; static specification mining using automata-based abstractions; and efficient online detection of dynamic control dependence.</v>
      </c>
      <c r="H1293" s="7"/>
      <c r="I1293" s="10" t="b">
        <v>0</v>
      </c>
      <c r="J1293" s="10" t="b">
        <v>0</v>
      </c>
      <c r="K1293" s="10" t="b">
        <v>0</v>
      </c>
      <c r="L1293" s="10" t="b">
        <v>0</v>
      </c>
      <c r="M1293" s="10" t="b">
        <v>0</v>
      </c>
      <c r="N1293" s="10" t="b">
        <v>0</v>
      </c>
      <c r="O1293" s="11" t="b">
        <f t="shared" si="1"/>
        <v>0</v>
      </c>
      <c r="P1293" s="16" t="b">
        <v>0</v>
      </c>
      <c r="Q1293" s="7"/>
    </row>
    <row r="1294">
      <c r="A1294" s="5" t="b">
        <v>1</v>
      </c>
      <c r="B1294" s="5" t="s">
        <v>1345</v>
      </c>
      <c r="C1294" s="7" t="str">
        <f>IFERROR(__xludf.DUMMYFUNCTION("""COMPUTED_VALUE"""),"10.1145/3213846.3229500")</f>
        <v>10.1145/3213846.3229500</v>
      </c>
      <c r="D1294" s="7" t="str">
        <f>IFERROR(__xludf.DUMMYFUNCTION("""COMPUTED_VALUE"""),"Yan J.; Pan L.; Li Y.; Yan J.; Zhang J.")</f>
        <v>Yan J.; Pan L.; Li Y.; Yan J.; Zhang J.</v>
      </c>
      <c r="E1294" s="7" t="str">
        <f>IFERROR(__xludf.DUMMYFUNCTION("""COMPUTED_VALUE"""),"LAND: A user-friendly and customizable test generation tool for Android apps")</f>
        <v>LAND: A user-friendly and customizable test generation tool for Android apps</v>
      </c>
      <c r="F1294" s="7" t="str">
        <f>IFERROR(__xludf.DUMMYFUNCTION("""COMPUTED_VALUE"""),"ISSTA")</f>
        <v>ISSTA</v>
      </c>
      <c r="G1294" s="7" t="str">
        <f>IFERROR(__xludf.DUMMYFUNCTION("""COMPUTED_VALUE"""),"Model-based GUI exploration techniques are widely used to generate test cases for event-driven programs (such as Android apps). These techniques traverse the elements of screens during the user interaction and simultaneously construct the GUI model. Altho"&amp;"ugh there are a number of automatic model-based exploration tools, most of them pay more attention to the exploration procedure than the model reusing. This paper presents LAND, an effective and user-friendly test generation tool based on GUI exploration "&amp;"of Android apps, which constructs an elaborate window transition model ""LATTE"" that considers more Android specific characteristics and provides a customizable test generation interface by reusing the model. Experiments on 20 real-world Android apps are"&amp;" conducted to construct their models as well as test cases. The experimental results indicate that LAND can achieve higher code coverage and trigger exceptions in shorter sequence. It is also demonstrated that LATTE can be well reused under different requ"&amp;"irements of test suite generation. A demo video of our tool can be found at the website https://www.youtube.com/watch?v=iqtr12eiJ-0. © 2018 Association for Computing Machinery.")</f>
        <v>Model-based GUI exploration techniques are widely used to generate test cases for event-driven programs (such as Android apps). These techniques traverse the elements of screens during the user interaction and simultaneously construct the GUI model. Although there are a number of automatic model-based exploration tools, most of them pay more attention to the exploration procedure than the model reusing. This paper presents LAND, an effective and user-friendly test generation tool based on GUI exploration of Android apps, which constructs an elaborate window transition model "LATTE" that considers more Android specific characteristics and provides a customizable test generation interface by reusing the model. Experiments on 20 real-world Android apps are conducted to construct their models as well as test cases. The experimental results indicate that LAND can achieve higher code coverage and trigger exceptions in shorter sequence. It is also demonstrated that LATTE can be well reused under different requirements of test suite generation. A demo video of our tool can be found at the website https://www.youtube.com/watch?v=iqtr12eiJ-0. © 2018 Association for Computing Machinery.</v>
      </c>
      <c r="H1294" s="7" t="str">
        <f>IFERROR(__xludf.DUMMYFUNCTION("""COMPUTED_VALUE"""),"Android GUI Model; Dynamic Modeling; Targeted Test Generation")</f>
        <v>Android GUI Model; Dynamic Modeling; Targeted Test Generation</v>
      </c>
      <c r="I1294" s="10" t="b">
        <v>0</v>
      </c>
      <c r="J1294" s="10" t="b">
        <v>0</v>
      </c>
      <c r="K1294" s="10" t="b">
        <v>0</v>
      </c>
      <c r="L1294" s="10" t="b">
        <v>0</v>
      </c>
      <c r="M1294" s="10" t="b">
        <v>0</v>
      </c>
      <c r="N1294" s="10" t="b">
        <v>0</v>
      </c>
      <c r="O1294" s="11" t="b">
        <f t="shared" si="1"/>
        <v>0</v>
      </c>
      <c r="P1294" s="16" t="b">
        <v>0</v>
      </c>
      <c r="Q1294" s="7"/>
    </row>
    <row r="1295">
      <c r="A1295" s="5" t="b">
        <v>1</v>
      </c>
      <c r="B1295" s="5" t="s">
        <v>1346</v>
      </c>
      <c r="C1295" s="7" t="str">
        <f>IFERROR(__xludf.DUMMYFUNCTION("""COMPUTED_VALUE"""),"10.1145/3460319.3464796")</f>
        <v>10.1145/3460319.3464796</v>
      </c>
      <c r="D1295" s="7" t="str">
        <f>IFERROR(__xludf.DUMMYFUNCTION("""COMPUTED_VALUE"""),"Habib A.; Shinnar A.; Hirzel M.; Pradel M.")</f>
        <v>Habib A.; Shinnar A.; Hirzel M.; Pradel M.</v>
      </c>
      <c r="E1295" s="7" t="str">
        <f>IFERROR(__xludf.DUMMYFUNCTION("""COMPUTED_VALUE"""),"Finding data compatibility bugs with JSON subschema checking")</f>
        <v>Finding data compatibility bugs with JSON subschema checking</v>
      </c>
      <c r="F1295" s="7" t="str">
        <f>IFERROR(__xludf.DUMMYFUNCTION("""COMPUTED_VALUE"""),"ISSTA")</f>
        <v>ISSTA</v>
      </c>
      <c r="G1295" s="7" t="str">
        <f>IFERROR(__xludf.DUMMYFUNCTION("""COMPUTED_VALUE"""),"JSON is a data format used pervasively in web APIs, cloud computing, NoSQL databases, and increasingly also machine learning. To ensure that JSON data is compatible with an application, one can define a JSON schema and use a validator to check data agains"&amp;"t the schema. However, because validation can happen only once concrete data occurs during an execution, it may detect data compatibility bugs too late or not at all. Examples include evolving the schema for a web API, which may unexpectedly break client "&amp;"applications, or accidentally running a machine learning pipeline on incorrect data. This paper presents a novel way of detecting a class of data compatibility bugs via JSON subschema checking. Subschema checks find bugs before concrete JSON data is avail"&amp;"able and across all possible data specified by a schema. For example, one can check if evolving a schema would break API clients or if two components of a machine learning pipeline have incompatible expectations about data. Deciding whether one JSON schem"&amp;"a is a subschema of another is non-trivial because the JSON Schema specification language is rich. Our key insight to address this challenge is to first reduce the richness of schemas by canonicalizing and simplifying them, and to then reason about the su"&amp;"bschema question on simpler schema fragments using type-specific checkers. We apply our subschema checker to thousands of real-world schemas from different domains. In all experiments, the approach is correct whenever it gives an answer (100% precision an"&amp;"d correctness), which is the case for most schema pairs (93.5% recall), clearly outperforming the state-of-the-art tool. Moreover, the approach reveals 43 previously unknown bugs in popular software, most of which have already been fixed, showing that JSO"&amp;"N subschema checking helps finding data compatibility bugs early. © 2021 ACM.")</f>
        <v>JSON is a data format used pervasively in web APIs, cloud computing, NoSQL databases, and increasingly also machine learning. To ensure that JSON data is compatible with an application, one can define a JSON schema and use a validator to check data against the schema. However, because validation can happen only once concrete data occurs during an execution, it may detect data compatibility bugs too late or not at all. Examples include evolving the schema for a web API, which may unexpectedly break client applications, or accidentally running a machine learning pipeline on incorrect data. This paper presents a novel way of detecting a class of data compatibility bugs via JSON subschema checking. Subschema checks find bugs before concrete JSON data is available and across all possible data specified by a schema. For example, one can check if evolving a schema would break API clients or if two components of a machine learning pipeline have incompatible expectations about data. Deciding whether one JSON schema is a subschema of another is non-trivial because the JSON Schema specification language is rich. Our key insight to address this challenge is to first reduce the richness of schemas by canonicalizing and simplifying them, and to then reason about the subschema question on simpler schema fragments using type-specific checkers. We apply our subschema checker to thousands of real-world schemas from different domains. In all experiments, the approach is correct whenever it gives an answer (100% precision and correctness), which is the case for most schema pairs (93.5% recall), clearly outperforming the state-of-the-art tool. Moreover, the approach reveals 43 previously unknown bugs in popular software, most of which have already been fixed, showing that JSON subschema checking helps finding data compatibility bugs early. © 2021 ACM.</v>
      </c>
      <c r="H1295" s="7" t="str">
        <f>IFERROR(__xludf.DUMMYFUNCTION("""COMPUTED_VALUE"""),"Data compatibility bugs; JSON schema; Subschema checking")</f>
        <v>Data compatibility bugs; JSON schema; Subschema checking</v>
      </c>
      <c r="I1295" s="10" t="b">
        <v>0</v>
      </c>
      <c r="J1295" s="10" t="b">
        <v>0</v>
      </c>
      <c r="K1295" s="10" t="b">
        <v>0</v>
      </c>
      <c r="L1295" s="10" t="b">
        <v>0</v>
      </c>
      <c r="M1295" s="10" t="b">
        <v>0</v>
      </c>
      <c r="N1295" s="10" t="b">
        <v>0</v>
      </c>
      <c r="O1295" s="11" t="b">
        <f t="shared" si="1"/>
        <v>0</v>
      </c>
      <c r="P1295" s="16" t="b">
        <v>0</v>
      </c>
      <c r="Q1295" s="7"/>
    </row>
    <row r="1296">
      <c r="A1296" s="5" t="b">
        <v>1</v>
      </c>
      <c r="B1296" s="5" t="s">
        <v>1347</v>
      </c>
      <c r="C1296" s="7" t="str">
        <f>IFERROR(__xludf.DUMMYFUNCTION("""COMPUTED_VALUE"""),"10.1145/04000800.2336781")</f>
        <v>10.1145/04000800.2336781</v>
      </c>
      <c r="D1296" s="7" t="str">
        <f>IFERROR(__xludf.DUMMYFUNCTION("""COMPUTED_VALUE"""),"Yi J.; Disney T.; Freund S.N.; Flanagan C.")</f>
        <v>Yi J.; Disney T.; Freund S.N.; Flanagan C.</v>
      </c>
      <c r="E1296" s="7" t="str">
        <f>IFERROR(__xludf.DUMMYFUNCTION("""COMPUTED_VALUE"""),"Cooperative types for controlling thread interference in Java")</f>
        <v>Cooperative types for controlling thread interference in Java</v>
      </c>
      <c r="F1296" s="7" t="str">
        <f>IFERROR(__xludf.DUMMYFUNCTION("""COMPUTED_VALUE"""),"ISSTA")</f>
        <v>ISSTA</v>
      </c>
      <c r="G1296" s="7" t="str">
        <f>IFERROR(__xludf.DUMMYFUNCTION("""COMPUTED_VALUE"""),"Multithreaded programs are notoriously prone to unintended interference between concurrent threads. To address this problem, we argue that yield annotations in the source code should document all thread interference, and we present a type system for verif"&amp;"ying the absence of undocumented interference in Java programs. Under this type system, well-typed programs behave as if context switches occur only at yield annotations. Thus, well-typed programs can be understood using intuitive sequential reasoning, ex"&amp;"cept where yield annotations remind the programmer to account for thread interference. Experimental results show that yield annotations describe thread interference more precisely than prior techniques based on method-level atomicity specifications. In pa"&amp;"rticular, yield annotations reduce the number of interference points one must reason about by an order of magnitude. The type system is also more precise than prior methods targeting race freedom. Moreover, yield annotations serve to highlight all known c"&amp;"oncurrency defects in our benchmark suite. © 2012 ACM.")</f>
        <v>Multithreaded programs are notoriously prone to unintended interference between concurrent threads. To address this problem, we argue that yield annotations in the source code should document all thread interference, and we present a type system for verifying the absence of undocumented interference in Java programs. Under this type system, well-typed programs behave as if context switches occur only at yield annotations. Thus, well-typed programs can be understood using intuitive sequential reasoning, except where yield annotations remind the programmer to account for thread interference. Experimental results show that yield annotations describe thread interference more precisely than prior techniques based on method-level atomicity specifications. In particular, yield annotations reduce the number of interference points one must reason about by an order of magnitude. The type system is also more precise than prior methods targeting race freedom. Moreover, yield annotations serve to highlight all known concurrency defects in our benchmark suite. © 2012 ACM.</v>
      </c>
      <c r="H1296" s="7" t="str">
        <f>IFERROR(__xludf.DUMMYFUNCTION("""COMPUTED_VALUE"""),"concurrency; Cooperability; type systems")</f>
        <v>concurrency; Cooperability; type systems</v>
      </c>
      <c r="I1296" s="10" t="b">
        <v>0</v>
      </c>
      <c r="J1296" s="10" t="b">
        <v>0</v>
      </c>
      <c r="K1296" s="10" t="b">
        <v>0</v>
      </c>
      <c r="L1296" s="10" t="b">
        <v>0</v>
      </c>
      <c r="M1296" s="10" t="b">
        <v>0</v>
      </c>
      <c r="N1296" s="10" t="b">
        <v>0</v>
      </c>
      <c r="O1296" s="11" t="b">
        <f t="shared" si="1"/>
        <v>0</v>
      </c>
      <c r="P1296" s="16" t="b">
        <v>0</v>
      </c>
      <c r="Q1296" s="7"/>
    </row>
    <row r="1297">
      <c r="A1297" s="5" t="b">
        <v>1</v>
      </c>
      <c r="B1297" s="5" t="s">
        <v>1348</v>
      </c>
      <c r="C1297" s="7"/>
      <c r="D1297" s="7" t="str">
        <f>IFERROR(__xludf.DUMMYFUNCTION("""COMPUTED_VALUE"""),"Boyapati C.; Khurshid S.; Marinov D.")</f>
        <v>Boyapati C.; Khurshid S.; Marinov D.</v>
      </c>
      <c r="E1297" s="7" t="str">
        <f>IFERROR(__xludf.DUMMYFUNCTION("""COMPUTED_VALUE"""),"Korat: Automated testing based on Java predicates")</f>
        <v>Korat: Automated testing based on Java predicates</v>
      </c>
      <c r="F1297" s="7" t="str">
        <f>IFERROR(__xludf.DUMMYFUNCTION("""COMPUTED_VALUE"""),"ISSTA")</f>
        <v>ISSTA</v>
      </c>
      <c r="G1297" s="7" t="str">
        <f>IFERROR(__xludf.DUMMYFUNCTION("""COMPUTED_VALUE"""),"This paper presents Korat, a novel framework for automated testing of Java programs. Given a formal specification for a method, Korat uses the method precondition to automatically generate all (nonisomorphic) test cases up to a given small size. Korat the"&amp;"n executes the method on each test case, and uses the method postcondition as a test oracle to check the correctness of each output. To generate test cases for a method, Korat constructs a Java predicate (i.e., a method that returns a boolean) from the me"&amp;"thod's pre-condition. The heart of Korat is a technique for automatic test case generation: given a predicate and a bound on the size of its inputs, Korat generates all (nonisomorphic) inputs for which the predicate returns true. Korat exhaustively explor"&amp;"es the bounded input space of the predicate but does so efficiently by monitoring the predicate's executions and pruning large portions of the search space. This paper illustrates the use of Korat for testing several data structures, including some from t"&amp;"he Java Collections Framework. The experimental results show that it is feasible to generate test cases from Java predicates, even when the search space for inputs is very large. This paper also compares Korat with a testing framework based on declarative"&amp;" specifications. Contrary to our initial expectation, the experiments show that Korat generates test cases much faster than the declarative framework.")</f>
        <v>This paper presents Korat, a novel framework for automated testing of Java programs. Given a formal specification for a method, Korat uses the method precondition to automatically generate all (nonisomorphic) test cases up to a given small size. Korat then executes the method on each test case, and uses the method postcondition as a test oracle to check the correctness of each output. To generate test cases for a method, Korat constructs a Java predicate (i.e., a method that returns a boolean) from the method's pre-condition. The heart of Korat is a technique for automatic test case generation: given a predicate and a bound on the size of its inputs, Korat generates all (nonisomorphic) inputs for which the predicate returns true. Korat exhaustively explores the bounded input space of the predicate but does so efficiently by monitoring the predicate's executions and pruning large portions of the search space. This paper illustrates the use of Korat for testing several data structures, including some from the Java Collections Framework. The experimental results show that it is feasible to generate test cases from Java predicates, even when the search space for inputs is very large. This paper also compares Korat with a testing framework based on declarative specifications. Contrary to our initial expectation, the experiments show that Korat generates test cases much faster than the declarative framework.</v>
      </c>
      <c r="H1297" s="7"/>
      <c r="I1297" s="10" t="b">
        <v>0</v>
      </c>
      <c r="J1297" s="10" t="b">
        <v>0</v>
      </c>
      <c r="K1297" s="10" t="b">
        <v>0</v>
      </c>
      <c r="L1297" s="10" t="b">
        <v>0</v>
      </c>
      <c r="M1297" s="10" t="b">
        <v>0</v>
      </c>
      <c r="N1297" s="10" t="b">
        <v>0</v>
      </c>
      <c r="O1297" s="11" t="b">
        <f t="shared" si="1"/>
        <v>0</v>
      </c>
      <c r="P1297" s="16" t="b">
        <v>0</v>
      </c>
      <c r="Q1297" s="7"/>
    </row>
    <row r="1298">
      <c r="A1298" s="5" t="b">
        <v>1</v>
      </c>
      <c r="B1298" s="5" t="s">
        <v>1349</v>
      </c>
      <c r="C1298" s="7" t="str">
        <f>IFERROR(__xludf.DUMMYFUNCTION("""COMPUTED_VALUE"""),"10.1145/3597926.3598081")</f>
        <v>10.1145/3597926.3598081</v>
      </c>
      <c r="D1298" s="7" t="str">
        <f>IFERROR(__xludf.DUMMYFUNCTION("""COMPUTED_VALUE"""),"Wang J.; Li Y.; Huang X.; Chen L.; Zhang X.; Zhou Y.")</f>
        <v>Wang J.; Li Y.; Huang X.; Chen L.; Zhang X.; Zhou Y.</v>
      </c>
      <c r="E1298" s="7" t="str">
        <f>IFERROR(__xludf.DUMMYFUNCTION("""COMPUTED_VALUE"""),"Back Deduction Based Testing for Word Sense Disambiguation Ability of Machine Translation Systems")</f>
        <v>Back Deduction Based Testing for Word Sense Disambiguation Ability of Machine Translation Systems</v>
      </c>
      <c r="F1298" s="7" t="str">
        <f>IFERROR(__xludf.DUMMYFUNCTION("""COMPUTED_VALUE"""),"ISSTA")</f>
        <v>ISSTA</v>
      </c>
      <c r="G1298" s="7" t="str">
        <f>IFERROR(__xludf.DUMMYFUNCTION("""COMPUTED_VALUE"""),"Machine translation systems have penetrated our daily lives, providing translation services from source language to target language to millions of users online daily. Word Sense Disambiguation (WSD) is one of the essential functional requirements of machi"&amp;"ne translation systems, which aims to determine the exact sense of polysemes in the given context. Commercial machine translation systems (e.g., Google Translate) have been shown to fail in identifying the proper sense and consequently cause translation e"&amp;"rrors. However, to our knowledge, no prior studies focus on testing such WSD bugs for machine translation systems. To tackle this challenge, we propose a novel testing method Back Deduction based Testing for Word Sense Disambiguation (BDTD). Our method's "&amp;"main idea is to obtain the hidden senses of source words via back deduction from the target language, i.e., employ translation words in the target language to deduce senses of original words identified in the translation procedure. To evaluate BDTD, we co"&amp;"nduct an extensive empirical study with millions of sentences under three popular translators, including Google Translate and Bing Microsoft Translator. The experimental results indicate that BDTD can identify a considerable number of WSD bugs with high a"&amp;"ccuracy, more than 80%, under all three translators.  © 2023 ACM.")</f>
        <v>Machine translation systems have penetrated our daily lives, providing translation services from source language to target language to millions of users online daily. Word Sense Disambiguation (WSD) is one of the essential functional requirements of machine translation systems, which aims to determine the exact sense of polysemes in the given context. Commercial machine translation systems (e.g., Google Translate) have been shown to fail in identifying the proper sense and consequently cause translation errors. However, to our knowledge, no prior studies focus on testing such WSD bugs for machine translation systems. To tackle this challenge, we propose a novel testing method Back Deduction based Testing for Word Sense Disambiguation (BDTD). Our method's main idea is to obtain the hidden senses of source words via back deduction from the target language, i.e., employ translation words in the target language to deduce senses of original words identified in the translation procedure. To evaluate BDTD, we conduct an extensive empirical study with millions of sentences under three popular translators, including Google Translate and Bing Microsoft Translator. The experimental results indicate that BDTD can identify a considerable number of WSD bugs with high accuracy, more than 80%, under all three translators.  © 2023 ACM.</v>
      </c>
      <c r="H1298" s="7" t="str">
        <f>IFERROR(__xludf.DUMMYFUNCTION("""COMPUTED_VALUE"""),"Back Deduction; Machine Translation; Software Testing; Word Sense Disambiguation")</f>
        <v>Back Deduction; Machine Translation; Software Testing; Word Sense Disambiguation</v>
      </c>
      <c r="I1298" s="10" t="b">
        <v>0</v>
      </c>
      <c r="J1298" s="10" t="b">
        <v>0</v>
      </c>
      <c r="K1298" s="10" t="b">
        <v>0</v>
      </c>
      <c r="L1298" s="10" t="b">
        <v>0</v>
      </c>
      <c r="M1298" s="10" t="b">
        <v>0</v>
      </c>
      <c r="N1298" s="10" t="b">
        <v>0</v>
      </c>
      <c r="O1298" s="11" t="b">
        <f t="shared" si="1"/>
        <v>0</v>
      </c>
      <c r="P1298" s="16" t="b">
        <v>0</v>
      </c>
      <c r="Q1298" s="7"/>
    </row>
    <row r="1299">
      <c r="A1299" s="5" t="b">
        <v>1</v>
      </c>
      <c r="B1299" s="5" t="s">
        <v>1350</v>
      </c>
      <c r="C1299" s="7" t="str">
        <f>IFERROR(__xludf.DUMMYFUNCTION("""COMPUTED_VALUE"""),"10.1145/1831708.1831712")</f>
        <v>10.1145/1831708.1831712</v>
      </c>
      <c r="D1299" s="7" t="str">
        <f>IFERROR(__xludf.DUMMYFUNCTION("""COMPUTED_VALUE"""),"Galeotti J.P.; Rosner N.; Pombo C.G.L.; Frias M.F.")</f>
        <v>Galeotti J.P.; Rosner N.; Pombo C.G.L.; Frias M.F.</v>
      </c>
      <c r="E1299" s="7" t="str">
        <f>IFERROR(__xludf.DUMMYFUNCTION("""COMPUTED_VALUE"""),"Analysis of invariants for efficient bounded verification")</f>
        <v>Analysis of invariants for efficient bounded verification</v>
      </c>
      <c r="F1299" s="7" t="str">
        <f>IFERROR(__xludf.DUMMYFUNCTION("""COMPUTED_VALUE"""),"ISSTA")</f>
        <v>ISSTA</v>
      </c>
      <c r="G1299" s="7" t="str">
        <f>IFERROR(__xludf.DUMMYFUNCTION("""COMPUTED_VALUE"""),"SAT-based bounded verification of annotated code consists of translating the code together with the annotations to a propositional formula, and analyzing the formula for specification violations using a SAT-solver. If a violation is found, an execution tr"&amp;"ace exposing the error is exhibited. Code involving linked data structures with intricate invariants is particularly hard to analyze using these techniques. In this article we present TACO, a prototype tool which implements a novel, general and fully auto"&amp;"mated technique for the SAT-based analysis of JML-annotated Java sequential programs dealing with complex linked data structures. We instrument code analysis with a symmetry-breaking predicate that allows for the parallel, automated computation of tight b"&amp;"ounds for Java fields. Experiments show that the translations to propositional formulas require significantly less propositional variables, leading in the experiments we have carried out to an improvement on the efficiency of the analysis of orders of mag"&amp;"nitude, compared to the non-instrumented SAT-based analysis. We show that, in some cases, our tool can uncover bugs that cannot be detected by state-of-the-art tools based on SAT-solving, model checking or SMT-solving. © 2010 ACM.")</f>
        <v>SAT-based bounded verification of annotated code consists of translating the code together with the annotations to a propositional formula, and analyzing the formula for specification violations using a SAT-solver. If a violation is found, an execution trace exposing the error is exhibited. Code involving linked data structures with intricate invariants is particularly hard to analyze using these techniques. In this article we present TACO, a prototype tool which implements a novel, general and fully automated technique for the SAT-based analysis of JML-annotated Java sequential programs dealing with complex linked data structures. We instrument code analysis with a symmetry-breaking predicate that allows for the parallel, automated computation of tight bounds for Java fields. Experiments show that the translations to propositional formulas require significantly less propositional variables, leading in the experiments we have carried out to an improvement on the efficiency of the analysis of orders of magnitude, compared to the non-instrumented SAT-based analysis. We show that, in some cases, our tool can uncover bugs that cannot be detected by state-of-the-art tools based on SAT-solving, model checking or SMT-solving. © 2010 ACM.</v>
      </c>
      <c r="H1299" s="7" t="str">
        <f>IFERROR(__xludf.DUMMYFUNCTION("""COMPUTED_VALUE"""),"Alloy; DynAlloy; KodKod; SAT-based code analysis; Static analysis")</f>
        <v>Alloy; DynAlloy; KodKod; SAT-based code analysis; Static analysis</v>
      </c>
      <c r="I1299" s="10" t="b">
        <v>0</v>
      </c>
      <c r="J1299" s="10" t="b">
        <v>0</v>
      </c>
      <c r="K1299" s="10" t="b">
        <v>0</v>
      </c>
      <c r="L1299" s="10" t="b">
        <v>0</v>
      </c>
      <c r="M1299" s="10" t="b">
        <v>0</v>
      </c>
      <c r="N1299" s="10" t="b">
        <v>0</v>
      </c>
      <c r="O1299" s="11" t="b">
        <f t="shared" si="1"/>
        <v>0</v>
      </c>
      <c r="P1299" s="16" t="b">
        <v>0</v>
      </c>
      <c r="Q1299" s="7"/>
    </row>
    <row r="1300">
      <c r="A1300" s="5" t="b">
        <v>1</v>
      </c>
      <c r="B1300" s="5" t="s">
        <v>1351</v>
      </c>
      <c r="C1300" s="7"/>
      <c r="D1300" s="7" t="str">
        <f>IFERROR(__xludf.DUMMYFUNCTION("""COMPUTED_VALUE"""),"Nimmer J.W.; Ernst M.D.")</f>
        <v>Nimmer J.W.; Ernst M.D.</v>
      </c>
      <c r="E1300" s="7" t="str">
        <f>IFERROR(__xludf.DUMMYFUNCTION("""COMPUTED_VALUE"""),"Automatic generation of program specifications")</f>
        <v>Automatic generation of program specifications</v>
      </c>
      <c r="F1300" s="7" t="str">
        <f>IFERROR(__xludf.DUMMYFUNCTION("""COMPUTED_VALUE"""),"ISSTA")</f>
        <v>ISSTA</v>
      </c>
      <c r="G1300" s="7" t="str">
        <f>IFERROR(__xludf.DUMMYFUNCTION("""COMPUTED_VALUE"""),"Producing specifications by dynamic (runtime) analysis of program executions is potentially unsound, because the analyzed executions may not fully characterize all possible executions of the program. In practice, how accurate are the results of a dynamic "&amp;"analysis? This paper describes the results of an investigation into this question, determining how much specifications generalized from program runs must be changed in order to be verified by a static checker. Surprisingly, small test suites captured near"&amp;"ly all program behavior required by a specific type of static checking; the static checker guaranteed that the implementations satisfy the generated specifications, and ensured the absence of runtime exceptions. Measured against this verification task, th"&amp;"e generated specifications scored over 90% on precision, a measure of soundness, and on recall, a measure of completeness. This is a positive result for testing, because it suggests that dynamic analyses can capture all semantic information of interest fo"&amp;"r certain applications. The experimental results demonstrate that a specific technique, dynamic invariant detection, is effective at generating consistent, sufficient specifications for use by a static checker. Finally, the research shows that combining s"&amp;"tatic and dynamic analyses over program specifications has benefits for users of each technique, guaranteeing soundness of the dynamic analysis and lessening the annotation burden for users of the static analysis.")</f>
        <v>Producing specifications by dynamic (runtime) analysis of program executions is potentially unsound, because the analyzed executions may not fully characterize all possible executions of the program. In practice, how accurate are the results of a dynamic analysis? This paper describes the results of an investigation into this question, determining how much specifications generalized from program runs must be changed in order to be verified by a static checker. Surprisingly, small test suites captured nearly all program behavior required by a specific type of static checking; the static checker guaranteed that the implementations satisfy the generated specifications, and ensured the absence of runtime exceptions. Measured against this verification task, the generated specifications scored over 90% on precision, a measure of soundness, and on recall, a measure of completeness. This is a positive result for testing, because it suggests that dynamic analyses can capture all semantic information of interest for certain applications. The experimental results demonstrate that a specific technique, dynamic invariant detection, is effective at generating consistent, sufficient specifications for use by a static checker. Finally, the research shows that combining static and dynamic analyses over program specifications has benefits for users of each technique, guaranteeing soundness of the dynamic analysis and lessening the annotation burden for users of the static analysis.</v>
      </c>
      <c r="H1300" s="7"/>
      <c r="I1300" s="10" t="b">
        <v>0</v>
      </c>
      <c r="J1300" s="10" t="b">
        <v>0</v>
      </c>
      <c r="K1300" s="10" t="b">
        <v>0</v>
      </c>
      <c r="L1300" s="10" t="b">
        <v>0</v>
      </c>
      <c r="M1300" s="10" t="b">
        <v>0</v>
      </c>
      <c r="N1300" s="10" t="b">
        <v>0</v>
      </c>
      <c r="O1300" s="11" t="b">
        <f t="shared" si="1"/>
        <v>0</v>
      </c>
      <c r="P1300" s="16" t="b">
        <v>0</v>
      </c>
      <c r="Q1300" s="7"/>
    </row>
    <row r="1301">
      <c r="A1301" s="5" t="b">
        <v>1</v>
      </c>
      <c r="B1301" s="5" t="s">
        <v>1352</v>
      </c>
      <c r="C1301" s="7" t="str">
        <f>IFERROR(__xludf.DUMMYFUNCTION("""COMPUTED_VALUE"""),"10.1145/3533767.3534369")</f>
        <v>10.1145/3533767.3534369</v>
      </c>
      <c r="D1301" s="7" t="str">
        <f>IFERROR(__xludf.DUMMYFUNCTION("""COMPUTED_VALUE"""),"Zheng G.; Nguyen T.; Brida S.G.; Regis G.; Aguirre N.; Frias M.F.; Bagheri H.")</f>
        <v>Zheng G.; Nguyen T.; Brida S.G.; Regis G.; Aguirre N.; Frias M.F.; Bagheri H.</v>
      </c>
      <c r="E1301" s="7" t="str">
        <f>IFERROR(__xludf.DUMMYFUNCTION("""COMPUTED_VALUE"""),"ATR: Template-based repair for Alloy specifications")</f>
        <v>ATR: Template-based repair for Alloy specifications</v>
      </c>
      <c r="F1301" s="7" t="str">
        <f>IFERROR(__xludf.DUMMYFUNCTION("""COMPUTED_VALUE"""),"ISSTA")</f>
        <v>ISSTA</v>
      </c>
      <c r="G1301" s="7" t="str">
        <f>IFERROR(__xludf.DUMMYFUNCTION("""COMPUTED_VALUE"""),"Automatic Program Repair (APR) is a practical research topic that studies techniques to automatically repair programs to fix bugs. Most existing APR techniques are designed for imperative programming languages, such as C and Java, and rely on analyzing co"&amp;"rrect and incorrect executions of programs to identify and repair suspicious statements. We introduce a new APR approach for software specifications written in the Alloy declarative language, where specifications are not ""executed"", but rather converted"&amp;" into logical formulas and analyzed using backend constraint solvers, to find specification instances and counterexamples to assertions. We present ATR, a technique that takes as input an Alloy specification with some violated assertion and returns a repa"&amp;"ired specification that satisfies the assertion. The key ideas are (i) analyzing the differences between counterexamples that do not satisfy the assertion and instances that do satisfy the assertion to guide the repair and (ii) generating repair candidate"&amp;"s from specific templates and pruning the space of repair candidates using the counterexamples and satisfying instances. Experimental results using existing large Alloy benchmarks show that ATR is effective in generating difficult repairs. ATR repairs 66."&amp;"3% of 1974 fault specifications, including specification repairs that cannot be handled by existing Alloy repair techniques. ATR and all benchmarks are open-source and available in the following Github repository: https://github.com/guolong-zheng/atmprep."&amp;"  © 2022 ACM.")</f>
        <v>Automatic Program Repair (APR) is a practical research topic that studies techniques to automatically repair programs to fix bugs. Most existing APR techniques are designed for imperative programming languages, such as C and Java, and rely on analyzing correct and incorrect executions of programs to identify and repair suspicious statements. We introduce a new APR approach for software specifications written in the Alloy declarative language, where specifications are not "executed", but rather converted into logical formulas and analyzed using backend constraint solvers, to find specification instances and counterexamples to assertions. We present ATR, a technique that takes as input an Alloy specification with some violated assertion and returns a repaired specification that satisfies the assertion. The key ideas are (i) analyzing the differences between counterexamples that do not satisfy the assertion and instances that do satisfy the assertion to guide the repair and (ii) generating repair candidates from specific templates and pruning the space of repair candidates using the counterexamples and satisfying instances. Experimental results using existing large Alloy benchmarks show that ATR is effective in generating difficult repairs. ATR repairs 66.3% of 1974 fault specifications, including specification repairs that cannot be handled by existing Alloy repair techniques. ATR and all benchmarks are open-source and available in the following Github repository: https://github.com/guolong-zheng/atmprep.  © 2022 ACM.</v>
      </c>
      <c r="H1301" s="7" t="str">
        <f>IFERROR(__xludf.DUMMYFUNCTION("""COMPUTED_VALUE"""),"Alloy specification; Automatic Program Repair; Counterexamples; Template-based Repair and Synthesis")</f>
        <v>Alloy specification; Automatic Program Repair; Counterexamples; Template-based Repair and Synthesis</v>
      </c>
      <c r="I1301" s="10" t="b">
        <v>0</v>
      </c>
      <c r="J1301" s="10" t="b">
        <v>0</v>
      </c>
      <c r="K1301" s="10" t="b">
        <v>0</v>
      </c>
      <c r="L1301" s="10" t="b">
        <v>0</v>
      </c>
      <c r="M1301" s="10" t="b">
        <v>0</v>
      </c>
      <c r="N1301" s="10" t="b">
        <v>0</v>
      </c>
      <c r="O1301" s="11" t="b">
        <f t="shared" si="1"/>
        <v>0</v>
      </c>
      <c r="P1301" s="16" t="b">
        <v>0</v>
      </c>
      <c r="Q1301" s="7"/>
    </row>
    <row r="1302">
      <c r="A1302" s="5" t="b">
        <v>1</v>
      </c>
      <c r="B1302" s="5" t="s">
        <v>1353</v>
      </c>
      <c r="C1302" s="7" t="str">
        <f>IFERROR(__xludf.DUMMYFUNCTION("""COMPUTED_VALUE"""),"10.1145/2610384.2610416")</f>
        <v>10.1145/2610384.2610416</v>
      </c>
      <c r="D1302" s="7" t="str">
        <f>IFERROR(__xludf.DUMMYFUNCTION("""COMPUTED_VALUE"""),"Gotlieb A.; Marijan D.")</f>
        <v>Gotlieb A.; Marijan D.</v>
      </c>
      <c r="E1302" s="7" t="str">
        <f>IFERROR(__xludf.DUMMYFUNCTION("""COMPUTED_VALUE"""),"Flower: Optimal test suite reduction as a network maximum flow")</f>
        <v>Flower: Optimal test suite reduction as a network maximum flow</v>
      </c>
      <c r="F1302" s="7" t="str">
        <f>IFERROR(__xludf.DUMMYFUNCTION("""COMPUTED_VALUE"""),"ISSTA")</f>
        <v>ISSTA</v>
      </c>
      <c r="G1302" s="7" t="str">
        <f>IFERROR(__xludf.DUMMYFUNCTION("""COMPUTED_VALUE"""),"A trend in software testing is reducing the size of a test suite while preserving its overall quality. Given a test suite and a set of requirements covered by the suite, test suite reduction aims at selecting a subset of test cases that cover the same set"&amp;" of requirements. Even though this problem has received considerable attention, finding the smallest subset of test cases is still challenging and commonly-used approaches ad- dress this problem only with approximated solutions. When executing a single te"&amp;"st case requires much manual effort (e.g., hours of preparation), fiinding the minimal subset is needed to reduce the testing costs. In this paper, we introduce a radically new approach to test suite reduction, called FLOWER, based on a search among netwo"&amp;"rk maximum flows. From a given test suite and the requirements covered by the suite, FLOWER forms a flow network (with specific constraints) that is then traversed to find its maximum flows. FLOWER leverages the Ford-Fulkerson method to compute maximum fl"&amp;"ows and Constraint Programming techniques to search among optimal flows. FLOWER is an exact method that computes a minim- um-sized test suite, preserving the coverage of requirements. The experimental results show that FLOWER outperforms a non-optimized i"&amp;"mplementation of the Integer Linear Programming approach by 15-3000 times in terms of the time needed to find an optimal solution, and a simple greedy approach by 5-15% in terms of the size of reduced test suite. Copyright 2014 ACM.")</f>
        <v>A trend in software testing is reducing the size of a test suite while preserving its overall quality. Given a test suite and a set of requirements covered by the suite, test suite reduction aims at selecting a subset of test cases that cover the same set of requirements. Even though this problem has received considerable attention, finding the smallest subset of test cases is still challenging and commonly-used approaches ad- dress this problem only with approximated solutions. When executing a single test case requires much manual effort (e.g., hours of preparation), fiinding the minimal subset is needed to reduce the testing costs. In this paper, we introduce a radically new approach to test suite reduction, called FLOWER, based on a search among network maximum flows. From a given test suite and the requirements covered by the suite, FLOWER forms a flow network (with specific constraints) that is then traversed to find its maximum flows. FLOWER leverages the Ford-Fulkerson method to compute maximum flows and Constraint Programming techniques to search among optimal flows. FLOWER is an exact method that computes a minim- um-sized test suite, preserving the coverage of requirements. The experimental results show that FLOWER outperforms a non-optimized implementation of the Integer Linear Programming approach by 15-3000 times in terms of the time needed to find an optimal solution, and a simple greedy approach by 5-15% in terms of the size of reduced test suite. Copyright 2014 ACM.</v>
      </c>
      <c r="H1302" s="7" t="str">
        <f>IFERROR(__xludf.DUMMYFUNCTION("""COMPUTED_VALUE"""),"Automated testing; Ford-fulkerson; Graph theory; Maximum flow; Test-suite reduction")</f>
        <v>Automated testing; Ford-fulkerson; Graph theory; Maximum flow; Test-suite reduction</v>
      </c>
      <c r="I1302" s="10" t="b">
        <v>0</v>
      </c>
      <c r="J1302" s="10" t="b">
        <v>0</v>
      </c>
      <c r="K1302" s="10" t="b">
        <v>0</v>
      </c>
      <c r="L1302" s="10" t="b">
        <v>0</v>
      </c>
      <c r="M1302" s="10" t="b">
        <v>0</v>
      </c>
      <c r="N1302" s="10" t="b">
        <v>0</v>
      </c>
      <c r="O1302" s="11" t="b">
        <f t="shared" si="1"/>
        <v>0</v>
      </c>
      <c r="P1302" s="16" t="b">
        <v>0</v>
      </c>
      <c r="Q1302" s="7"/>
    </row>
    <row r="1303">
      <c r="A1303" s="5" t="b">
        <v>1</v>
      </c>
      <c r="B1303" s="5" t="s">
        <v>1354</v>
      </c>
      <c r="C1303" s="7" t="str">
        <f>IFERROR(__xludf.DUMMYFUNCTION("""COMPUTED_VALUE"""),"10.1145/3533767.3534379")</f>
        <v>10.1145/3533767.3534379</v>
      </c>
      <c r="D1303" s="7" t="str">
        <f>IFERROR(__xludf.DUMMYFUNCTION("""COMPUTED_VALUE"""),"Liu J.; Zeng J.; Wang X.; Ji K.; Liang Z.")</f>
        <v>Liu J.; Zeng J.; Wang X.; Ji K.; Liang Z.</v>
      </c>
      <c r="E1303" s="7" t="str">
        <f>IFERROR(__xludf.DUMMYFUNCTION("""COMPUTED_VALUE"""),"TeLL: Log level suggestions via modeling multi-level code block information")</f>
        <v>TeLL: Log level suggestions via modeling multi-level code block information</v>
      </c>
      <c r="F1303" s="7" t="str">
        <f>IFERROR(__xludf.DUMMYFUNCTION("""COMPUTED_VALUE"""),"ISSTA")</f>
        <v>ISSTA</v>
      </c>
      <c r="G1303" s="7" t="str">
        <f>IFERROR(__xludf.DUMMYFUNCTION("""COMPUTED_VALUE"""),"Developers insert logging statements into source code to monitor system execution, which forms the basis for software debugging and maintenance. For distinguishing diverse runtime information, each software log is assigned with a separate verbosity level "&amp;"(e.g., trace and error). However, choosing an appropriate verbosity level is a challenging and error-prone task due to the lack of specifications for log level usages. Prior solutions aim to suggest log levels based on the code block in which a logging st"&amp;"atement resides (i.e., intra-block features). Such suggestions, however, do not consider information from surrounding blocks (i.e., inter-block features), which also plays an important role in revealing logging characteristics. To address this issue, we c"&amp;"ombine multiple levels of code block information (i.e., intra-block and inter-block features) into a joint graph structure called Flow of Abstract Syntax Tree (FAST). To explicitly exploit multi-level block features, we design a new neural architecture, H"&amp;"ierarchical Block Graph Network (HBGN), on the FAST. In particular, it leverages graph neural networks to encode both the intra-block and inter-block features into code block representations and guide log level suggestions. We implement a prototype system"&amp;", TeLL, and evaluate its effectiveness on nine large-scale software systems. Experimental results showcase TeLL's advantage in predicting log levels over the state-of-the-art approaches.  © 2022 Owner/Author.")</f>
        <v>Developers insert logging statements into source code to monitor system execution, which forms the basis for software debugging and maintenance. For distinguishing diverse runtime information, each software log is assigned with a separate verbosity level (e.g., trace and error). However, choosing an appropriate verbosity level is a challenging and error-prone task due to the lack of specifications for log level usages. Prior solutions aim to suggest log levels based on the code block in which a logging statement resides (i.e., intra-block features). Such suggestions, however, do not consider information from surrounding blocks (i.e., inter-block features), which also plays an important role in revealing logging characteristics. To address this issue, we combine multiple levels of code block information (i.e., intra-block and inter-block features) into a joint graph structure called Flow of Abstract Syntax Tree (FAST). To explicitly exploit multi-level block features, we design a new neural architecture, Hierarchical Block Graph Network (HBGN), on the FAST. In particular, it leverages graph neural networks to encode both the intra-block and inter-block features into code block representations and guide log level suggestions. We implement a prototype system, TeLL, and evaluate its effectiveness on nine large-scale software systems. Experimental results showcase TeLL's advantage in predicting log levels over the state-of-the-art approaches.  © 2022 Owner/Author.</v>
      </c>
      <c r="H1303" s="7" t="str">
        <f>IFERROR(__xludf.DUMMYFUNCTION("""COMPUTED_VALUE"""),"Graph Neural Network; Log Level Suggestion; Multi-level Code Block Information")</f>
        <v>Graph Neural Network; Log Level Suggestion; Multi-level Code Block Information</v>
      </c>
      <c r="I1303" s="10" t="b">
        <v>0</v>
      </c>
      <c r="J1303" s="10" t="b">
        <v>0</v>
      </c>
      <c r="K1303" s="10" t="b">
        <v>0</v>
      </c>
      <c r="L1303" s="10" t="b">
        <v>0</v>
      </c>
      <c r="M1303" s="10" t="b">
        <v>0</v>
      </c>
      <c r="N1303" s="10" t="b">
        <v>0</v>
      </c>
      <c r="O1303" s="11" t="b">
        <f t="shared" si="1"/>
        <v>0</v>
      </c>
      <c r="P1303" s="16" t="b">
        <v>0</v>
      </c>
      <c r="Q1303" s="7"/>
    </row>
    <row r="1304">
      <c r="A1304" s="5" t="b">
        <v>1</v>
      </c>
      <c r="B1304" s="5" t="s">
        <v>1355</v>
      </c>
      <c r="C1304" s="7" t="str">
        <f>IFERROR(__xludf.DUMMYFUNCTION("""COMPUTED_VALUE"""),"10.1145/1390630.1390666")</f>
        <v>10.1145/1390630.1390666</v>
      </c>
      <c r="D1304" s="7" t="str">
        <f>IFERROR(__xludf.DUMMYFUNCTION("""COMPUTED_VALUE"""),"Sankaranarayanan S.; Chaudhuri S.; Ivaňić F.; Gupta A.")</f>
        <v>Sankaranarayanan S.; Chaudhuri S.; Ivaňić F.; Gupta A.</v>
      </c>
      <c r="E1304" s="7" t="str">
        <f>IFERROR(__xludf.DUMMYFUNCTION("""COMPUTED_VALUE"""),"Dynamic inference of likely data preconditions over predicates by tree learning")</f>
        <v>Dynamic inference of likely data preconditions over predicates by tree learning</v>
      </c>
      <c r="F1304" s="7" t="str">
        <f>IFERROR(__xludf.DUMMYFUNCTION("""COMPUTED_VALUE"""),"ISSTA")</f>
        <v>ISSTA</v>
      </c>
      <c r="G1304" s="7" t="str">
        <f>IFERROR(__xludf.DUMMYFUNCTION("""COMPUTED_VALUE"""),"We present a technique to infer likely data preconditions for procedures written in an imperative programming language. Given a procedure and a set of predicates over its inputs, our technique enumerates different truth assignments to the predicates, deri"&amp;"ving test cases from each feasible truth assignment. The predicates themselves are derived automatically using simple heuristics. The enumeration of truth assignments is performed using a propositional SAT solver along with a theory satisfiability checker"&amp;" capable of generating unsatisfiable cores. For each assignment of truth values, a corresponding set of test cases are generated and executed. Based on the result of the execution, the truth assignment is classified as being safe or buggy. Finally, a deci"&amp;"sion tree classifier is used to generate a Boolean formula over the input predicates that explains the data obtained from the test cases. The resulting Boolean formula is, in effect, a likely data precondition for the procedure under consideration. We app"&amp;"ly our techniques on a wide variety of functions from the standard C library. Our experiments show that the proposed technique is quite robust. For most cases, it successfully learns a precondition that captures a safe and permissive calling environment.")</f>
        <v>We present a technique to infer likely data preconditions for procedures written in an imperative programming language. Given a procedure and a set of predicates over its inputs, our technique enumerates different truth assignments to the predicates, deriving test cases from each feasible truth assignment. The predicates themselves are derived automatically using simple heuristics. The enumeration of truth assignments is performed using a propositional SAT solver along with a theory satisfiability checker capable of generating unsatisfiable cores. For each assignment of truth values, a corresponding set of test cases are generated and executed. Based on the result of the execution, the truth assignment is classified as being safe or buggy. Finally, a decision tree classifier is used to generate a Boolean formula over the input predicates that explains the data obtained from the test cases. The resulting Boolean formula is, in effect, a likely data precondition for the procedure under consideration. We apply our techniques on a wide variety of functions from the standard C library. Our experiments show that the proposed technique is quite robust. For most cases, it successfully learns a precondition that captures a safe and permissive calling environment.</v>
      </c>
      <c r="H1304" s="7" t="str">
        <f>IFERROR(__xludf.DUMMYFUNCTION("""COMPUTED_VALUE"""),"Decision trees; Machine learning; SAT; Software specification; Verification")</f>
        <v>Decision trees; Machine learning; SAT; Software specification; Verification</v>
      </c>
      <c r="I1304" s="10" t="b">
        <v>0</v>
      </c>
      <c r="J1304" s="10" t="b">
        <v>0</v>
      </c>
      <c r="K1304" s="10" t="b">
        <v>0</v>
      </c>
      <c r="L1304" s="10" t="b">
        <v>0</v>
      </c>
      <c r="M1304" s="10" t="b">
        <v>0</v>
      </c>
      <c r="N1304" s="10" t="b">
        <v>0</v>
      </c>
      <c r="O1304" s="11" t="b">
        <f t="shared" si="1"/>
        <v>0</v>
      </c>
      <c r="P1304" s="16" t="b">
        <v>0</v>
      </c>
      <c r="Q1304" s="7"/>
    </row>
    <row r="1305">
      <c r="A1305" s="5" t="b">
        <v>1</v>
      </c>
      <c r="B1305" s="5" t="s">
        <v>1356</v>
      </c>
      <c r="C1305" s="7" t="str">
        <f>IFERROR(__xludf.DUMMYFUNCTION("""COMPUTED_VALUE"""),"10.1145/3597926.3598058")</f>
        <v>10.1145/3597926.3598058</v>
      </c>
      <c r="D1305" s="7" t="str">
        <f>IFERROR(__xludf.DUMMYFUNCTION("""COMPUTED_VALUE"""),"Guo H.; Li J.; Wang J.; Liu X.; Wang D.; Hu Z.; Zhang R.; Xue H.")</f>
        <v>Guo H.; Li J.; Wang J.; Liu X.; Wang D.; Hu Z.; Zhang R.; Xue H.</v>
      </c>
      <c r="E1305" s="7" t="str">
        <f>IFERROR(__xludf.DUMMYFUNCTION("""COMPUTED_VALUE"""),"FairRec: Fairness Testing for Deep Recommender Systems")</f>
        <v>FairRec: Fairness Testing for Deep Recommender Systems</v>
      </c>
      <c r="F1305" s="7" t="str">
        <f>IFERROR(__xludf.DUMMYFUNCTION("""COMPUTED_VALUE"""),"ISSTA")</f>
        <v>ISSTA</v>
      </c>
      <c r="G1305" s="7" t="str">
        <f>IFERROR(__xludf.DUMMYFUNCTION("""COMPUTED_VALUE"""),"Deep learning-based recommender systems (DRSs) are increasingly and widely deployed in the industry, which brings significant convenience to people's daily life in different ways. However, recommender systems are also shown to suffer from multiple issues,"&amp;" e.g., the echo chamber and the Matthew effect, of which the notation of ""fairness""plays a core role. For instance, the system may be regarded as unfair to 1) a specific user, if the user gets worse recommendations than other users, or 2) an item (to re"&amp;"commend), if the item is much less likely to be exposed to the users than other items. While many fairness notations and corresponding fairness testing approaches have been developed for traditional deep classification models, they are essentially hardly "&amp;"applicable to DRSs. One major challenge is that there still lacks a systematic understanding and mapping between the existing fairness notations and the diverse testing requirements for deep recommender systems, not to mention further testing or debugging"&amp;" activities. To address the gap, we propose FairRec, a unified framework that supports fairness testing of DRSs from multiple customized perspectives, e.g., model utility, item diversity, item popularity, etc. We also propose a novel, efficient search-bas"&amp;"ed testing approach to tackle the new challenge, i.e., double-ended discrete particle swarm optimization (DPSO) algorithm, to effectively search for hidden fairness issues in the form of certain disadvantaged groups from a vast number of candidate groups."&amp;" Given the testing report, by adopting a simple re-ranking mitigation strategy on these identified disadvantaged groups, we show that the fairness of DRSs can be significantly improved. We conducted extensive experiments on multiple industry-level DRSs ad"&amp;"opted by leading companies. The results confirm that FairRec is effective and efficient in identifying the deeply hidden fairness issues, e.g., achieving ĝ1/495% testing accuracy with ĝ1/4half to 1/8 time.  © 2023 Owner/Author.")</f>
        <v>Deep learning-based recommender systems (DRSs) are increasingly and widely deployed in the industry, which brings significant convenience to people's daily life in different ways. However, recommender systems are also shown to suffer from multiple issues, e.g., the echo chamber and the Matthew effect, of which the notation of "fairness"plays a core role. For instance, the system may be regarded as unfair to 1) a specific user, if the user gets worse recommendations than other users, or 2) an item (to recommend), if the item is much less likely to be exposed to the users than other items. While many fairness notations and corresponding fairness testing approaches have been developed for traditional deep classification models, they are essentially hardly applicable to DRSs. One major challenge is that there still lacks a systematic understanding and mapping between the existing fairness notations and the diverse testing requirements for deep recommender systems, not to mention further testing or debugging activities. To address the gap, we propose FairRec, a unified framework that supports fairness testing of DRSs from multiple customized perspectives, e.g., model utility, item diversity, item popularity, etc. We also propose a novel, efficient search-based testing approach to tackle the new challenge, i.e., double-ended discrete particle swarm optimization (DPSO) algorithm, to effectively search for hidden fairness issues in the form of certain disadvantaged groups from a vast number of candidate groups. Given the testing report, by adopting a simple re-ranking mitigation strategy on these identified disadvantaged groups, we show that the fairness of DRSs can be significantly improved. We conducted extensive experiments on multiple industry-level DRSs adopted by leading companies. The results confirm that FairRec is effective and efficient in identifying the deeply hidden fairness issues, e.g., achieving ĝ1/495% testing accuracy with ĝ1/4half to 1/8 time.  © 2023 Owner/Author.</v>
      </c>
      <c r="H1305" s="7" t="str">
        <f>IFERROR(__xludf.DUMMYFUNCTION("""COMPUTED_VALUE"""),"AI Ethics; Fairness Testing; Recommender Systems")</f>
        <v>AI Ethics; Fairness Testing; Recommender Systems</v>
      </c>
      <c r="I1305" s="10" t="b">
        <v>0</v>
      </c>
      <c r="J1305" s="10" t="b">
        <v>0</v>
      </c>
      <c r="K1305" s="10" t="b">
        <v>0</v>
      </c>
      <c r="L1305" s="10" t="b">
        <v>0</v>
      </c>
      <c r="M1305" s="10" t="b">
        <v>0</v>
      </c>
      <c r="N1305" s="10" t="b">
        <v>0</v>
      </c>
      <c r="O1305" s="11" t="b">
        <f t="shared" si="1"/>
        <v>0</v>
      </c>
      <c r="P1305" s="16" t="b">
        <v>0</v>
      </c>
      <c r="Q1305" s="7"/>
    </row>
    <row r="1306">
      <c r="A1306" s="5" t="b">
        <v>1</v>
      </c>
      <c r="B1306" s="5" t="s">
        <v>1357</v>
      </c>
      <c r="C1306" s="7" t="str">
        <f>IFERROR(__xludf.DUMMYFUNCTION("""COMPUTED_VALUE"""),"10.1145/3533767.3534399")</f>
        <v>10.1145/3533767.3534399</v>
      </c>
      <c r="D1306" s="7" t="str">
        <f>IFERROR(__xludf.DUMMYFUNCTION("""COMPUTED_VALUE"""),"Stevens C.; Bagheri H.")</f>
        <v>Stevens C.; Bagheri H.</v>
      </c>
      <c r="E1306" s="7" t="str">
        <f>IFERROR(__xludf.DUMMYFUNCTION("""COMPUTED_VALUE"""),"Combining solution reuse and bound tightening for efficient analysis of evolving systems")</f>
        <v>Combining solution reuse and bound tightening for efficient analysis of evolving systems</v>
      </c>
      <c r="F1306" s="7" t="str">
        <f>IFERROR(__xludf.DUMMYFUNCTION("""COMPUTED_VALUE"""),"ISSTA")</f>
        <v>ISSTA</v>
      </c>
      <c r="G1306" s="7" t="str">
        <f>IFERROR(__xludf.DUMMYFUNCTION("""COMPUTED_VALUE"""),"Software engineers have long employed formal verification to ensure the safety and validity of their system designs. As the system changes-often via predictable, domain-specific operations-Their models must also change, requiring system designers to repea"&amp;"tedly execute the same formal verification on similar system models. State-of-The-Art formal verification techniques can be expensive at scale, the cost of which is multiplied by repeated analysis. This paper presents a novel analysis technique-implemente"&amp;"d in a tool called SoRBoT-which can automatically determine domain-specific optimizations that can dramatically reduce the cost of repeatedly analyzing evolving systems. Different from all prior approaches, which focus on either tightening the bounds for "&amp;"analysis or reusing all or part of prior solutions, SoRBoT's automated derivation of domain-specific optimizations combines the benefits of both solution reuse and bound tightening while avoiding the main pitfalls of each. We experimentally evaluate SoRBo"&amp;"T against state-of-The-Art techniques for verifying evolving specifications, demonstrating that SoRBoT substantially exceeds the run-Time performance of those state-of-The-Art techniques while introducing only a negligible overhead, in contrast to the exp"&amp;"ensive additional computations required by the state-of-The-Art verification techniques.  © 2022 ACM.")</f>
        <v>Software engineers have long employed formal verification to ensure the safety and validity of their system designs. As the system changes-often via predictable, domain-specific operations-Their models must also change, requiring system designers to repeatedly execute the same formal verification on similar system models. State-of-The-Art formal verification techniques can be expensive at scale, the cost of which is multiplied by repeated analysis. This paper presents a novel analysis technique-implemented in a tool called SoRBoT-which can automatically determine domain-specific optimizations that can dramatically reduce the cost of repeatedly analyzing evolving systems. Different from all prior approaches, which focus on either tightening the bounds for analysis or reusing all or part of prior solutions, SoRBoT's automated derivation of domain-specific optimizations combines the benefits of both solution reuse and bound tightening while avoiding the main pitfalls of each. We experimentally evaluate SoRBoT against state-of-The-Art techniques for verifying evolving specifications, demonstrating that SoRBoT substantially exceeds the run-Time performance of those state-of-The-Art techniques while introducing only a negligible overhead, in contrast to the expensive additional computations required by the state-of-The-Art verification techniques.  © 2022 ACM.</v>
      </c>
      <c r="H1306" s="7" t="str">
        <f>IFERROR(__xludf.DUMMYFUNCTION("""COMPUTED_VALUE"""),"bounded verification; formal analysis; speculative analysis")</f>
        <v>bounded verification; formal analysis; speculative analysis</v>
      </c>
      <c r="I1306" s="10" t="b">
        <v>0</v>
      </c>
      <c r="J1306" s="10" t="b">
        <v>0</v>
      </c>
      <c r="K1306" s="10" t="b">
        <v>0</v>
      </c>
      <c r="L1306" s="10" t="b">
        <v>0</v>
      </c>
      <c r="M1306" s="10" t="b">
        <v>0</v>
      </c>
      <c r="N1306" s="10" t="b">
        <v>0</v>
      </c>
      <c r="O1306" s="11" t="b">
        <f t="shared" si="1"/>
        <v>0</v>
      </c>
      <c r="P1306" s="16" t="b">
        <v>0</v>
      </c>
      <c r="Q1306" s="7"/>
    </row>
    <row r="1307">
      <c r="A1307" s="5" t="b">
        <v>1</v>
      </c>
      <c r="B1307" s="5" t="s">
        <v>1358</v>
      </c>
      <c r="C1307" s="7" t="str">
        <f>IFERROR(__xludf.DUMMYFUNCTION("""COMPUTED_VALUE"""),"10.1145/2483760.2483774")</f>
        <v>10.1145/2483760.2483774</v>
      </c>
      <c r="D1307" s="7" t="str">
        <f>IFERROR(__xludf.DUMMYFUNCTION("""COMPUTED_VALUE"""),"Fraser G.; Staats M.; McMinn P.; Arcuri A.; Padberg F.")</f>
        <v>Fraser G.; Staats M.; McMinn P.; Arcuri A.; Padberg F.</v>
      </c>
      <c r="E1307" s="7" t="str">
        <f>IFERROR(__xludf.DUMMYFUNCTION("""COMPUTED_VALUE"""),"Does automated white-box test generation really help software testers?")</f>
        <v>Does automated white-box test generation really help software testers?</v>
      </c>
      <c r="F1307" s="7" t="str">
        <f>IFERROR(__xludf.DUMMYFUNCTION("""COMPUTED_VALUE"""),"ISSTA")</f>
        <v>ISSTA</v>
      </c>
      <c r="G1307" s="7" t="str">
        <f>IFERROR(__xludf.DUMMYFUNCTION("""COMPUTED_VALUE"""),"Automated test generation techniques can efficiently produce test data that systematically cover structural aspects of a program. In the absence of a specification, a common assumption is that these tests relieve a developer of most of the work, as the ac"&amp;"t of testing is reduced to checking the results of the tests. Although this assumption has persisted for decades, there has been no conclusive evidence to date confirming it. However, the fact that the approach has only seen a limited uptake in industry s"&amp;"uggests the contrary, and calls into question its practical usefulness. To investigate this issue, we performed a controlled experiment comparing a total of 49 subjects split between writing tests manually and writing tests with the aid of an automated un"&amp;"it test generation tool, EvoSuite. We found that, on one hand, tool support leads to clear improvements in commonly applied quality metrics such as code coverage (up to 300% increase). However, on the other hand, there was no measurable improvement in the"&amp;" number of bugs actually found by developers. Our results not only cast some doubt on how the research community evaluates test generation tools, but also point to improvements and future work necessary before automated test generation tools will be widel"&amp;"y adopted by practitioners. © 2013 ACM.")</f>
        <v>Automated test generation techniques can efficiently produce test data that systematically cover structural aspects of a program. In the absence of a specification, a common assumption is that these tests relieve a developer of most of the work, as the act of testing is reduced to checking the results of the tests. Although this assumption has persisted for decades, there has been no conclusive evidence to date confirming it. However, the fact that the approach has only seen a limited uptake in industry suggests the contrary, and calls into question its practical usefulness. To investigate this issue, we performed a controlled experiment comparing a total of 49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2013 ACM.</v>
      </c>
      <c r="H1307" s="7" t="str">
        <f>IFERROR(__xludf.DUMMYFUNCTION("""COMPUTED_VALUE"""),"automated test generation; branch coverage; empirical software engineering; Unit testing")</f>
        <v>automated test generation; branch coverage; empirical software engineering; Unit testing</v>
      </c>
      <c r="I1307" s="9" t="b">
        <v>1</v>
      </c>
      <c r="J1307" s="10" t="b">
        <v>0</v>
      </c>
      <c r="K1307" s="9" t="b">
        <v>1</v>
      </c>
      <c r="L1307" s="10" t="b">
        <v>0</v>
      </c>
      <c r="M1307" s="10" t="b">
        <v>0</v>
      </c>
      <c r="N1307" s="10" t="b">
        <v>0</v>
      </c>
      <c r="O1307" s="11" t="b">
        <f t="shared" si="1"/>
        <v>0</v>
      </c>
      <c r="P1307" s="12" t="b">
        <v>0</v>
      </c>
      <c r="Q1307" s="13" t="s">
        <v>1359</v>
      </c>
    </row>
    <row r="1308">
      <c r="A1308" s="5" t="b">
        <v>1</v>
      </c>
      <c r="B1308" s="5" t="s">
        <v>1360</v>
      </c>
      <c r="C1308" s="7" t="str">
        <f>IFERROR(__xludf.DUMMYFUNCTION("""COMPUTED_VALUE"""),"10.1145/186258.187150")</f>
        <v>10.1145/186258.187150</v>
      </c>
      <c r="D1308" s="7" t="str">
        <f>IFERROR(__xludf.DUMMYFUNCTION("""COMPUTED_VALUE"""),"Jasper R.; Brennan M.; Williamson K.; Currier B.; Zimmerman D.")</f>
        <v>Jasper R.; Brennan M.; Williamson K.; Currier B.; Zimmerman D.</v>
      </c>
      <c r="E1308" s="7" t="str">
        <f>IFERROR(__xludf.DUMMYFUNCTION("""COMPUTED_VALUE"""),"Test data generation and feasible path analysis")</f>
        <v>Test data generation and feasible path analysis</v>
      </c>
      <c r="F1308" s="7" t="str">
        <f>IFERROR(__xludf.DUMMYFUNCTION("""COMPUTED_VALUE"""),"ISSTA")</f>
        <v>ISSTA</v>
      </c>
      <c r="G1308" s="7" t="str">
        <f>IFERROR(__xludf.DUMMYFUNCTION("""COMPUTED_VALUE"""),"This paper describes techniques used by Test Specification and Determination Tool (TSDT), an experimental prototype for analysis and testing of critical applications written in Ada. Two problems dominate structural testing of programs: exponential explosi"&amp;"on in the number of execution paths and feasible path determination. A path is feasible if there exists some input that will cause the path to be traversed during execution. We present techniques based on new representations combined with automated theore"&amp;"m proving to deal with these problems. The paper describes how these techniques can be used to determine the feasibility of expressions containing references to Ada arrays. Finally, we present algorithms specific to generating test data under the modified"&amp;" condition decision coverage (MCDC) criterion. While we realize that many of the problems we are attempting to solve are, in general, undecidable, we are encouraged by preliminary results obtained from running TSDT against vendor supplied code. Based on o"&amp;"ur results, we feel these techniques can be applied to a broad enough section of Ada code to make them cost effective. © 1994 ACM.")</f>
        <v>This paper describes techniques used by Test Specification and Determination Tool (TSDT), an experimental prototype for analysis and testing of critical applications written in Ada. Two problems dominate structural testing of programs: exponential explosion in the number of execution paths and feasible path determination. A path is feasible if there exists some input that will cause the path to be traversed during execution. We present techniques based on new representations combined with automated theorem proving to deal with these problems. The paper describes how these techniques can be used to determine the feasibility of expressions containing references to Ada arrays. Finally, we present algorithms specific to generating test data under the modified condition decision coverage (MCDC) criterion. While we realize that many of the problems we are attempting to solve are, in general, undecidable, we are encouraged by preliminary results obtained from running TSDT against vendor supplied code. Based on our results, we feel these techniques can be applied to a broad enough section of Ada code to make them cost effective. © 1994 ACM.</v>
      </c>
      <c r="H1308" s="7"/>
      <c r="I1308" s="10" t="b">
        <v>0</v>
      </c>
      <c r="J1308" s="10" t="b">
        <v>0</v>
      </c>
      <c r="K1308" s="10" t="b">
        <v>0</v>
      </c>
      <c r="L1308" s="10" t="b">
        <v>0</v>
      </c>
      <c r="M1308" s="10" t="b">
        <v>0</v>
      </c>
      <c r="N1308" s="10" t="b">
        <v>0</v>
      </c>
      <c r="O1308" s="11" t="b">
        <f t="shared" si="1"/>
        <v>0</v>
      </c>
      <c r="P1308" s="16" t="b">
        <v>0</v>
      </c>
      <c r="Q1308" s="7"/>
    </row>
    <row r="1309">
      <c r="A1309" s="5" t="b">
        <v>1</v>
      </c>
      <c r="B1309" s="5" t="s">
        <v>1361</v>
      </c>
      <c r="C1309" s="7" t="str">
        <f>IFERROR(__xludf.DUMMYFUNCTION("""COMPUTED_VALUE"""),"10.1145/174146.154262")</f>
        <v>10.1145/174146.154262</v>
      </c>
      <c r="D1309" s="7" t="str">
        <f>IFERROR(__xludf.DUMMYFUNCTION("""COMPUTED_VALUE"""),"Thevenod-Fosse Pascale; Waeselynck Helene")</f>
        <v>Thevenod-Fosse Pascale; Waeselynck Helene</v>
      </c>
      <c r="E1309" s="7" t="str">
        <f>IFERROR(__xludf.DUMMYFUNCTION("""COMPUTED_VALUE"""),"Statemate applied to statistical software testing")</f>
        <v>Statemate applied to statistical software testing</v>
      </c>
      <c r="F1309" s="7" t="str">
        <f>IFERROR(__xludf.DUMMYFUNCTION("""COMPUTED_VALUE"""),"ISSTA")</f>
        <v>ISSTA</v>
      </c>
      <c r="G1309" s="7" t="str">
        <f>IFERROR(__xludf.DUMMYFUNCTION("""COMPUTED_VALUE"""),"This paper is concerned with the use of statistical testing as a verification technique for complex software. Statistical testing involves exercising a program with random inputs, the test profile and the number of generated inputs being determined accord"&amp;"ing to criteria based on program structure or software functionality. In case of complex programs, the probabilistic generation must be based on a black box analysis, the adopted criteria being defined from behavior models deduced from the specification. "&amp;"The proposed approach refers to a hierarchical specification produced in the STATEMATE(R) environment. Its feasibility is exemplified on a safety-critical module from the nuclear field, and the efficiency in revealing actual faults is investigated through"&amp;" experiments involving two versions of the module.")</f>
        <v>This paper is concerned with the use of statistical testing as a verification technique for complex software. Statistical testing involves exercising a program with random inputs, the test profile and the number of generated inputs being determined according to criteria based on program structure or software functionality. In case of complex programs, the probabilistic generation must be based on a black box analysis, the adopted criteria being defined from behavior models deduced from the specification. The proposed approach refers to a hierarchical specification produced in the STATEMATE(R) environment. Its feasibility is exemplified on a safety-critical module from the nuclear field, and the efficiency in revealing actual faults is investigated through experiments involving two versions of the module.</v>
      </c>
      <c r="H1309" s="7"/>
      <c r="I1309" s="10" t="b">
        <v>0</v>
      </c>
      <c r="J1309" s="10" t="b">
        <v>0</v>
      </c>
      <c r="K1309" s="10" t="b">
        <v>0</v>
      </c>
      <c r="L1309" s="10" t="b">
        <v>0</v>
      </c>
      <c r="M1309" s="10" t="b">
        <v>0</v>
      </c>
      <c r="N1309" s="10" t="b">
        <v>0</v>
      </c>
      <c r="O1309" s="11" t="b">
        <f t="shared" si="1"/>
        <v>0</v>
      </c>
      <c r="P1309" s="16" t="b">
        <v>0</v>
      </c>
      <c r="Q1309" s="7"/>
    </row>
    <row r="1310">
      <c r="A1310" s="5" t="b">
        <v>1</v>
      </c>
      <c r="B1310" s="5" t="s">
        <v>1362</v>
      </c>
      <c r="C1310" s="7"/>
      <c r="D1310" s="7"/>
      <c r="E1310" s="7" t="str">
        <f>IFERROR(__xludf.DUMMYFUNCTION("""COMPUTED_VALUE"""),"Proceedings of the 2006 International Symposium on Software Testing and Analysis, ISSTA 2006")</f>
        <v>Proceedings of the 2006 International Symposium on Software Testing and Analysis, ISSTA 2006</v>
      </c>
      <c r="F1310" s="7" t="str">
        <f>IFERROR(__xludf.DUMMYFUNCTION("""COMPUTED_VALUE"""),"ISSTA")</f>
        <v>ISSTA</v>
      </c>
      <c r="G1310" s="7" t="str">
        <f>IFERROR(__xludf.DUMMYFUNCTION("""COMPUTED_VALUE"""),"The proceedings contain 23 papers. The topics discussed include: time-aware test suite prioritization; the species per path approach to search-based test data generation; coverage metrics for requirements-based testing; test input generation for java cont"&amp;"ainers using state matching; experimental program analysis: a new program analysis paradigm; looking for bugs in all the right places; a model and sensitivity analysis of the quality economics of defect-detection techniques; subdomain testing of units and"&amp;" systems with state; breaking up is hard to do: an investigation of decomposition for assume-guarantee reasoning; modular verification of code with SAT; role-based access control consistency validation; effective typestate verification in the presence of "&amp;"aliasing; using model checking with symbolic execution to verify parallel numerical programs; and application of automated environment generation to commercial software.")</f>
        <v>The proceedings contain 23 papers. The topics discussed include: time-aware test suite prioritization; the species per path approach to search-based test data generation; coverage metrics for requirements-based testing; test input generation for java containers using state matching; experimental program analysis: a new program analysis paradigm; looking for bugs in all the right places; a model and sensitivity analysis of the quality economics of defect-detection techniques; subdomain testing of units and systems with state; breaking up is hard to do: an investigation of decomposition for assume-guarantee reasoning; modular verification of code with SAT; role-based access control consistency validation; effective typestate verification in the presence of aliasing; using model checking with symbolic execution to verify parallel numerical programs; and application of automated environment generation to commercial software.</v>
      </c>
      <c r="H1310" s="7"/>
      <c r="I1310" s="10" t="b">
        <v>0</v>
      </c>
      <c r="J1310" s="10" t="b">
        <v>0</v>
      </c>
      <c r="K1310" s="10" t="b">
        <v>0</v>
      </c>
      <c r="L1310" s="10" t="b">
        <v>0</v>
      </c>
      <c r="M1310" s="10" t="b">
        <v>0</v>
      </c>
      <c r="N1310" s="10" t="b">
        <v>0</v>
      </c>
      <c r="O1310" s="11" t="b">
        <f t="shared" si="1"/>
        <v>0</v>
      </c>
      <c r="P1310" s="16" t="b">
        <v>0</v>
      </c>
      <c r="Q1310" s="7"/>
    </row>
    <row r="1311">
      <c r="A1311" s="5" t="b">
        <v>1</v>
      </c>
      <c r="B1311" s="5" t="s">
        <v>1363</v>
      </c>
      <c r="C1311" s="7" t="str">
        <f>IFERROR(__xludf.DUMMYFUNCTION("""COMPUTED_VALUE"""),"10.1145/2001420.2001424")</f>
        <v>10.1145/2001420.2001424</v>
      </c>
      <c r="D1311" s="7" t="str">
        <f>IFERROR(__xludf.DUMMYFUNCTION("""COMPUTED_VALUE"""),"Godefroid P.; Luchaup D.")</f>
        <v>Godefroid P.; Luchaup D.</v>
      </c>
      <c r="E1311" s="7" t="str">
        <f>IFERROR(__xludf.DUMMYFUNCTION("""COMPUTED_VALUE"""),"Automatic partial loop summarization in dynamic test generation")</f>
        <v>Automatic partial loop summarization in dynamic test generation</v>
      </c>
      <c r="F1311" s="7" t="str">
        <f>IFERROR(__xludf.DUMMYFUNCTION("""COMPUTED_VALUE"""),"ISSTA")</f>
        <v>ISSTA</v>
      </c>
      <c r="G1311" s="7" t="str">
        <f>IFERROR(__xludf.DUMMYFUNCTION("""COMPUTED_VALUE"""),"Whitebox fuzzing extends dynamic test generation based on symbolic execution and constraint solving from unit testing to whole-application security testing. Unfortunately, input-dependent loops may cause an explosion in the number of constraints to be sol"&amp;"ved and in the number of execution paths to be explored. In practice, whitebox fuzzers arbitrarily bound the number of constraints and paths due to input-dependent loops, at the risk of missing code and bugs. In this work, we investigate the use of simple"&amp;" loop-guard pattern-matching rules to automatically guess an input constraint defining the number of iterations of input-dependent loops during dynamic symbolic execution. We discover the loop structure of the program on the fly, detect induction variable"&amp;"s, which are variables modified by a constant value during loop iterations, and infer simple partial loop invariants relating the value of such variables. Whenever a guess is confirmed later during the current dynamic symbolic execution, we then inject ne"&amp;"w constraints representing pre and post loop conditions, effectively summarizing sets of executions of that loop. These pre and post conditions are derived from partial loop invariants synthesized dynamically using pattern-matching rules on the loop guard"&amp;"s and induction variables, without requiring any static analysis, theorem proving, or input-format specification. This technique has been implemented in the whitebox fuzzer SAGE, scales to large programs with many nested loops, and we present results of e"&amp;"xperiments with a Windows 7 image parser. © 2011 ACM.")</f>
        <v>Whitebox fuzzing extends dynamic test generation based on symbolic execution and constraint solving from unit testing to whole-application security testing. Unfortunately, input-dependent loops may cause an explosion in the number of constraints to be solved and in the number of execution paths to be explored. In practice, whitebox fuzzers arbitrarily bound the number of constraints and paths due to input-dependent loops, at the risk of missing code and bugs. In this work, we investigate the use of simple loop-guard pattern-matching rules to automatically guess an input constraint defining the number of iterations of input-dependent loops during dynamic symbolic execution. We discover the loop structure of the program on the fly, detect induction variables, which are variables modified by a constant value during loop iterations, and infer simple partial loop invariants relating the value of such variables. Whenever a guess is confirmed later during the current dynamic symbolic execution, we then inject new constraints representing pre and post loop conditions, effectively summarizing sets of executions of that loop. These pre and post conditions are derived from partial loop invariants synthesized dynamically using pattern-matching rules on the loop guards and induction variables, without requiring any static analysis, theorem proving, or input-format specification. This technique has been implemented in the whitebox fuzzer SAGE, scales to large programs with many nested loops, and we present results of experiments with a Windows 7 image parser. © 2011 ACM.</v>
      </c>
      <c r="H1311" s="7" t="str">
        <f>IFERROR(__xludf.DUMMYFUNCTION("""COMPUTED_VALUE"""),"loop invariant generation; program summarization; program testing and verification")</f>
        <v>loop invariant generation; program summarization; program testing and verification</v>
      </c>
      <c r="I1311" s="10" t="b">
        <v>0</v>
      </c>
      <c r="J1311" s="10" t="b">
        <v>0</v>
      </c>
      <c r="K1311" s="10" t="b">
        <v>0</v>
      </c>
      <c r="L1311" s="10" t="b">
        <v>0</v>
      </c>
      <c r="M1311" s="10" t="b">
        <v>0</v>
      </c>
      <c r="N1311" s="10" t="b">
        <v>0</v>
      </c>
      <c r="O1311" s="11" t="b">
        <f t="shared" si="1"/>
        <v>0</v>
      </c>
      <c r="P1311" s="16" t="b">
        <v>0</v>
      </c>
      <c r="Q1311" s="7"/>
    </row>
    <row r="1312">
      <c r="A1312" s="5" t="b">
        <v>1</v>
      </c>
      <c r="B1312" s="5" t="s">
        <v>1364</v>
      </c>
      <c r="C1312" s="7" t="str">
        <f>IFERROR(__xludf.DUMMYFUNCTION("""COMPUTED_VALUE"""),"10.1145/3460319.3464818")</f>
        <v>10.1145/3460319.3464818</v>
      </c>
      <c r="D1312" s="7" t="str">
        <f>IFERROR(__xludf.DUMMYFUNCTION("""COMPUTED_VALUE"""),"Lyu Y.; Volokh S.; Halfond W.G.J.; Tripp O.")</f>
        <v>Lyu Y.; Volokh S.; Halfond W.G.J.; Tripp O.</v>
      </c>
      <c r="E1312" s="7" t="str">
        <f>IFERROR(__xludf.DUMMYFUNCTION("""COMPUTED_VALUE"""),"SAND: A static analysis approach for detecting SQL antipatterns")</f>
        <v>SAND: A static analysis approach for detecting SQL antipatterns</v>
      </c>
      <c r="F1312" s="7" t="str">
        <f>IFERROR(__xludf.DUMMYFUNCTION("""COMPUTED_VALUE"""),"ISSTA")</f>
        <v>ISSTA</v>
      </c>
      <c r="G1312" s="7" t="str">
        <f>IFERROR(__xludf.DUMMYFUNCTION("""COMPUTED_VALUE"""),"Local databases underpin important features in many mobile applications, such as responsiveness in the face of poor connectivity. However, failure to use such databases correctly can lead to high resource consumption or even security vulnerabilities. We p"&amp;"resent SAND, an extensible static analysis approach that checks for misuse of local databases, also known as SQL antipatterns, in mobile apps. SAND features novel abstractions for common forms of application/database interactions, which enables concise an"&amp;"d precise specification of the antipatterns that SAND checks for. To validate the efficacy of SAND, we have experimented with a diverse suite of 1,000 Android apps. We show that the abstractions that power SAND allow concise specification of all the known"&amp;" antipatterns from the literature (12-74 LOC), and that the antipatterns are modeled accurately (99.4-100% precision). As for performance, SAND requires on average 41 seconds to complete a scan on a mobile app. © 2021 ACM.")</f>
        <v>Local databases underpin important features in many mobile applications, such as responsiveness in the face of poor connectivity. However, failure to use such databases correctly can lead to high resource consumption or even security vulnerabilities. We present SAND, an extensible static analysis approach that checks for misuse of local databases, also known as SQL antipatterns, in mobile apps. SAND features novel abstractions for common forms of application/database interactions, which enables concise and precise specification of the antipatterns that SAND checks for. To validate the efficacy of SAND, we have experimented with a diverse suite of 1,000 Android apps. We show that the abstractions that power SAND allow concise specification of all the known antipatterns from the literature (12-74 LOC), and that the antipatterns are modeled accurately (99.4-100% precision). As for performance, SAND requires on average 41 seconds to complete a scan on a mobile app. © 2021 ACM.</v>
      </c>
      <c r="H1312" s="7" t="str">
        <f>IFERROR(__xludf.DUMMYFUNCTION("""COMPUTED_VALUE"""),"Database; Mobile applications; Performance; Security")</f>
        <v>Database; Mobile applications; Performance; Security</v>
      </c>
      <c r="I1312" s="10" t="b">
        <v>0</v>
      </c>
      <c r="J1312" s="10" t="b">
        <v>0</v>
      </c>
      <c r="K1312" s="10" t="b">
        <v>0</v>
      </c>
      <c r="L1312" s="10" t="b">
        <v>0</v>
      </c>
      <c r="M1312" s="10" t="b">
        <v>0</v>
      </c>
      <c r="N1312" s="10" t="b">
        <v>0</v>
      </c>
      <c r="O1312" s="11" t="b">
        <f t="shared" si="1"/>
        <v>0</v>
      </c>
      <c r="P1312" s="16" t="b">
        <v>0</v>
      </c>
      <c r="Q1312" s="7"/>
    </row>
    <row r="1313">
      <c r="A1313" s="5" t="b">
        <v>1</v>
      </c>
      <c r="B1313" s="5" t="s">
        <v>1365</v>
      </c>
      <c r="C1313" s="7" t="str">
        <f>IFERROR(__xludf.DUMMYFUNCTION("""COMPUTED_VALUE"""),"10.1145/3395363.3397378")</f>
        <v>10.1145/3395363.3397378</v>
      </c>
      <c r="D1313" s="7" t="str">
        <f>IFERROR(__xludf.DUMMYFUNCTION("""COMPUTED_VALUE"""),"Yao P.; Shi Q.; Huang H.; Zhang C.")</f>
        <v>Yao P.; Shi Q.; Huang H.; Zhang C.</v>
      </c>
      <c r="E1313" s="7" t="str">
        <f>IFERROR(__xludf.DUMMYFUNCTION("""COMPUTED_VALUE"""),"Fast bit-vector satisfiability")</f>
        <v>Fast bit-vector satisfiability</v>
      </c>
      <c r="F1313" s="7" t="str">
        <f>IFERROR(__xludf.DUMMYFUNCTION("""COMPUTED_VALUE"""),"ISSTA")</f>
        <v>ISSTA</v>
      </c>
      <c r="G1313" s="7" t="str">
        <f>IFERROR(__xludf.DUMMYFUNCTION("""COMPUTED_VALUE"""),"SMT solving is often a major source of cost in a broad range of techniques such as symbolic program analysis. Thus, speeding up SMT solving is still an urgent requirement. A dominant approach, which is known as eager SMT solving, is to reduce a first-orde"&amp;"r formula to a pure Boolean formula, which is handed to an expensive SAT solver to determine the satisfiability. We observe that the SAT solver can utilize the knowledge in the first-order formula to boost its solving efficiency. Unfortunately, despite mu"&amp;"ch progress, it is still not clear how to make use of the knowledge in an eager SMT solver. This paper addresses the problem by introducing a new and fast method, which utilizes the interval and data-dependence information learned from the first-order for"&amp;"mulas. We have implemented the approach as a tool called Trident and evaluated it on three symbolic analyzers (Angr, Qsym, and Pinpoint). The experimental results, based on seven million SMT solving instances generated for thirty real-world software syste"&amp;"ms, show that Trident significantly reduces the total solving time from 2.9X to 7.9X over three state-of-the-art SMT solvers (Z3, CVC4, and Boolector), without sacrificing the number of solved instances. We also demonstrate that Trident achieves end-to-en"&amp;"d speedups for three program analysis clients by 1.9X, 1.6X, and 2.4X, respectively. © 2020 ACM.")</f>
        <v>SMT solving is often a major source of cost in a broad range of techniques such as symbolic program analysis. Thus, speeding up SMT solving is still an urgent requirement. A dominant approach, which is known as eager SMT solving, is to reduce a first-order formula to a pure Boolean formula, which is handed to an expensive SAT solver to determine the satisfiability. We observe that the SAT solver can utilize the knowledge in the first-order formula to boost its solving efficiency. Unfortunately, despite much progress, it is still not clear how to make use of the knowledge in an eager SMT solver. This paper addresses the problem by introducing a new and fast method, which utilizes the interval and data-dependence information learned from the first-order formulas. We have implemented the approach as a tool called Trident and evaluated it on three symbolic analyzers (Angr, Qsym, and Pinpoint). The experimental results, based on seven million SMT solving instances generated for thirty real-world software systems, show that Trident significantly reduces the total solving time from 2.9X to 7.9X over three state-of-the-art SMT solvers (Z3, CVC4, and Boolector), without sacrificing the number of solved instances. We also demonstrate that Trident achieves end-to-end speedups for three program analysis clients by 1.9X, 1.6X, and 2.4X, respectively. © 2020 ACM.</v>
      </c>
      <c r="H1313" s="7" t="str">
        <f>IFERROR(__xludf.DUMMYFUNCTION("""COMPUTED_VALUE"""),"program analysis; SAT solving; Satisfiability modulo theory")</f>
        <v>program analysis; SAT solving; Satisfiability modulo theory</v>
      </c>
      <c r="I1313" s="10" t="b">
        <v>0</v>
      </c>
      <c r="J1313" s="10" t="b">
        <v>0</v>
      </c>
      <c r="K1313" s="10" t="b">
        <v>0</v>
      </c>
      <c r="L1313" s="10" t="b">
        <v>0</v>
      </c>
      <c r="M1313" s="10" t="b">
        <v>0</v>
      </c>
      <c r="N1313" s="10" t="b">
        <v>0</v>
      </c>
      <c r="O1313" s="11" t="b">
        <f t="shared" si="1"/>
        <v>0</v>
      </c>
      <c r="P1313" s="16" t="b">
        <v>0</v>
      </c>
      <c r="Q1313" s="7"/>
    </row>
    <row r="1314">
      <c r="A1314" s="5" t="b">
        <v>1</v>
      </c>
      <c r="B1314" s="5" t="s">
        <v>1366</v>
      </c>
      <c r="C1314" s="7" t="str">
        <f>IFERROR(__xludf.DUMMYFUNCTION("""COMPUTED_VALUE"""),"10.1145/04000800.2336777")</f>
        <v>10.1145/04000800.2336777</v>
      </c>
      <c r="D1314" s="7" t="str">
        <f>IFERROR(__xludf.DUMMYFUNCTION("""COMPUTED_VALUE"""),"Iqbal M.Z.; Arcuri A.; Briand L.")</f>
        <v>Iqbal M.Z.; Arcuri A.; Briand L.</v>
      </c>
      <c r="E1314" s="7" t="str">
        <f>IFERROR(__xludf.DUMMYFUNCTION("""COMPUTED_VALUE"""),"Empirical investigation of search algorithms for environment model-based testing of real-time embedded software")</f>
        <v>Empirical investigation of search algorithms for environment model-based testing of real-time embedded software</v>
      </c>
      <c r="F1314" s="7" t="str">
        <f>IFERROR(__xludf.DUMMYFUNCTION("""COMPUTED_VALUE"""),"ISSTA")</f>
        <v>ISSTA</v>
      </c>
      <c r="G1314" s="7" t="str">
        <f>IFERROR(__xludf.DUMMYFUNCTION("""COMPUTED_VALUE"""),"System testing of real-time embedded systems (RTES) is a challenging task and only a fully automated testing approach can scale up to the testing requirements of industrial RTES. One such approach, which offers the advantage for testing teams to be black-"&amp;"box, is to use environment models to automatically generate test cases and oracles and an environment simulator to enable earlier and more practical testing. In this paper, we propose novel heuristics for search-based, RTES system testing which are based "&amp;"on these environment models. We evaluate the fault detection effectiveness of two search-based algorithms, i.e., Genetic Algorithms and (1+1) Evolutionary Algorithm, when using these novel heuristics and their combinations. Preliminary experiments on 13 c"&amp;"arefully selected, non-trivial artificial problems, show that, under certain conditions, these novel heuristics are effective at bringing the environment into a state exhibiting a system fault. The heuristic combination that showed the best overall perfor"&amp;"mance on the artificial problems was applied on an industrial case study where it showed consistent results. © 2012 ACM.")</f>
        <v>System testing of real-time embedded systems (RTES) is a challenging task and only a fully automated testing approach can scale up to the testing requirements of industrial RTES. One such approach, which offers the advantage for testing teams to be black-box, is to use environment models to automatically generate test cases and oracles and an environment simulator to enable earlier and more practical testing. In this paper, we propose novel heuristics for search-based, RTES system testing which are based on these environment models. We evaluate the fault detection effectiveness of two search-based algorithms, i.e., Genetic Algorithms and (1+1) Evolutionary Algorithm, when using these novel heuristics and their combinations. Preliminary experiments on 13 carefully selected, non-trivial artificial problems, show that, under certain conditions, these novel heuristics are effective at bringing the environment into a state exhibiting a system fault. The heuristic combination that showed the best overall performance on the artificial problems was applied on an industrial case study where it showed consistent results. © 2012 ACM.</v>
      </c>
      <c r="H1314" s="7" t="str">
        <f>IFERROR(__xludf.DUMMYFUNCTION("""COMPUTED_VALUE"""),"Automated model-based testing; branch distance; real-time embedded systems; search-based software engineering")</f>
        <v>Automated model-based testing; branch distance; real-time embedded systems; search-based software engineering</v>
      </c>
      <c r="I1314" s="10" t="b">
        <v>0</v>
      </c>
      <c r="J1314" s="10" t="b">
        <v>0</v>
      </c>
      <c r="K1314" s="10" t="b">
        <v>0</v>
      </c>
      <c r="L1314" s="10" t="b">
        <v>0</v>
      </c>
      <c r="M1314" s="10" t="b">
        <v>0</v>
      </c>
      <c r="N1314" s="10" t="b">
        <v>0</v>
      </c>
      <c r="O1314" s="11" t="b">
        <f t="shared" si="1"/>
        <v>0</v>
      </c>
      <c r="P1314" s="16" t="b">
        <v>0</v>
      </c>
      <c r="Q1314" s="7"/>
    </row>
    <row r="1315">
      <c r="A1315" s="5" t="b">
        <v>1</v>
      </c>
      <c r="B1315" s="5" t="s">
        <v>1367</v>
      </c>
      <c r="C1315" s="7" t="str">
        <f>IFERROR(__xludf.DUMMYFUNCTION("""COMPUTED_VALUE"""),"10.1145/229000.226313")</f>
        <v>10.1145/229000.226313</v>
      </c>
      <c r="D1315" s="7" t="str">
        <f>IFERROR(__xludf.DUMMYFUNCTION("""COMPUTED_VALUE"""),"Daran M.; Thévenod-Fosse P.")</f>
        <v>Daran M.; Thévenod-Fosse P.</v>
      </c>
      <c r="E1315" s="7" t="str">
        <f>IFERROR(__xludf.DUMMYFUNCTION("""COMPUTED_VALUE"""),"Software error analysis: A real case study involving real faults and mutations")</f>
        <v>Software error analysis: A real case study involving real faults and mutations</v>
      </c>
      <c r="F1315" s="7" t="str">
        <f>IFERROR(__xludf.DUMMYFUNCTION("""COMPUTED_VALUE"""),"ISSTA")</f>
        <v>ISSTA</v>
      </c>
      <c r="G1315" s="7" t="str">
        <f>IFERROR(__xludf.DUMMYFUNCTION("""COMPUTED_VALUE"""),"The paper reports on a first experimental comparison of software errors generated by real faults and by 1st-order mutations. The experiments were conducted on a program developed by a student from the industrial specification of a critical software from t"&amp;"he civil nuclear field. Emphasis was put on the analysis of errors produced upon activation of 12 real faults by focusing on the mechanisms of error creation, masking, and propagation up to failure occurrence, and on the comparison of these errors with th"&amp;"ose created by 24 mutations. The results involve a total of 3730 errors recorded from program execution traces: 1458 errors were produced by the real faults, and the 2272 others by the mutations. They are in favor of a suitable consistency between errors "&amp;"generated by mutations and by real faults: 85% of the 2272 errors due to the mutations were also produced by the real faults. Moreover, it was observed that although the studied mutations were simple faults, they can create erroneous behaviors as complex "&amp;"as those identified for the real faults. This lends support to the representativeness of errors due to mutations. © 1996 ACM.")</f>
        <v>The paper reports on a first experimental comparison of software errors generated by real faults and by 1st-order mutations. The experiments were conducted on a program developed by a student from the industrial specification of a critical software from the civil nuclear field. Emphasis was put on the analysis of errors produced upon activation of 12 real faults by focusing on the mechanisms of error creation, masking, and propagation up to failure occurrence, and on the comparison of these errors with those created by 24 mutations. The results involve a total of 3730 errors recorded from program execution traces: 1458 errors were produced by the real faults, and the 2272 others by the mutations. They are in favor of a suitable consistency between errors generated by mutations and by real faults: 85% of the 2272 errors due to the mutations were also produced by the real faults. Moreover, it was observed that although the studied mutations were simple faults, they can create erroneous behaviors as complex as those identified for the real faults. This lends support to the representativeness of errors due to mutations. © 1996 ACM.</v>
      </c>
      <c r="H1315" s="7"/>
      <c r="I1315" s="10" t="b">
        <v>0</v>
      </c>
      <c r="J1315" s="10" t="b">
        <v>0</v>
      </c>
      <c r="K1315" s="10" t="b">
        <v>0</v>
      </c>
      <c r="L1315" s="10" t="b">
        <v>0</v>
      </c>
      <c r="M1315" s="10" t="b">
        <v>0</v>
      </c>
      <c r="N1315" s="10" t="b">
        <v>0</v>
      </c>
      <c r="O1315" s="11" t="b">
        <f t="shared" si="1"/>
        <v>0</v>
      </c>
      <c r="P1315" s="16" t="b">
        <v>0</v>
      </c>
      <c r="Q1315" s="7"/>
    </row>
    <row r="1316">
      <c r="A1316" s="5" t="b">
        <v>1</v>
      </c>
      <c r="B1316" s="5" t="s">
        <v>1368</v>
      </c>
      <c r="C1316" s="7"/>
      <c r="D1316" s="7"/>
      <c r="E1316" s="7" t="str">
        <f>IFERROR(__xludf.DUMMYFUNCTION("""COMPUTED_VALUE"""),"Proceedings - 25th ACM/IEEE International Conference on Model Driven Engineering Languages and Systems, MODELS 2022")</f>
        <v>Proceedings - 25th ACM/IEEE International Conference on Model Driven Engineering Languages and Systems, MODELS 2022</v>
      </c>
      <c r="F1316" s="7" t="str">
        <f>IFERROR(__xludf.DUMMYFUNCTION("""COMPUTED_VALUE"""),"MODELS")</f>
        <v>MODELS</v>
      </c>
      <c r="G1316" s="7" t="str">
        <f>IFERROR(__xludf.DUMMYFUNCTION("""COMPUTED_VALUE"""),"The proceedings contain 35 papers. The topics discussed include: incremental causal connection for self-adaptive systems based on relational reference attribute grammars; addressing the uncertainty interaction problem in software-intensive systems: challe"&amp;"nges and desiderata; precomputing reconfiguration strategies based on stochastic timed game automata; system architecture synthesis for performability by logic solvers; digital twin as risk free experimentation aid for techno-socio-economic systems; react"&amp;"ive links across multi-domain engineering models; modelling program verification tools for software engineers; automatic test amplification for executable models; feedback on the formal verification of UML models in an industrial context: the case of a sm"&amp;"art device life cycle management system; validating the correctness of reactive systems specifications through systematic exploration; and machine learning methods for model classification: a comparative study.")</f>
        <v>The proceedings contain 35 papers. The topics discussed include: incremental causal connection for self-adaptive systems based on relational reference attribute grammars; addressing the uncertainty interaction problem in software-intensive systems: challenges and desiderata; precomputing reconfiguration strategies based on stochastic timed game automata; system architecture synthesis for performability by logic solvers; digital twin as risk free experimentation aid for techno-socio-economic systems; reactive links across multi-domain engineering models; modelling program verification tools for software engineers; automatic test amplification for executable models; feedback on the formal verification of UML models in an industrial context: the case of a smart device life cycle management system; validating the correctness of reactive systems specifications through systematic exploration; and machine learning methods for model classification: a comparative study.</v>
      </c>
      <c r="H1316" s="7"/>
      <c r="I1316" s="10" t="b">
        <v>0</v>
      </c>
      <c r="J1316" s="10" t="b">
        <v>0</v>
      </c>
      <c r="K1316" s="10" t="b">
        <v>0</v>
      </c>
      <c r="L1316" s="10" t="b">
        <v>0</v>
      </c>
      <c r="M1316" s="10" t="b">
        <v>0</v>
      </c>
      <c r="N1316" s="10" t="b">
        <v>0</v>
      </c>
      <c r="O1316" s="11" t="b">
        <f t="shared" si="1"/>
        <v>0</v>
      </c>
      <c r="P1316" s="16" t="b">
        <v>0</v>
      </c>
      <c r="Q1316" s="7"/>
    </row>
    <row r="1317">
      <c r="A1317" s="5" t="b">
        <v>1</v>
      </c>
      <c r="B1317" s="5" t="s">
        <v>1369</v>
      </c>
      <c r="C1317" s="7" t="str">
        <f>IFERROR(__xludf.DUMMYFUNCTION("""COMPUTED_VALUE"""),"10.1145/3365438.3410963")</f>
        <v>10.1145/3365438.3410963</v>
      </c>
      <c r="D1317" s="7" t="str">
        <f>IFERROR(__xludf.DUMMYFUNCTION("""COMPUTED_VALUE"""),"Alwidian S.; Amyot D.")</f>
        <v>Alwidian S.; Amyot D.</v>
      </c>
      <c r="E1317" s="7" t="str">
        <f>IFERROR(__xludf.DUMMYFUNCTION("""COMPUTED_VALUE"""),"""union is power"": Analyzing families of goal models using union models")</f>
        <v>"union is power": Analyzing families of goal models using union models</v>
      </c>
      <c r="F1317" s="7" t="str">
        <f>IFERROR(__xludf.DUMMYFUNCTION("""COMPUTED_VALUE"""),"MODELS")</f>
        <v>MODELS</v>
      </c>
      <c r="G1317" s="7" t="str">
        <f>IFERROR(__xludf.DUMMYFUNCTION("""COMPUTED_VALUE"""),"A goal model family is a set of related goal models that conform to the same metamodel, with commonalities and variabilities between models. Such families stem from the evolution of initial models into several versions over time and/or the variation of mo"&amp;"dels over the space dimension (e.g., products). In contexts where there are several versions/variations of a goal model, analyzing a set of related models with typical similarities, one model at a time, often involves redundant computations and may requir"&amp;"e repeated user assistance (e.g., for interactive analysis) and laborious activities. This paper proposes the use of union models as first-class artifacts to analyze families of goal models, in order to improve performance of language-specific analysis pr"&amp;"ocedures. The paper empirically evaluates the performance gain resulting from adapting (or lifting) an existing analysis technique specific to the Goal-oriented Requirement Language (GRL) to a family of GRL models, all at once using a union model, compare"&amp;"d to analyzing individual models. Our experiments show, based on the use of the IBM CPLEX optimizer, the usefulness and performance gains of using union models to perform a computationally expensive analysis, namely quantitative backward propagation, on f"&amp;"amilies of GRL models. © 2020 ACM.")</f>
        <v>A goal model family is a set of related goal models that conform to the same metamodel, with commonalities and variabilities between models. Such families stem from the evolution of initial models into several versions over time and/or the variation of models over the space dimension (e.g., products). In contexts where there are several versions/variations of a goal model, analyzing a set of related models with typical similarities, one model at a time, often involves redundant computations and may require repeated user assistance (e.g., for interactive analysis) and laborious activities. This paper proposes the use of union models as first-class artifacts to analyze families of goal models, in order to improve performance of language-specific analysis procedures. The paper empirically evaluates the performance gain resulting from adapting (or lifting) an existing analysis technique specific to the Goal-oriented Requirement Language (GRL) to a family of GRL models, all at once using a union model, compared to analyzing individual models. Our experiments show, based on the use of the IBM CPLEX optimizer, the usefulness and performance gains of using union models to perform a computationally expensive analysis, namely quantitative backward propagation, on families of GRL models. © 2020 ACM.</v>
      </c>
      <c r="H1317" s="7" t="str">
        <f>IFERROR(__xludf.DUMMYFUNCTION("""COMPUTED_VALUE"""),"analysis; backward propagation; goal modeling; model family")</f>
        <v>analysis; backward propagation; goal modeling; model family</v>
      </c>
      <c r="I1317" s="10" t="b">
        <v>0</v>
      </c>
      <c r="J1317" s="10" t="b">
        <v>0</v>
      </c>
      <c r="K1317" s="10" t="b">
        <v>0</v>
      </c>
      <c r="L1317" s="10" t="b">
        <v>0</v>
      </c>
      <c r="M1317" s="10" t="b">
        <v>0</v>
      </c>
      <c r="N1317" s="10" t="b">
        <v>0</v>
      </c>
      <c r="O1317" s="11" t="b">
        <f t="shared" si="1"/>
        <v>0</v>
      </c>
      <c r="P1317" s="16" t="b">
        <v>0</v>
      </c>
      <c r="Q1317" s="7"/>
    </row>
    <row r="1318">
      <c r="A1318" s="5" t="b">
        <v>1</v>
      </c>
      <c r="B1318" s="5" t="s">
        <v>1370</v>
      </c>
      <c r="C1318" s="7" t="str">
        <f>IFERROR(__xludf.DUMMYFUNCTION("""COMPUTED_VALUE"""),"10.1109/MODELS.2019.000-7")</f>
        <v>10.1109/MODELS.2019.000-7</v>
      </c>
      <c r="D1318" s="7" t="str">
        <f>IFERROR(__xludf.DUMMYFUNCTION("""COMPUTED_VALUE"""),"Jumagaliyev A.; Elkhatib Y.")</f>
        <v>Jumagaliyev A.; Elkhatib Y.</v>
      </c>
      <c r="E1318" s="7" t="str">
        <f>IFERROR(__xludf.DUMMYFUNCTION("""COMPUTED_VALUE"""),"A Modelling Language to Support the Evolution of Multi-tenant Cloud Data Architectures")</f>
        <v>A Modelling Language to Support the Evolution of Multi-tenant Cloud Data Architectures</v>
      </c>
      <c r="F1318" s="7" t="str">
        <f>IFERROR(__xludf.DUMMYFUNCTION("""COMPUTED_VALUE"""),"MODELS")</f>
        <v>MODELS</v>
      </c>
      <c r="G1318" s="7" t="str">
        <f>IFERROR(__xludf.DUMMYFUNCTION("""COMPUTED_VALUE"""),"Multi-tenant data architectures enable efficient resource utilization in cloud applications, but are currently being implemented in industry and research using manual coding techniques that tend to be time consuming and error prone. We propose a novel dom"&amp;"ain-specific modeling language, CadaML, to automatically manage the development and evolution of cloud data architectures that (a) adopt multi-tenancy and/or (b) comprise of a combination of different storage solutions such as relational and non-relationa"&amp;"l databases, and blob storage. CadaML provides concepts and notations to support abstract modelling of a multi-tenant data architecture, and also provides tools to validate the data architecture and automatically produce application code. We rigorously ev"&amp;"aluate CadaML through a user experiment where developers of various capabilities are asked to re-architect the data layer of an industrial business process analysis application. We observe that CadaML users required 3.5x less development time than manual "&amp;"coders. In addition to improved productivity, CadaML users highlighted other benefits gained in terms of reliability of generated code and usability. © 2019 IEEE.")</f>
        <v>Multi-tenant data architectures enable efficient resource utilization in cloud applications, but are currently being implemented in industry and research using manual coding techniques that tend to be time consuming and error prone. We propose a novel domain-specific modeling language, CadaML, to automatically manage the development and evolution of cloud data architectures that (a) adopt multi-tenancy and/or (b) comprise of a combination of different storage solutions such as relational and non-relational databases, and blob storage. CadaML provides concepts and notations to support abstract modelling of a multi-tenant data architecture, and also provides tools to validate the data architecture and automatically produce application code. We rigorously evaluate CadaML through a user experiment where developers of various capabilities are asked to re-architect the data layer of an industrial business process analysis application. We observe that CadaML users required 3.5x less development time than manual coders. In addition to improved productivity, CadaML users highlighted other benefits gained in terms of reliability of generated code and usability. © 2019 IEEE.</v>
      </c>
      <c r="H1318" s="7" t="str">
        <f>IFERROR(__xludf.DUMMYFUNCTION("""COMPUTED_VALUE"""),"Cloud Computing; Code Generation; Domain-Specific modeling; Model-Driven Engineering; Multi-tenancy; Software Evolution")</f>
        <v>Cloud Computing; Code Generation; Domain-Specific modeling; Model-Driven Engineering; Multi-tenancy; Software Evolution</v>
      </c>
      <c r="I1318" s="10" t="b">
        <v>0</v>
      </c>
      <c r="J1318" s="10" t="b">
        <v>0</v>
      </c>
      <c r="K1318" s="10" t="b">
        <v>0</v>
      </c>
      <c r="L1318" s="10" t="b">
        <v>0</v>
      </c>
      <c r="M1318" s="10" t="b">
        <v>0</v>
      </c>
      <c r="N1318" s="10" t="b">
        <v>0</v>
      </c>
      <c r="O1318" s="11" t="b">
        <f t="shared" si="1"/>
        <v>0</v>
      </c>
      <c r="P1318" s="16" t="b">
        <v>0</v>
      </c>
      <c r="Q1318" s="7"/>
    </row>
    <row r="1319">
      <c r="A1319" s="5" t="b">
        <v>1</v>
      </c>
      <c r="B1319" s="5" t="s">
        <v>1371</v>
      </c>
      <c r="C1319" s="7" t="str">
        <f>IFERROR(__xludf.DUMMYFUNCTION("""COMPUTED_VALUE"""),"10.1109/MODELS.2015.7338277")</f>
        <v>10.1109/MODELS.2015.7338277</v>
      </c>
      <c r="D1319" s="7" t="str">
        <f>IFERROR(__xludf.DUMMYFUNCTION("""COMPUTED_VALUE"""),"Eichler C.; Monteil T.; Stolf P.; Grieco A.; Drira K.")</f>
        <v>Eichler C.; Monteil T.; Stolf P.; Grieco A.; Drira K.</v>
      </c>
      <c r="E1319" s="7" t="str">
        <f>IFERROR(__xludf.DUMMYFUNCTION("""COMPUTED_VALUE"""),"Enhanced graph rewriting systems for complex software domains (SoSyM abstract")</f>
        <v>Enhanced graph rewriting systems for complex software domains (SoSyM abstract</v>
      </c>
      <c r="F1319" s="7" t="str">
        <f>IFERROR(__xludf.DUMMYFUNCTION("""COMPUTED_VALUE"""),"MODELS")</f>
        <v>MODELS</v>
      </c>
      <c r="G1319" s="7" t="str">
        <f>IFERROR(__xludf.DUMMYFUNCTION("""COMPUTED_VALUE"""),"Methodologies for correct by construction reconfigurations can efficiently solve consistency issues in dynamic software architecture. Graph-based models are appropriate for designing such architectures and methods. At the same time, they may be unfit to c"&amp;"haracterize a system from a non functional perspective. This stems from efficiency and applicability limitations in handling time-varying characteristics and their related dependencies. In order to lift these restrictions, an extension to graph rewriting "&amp;"systems is proposed herein. The suitability of this approach, as well as the restraints of currently available ones, are illustrated, analysed and experimentally evaluated with reference to a concrete example. This investigation demonstrates that the conc"&amp;"eived solution can: (i) express any kind of algebraic dependencies between evolving requirements and properties; (ii) significantly ameliorate the efficiency and scalability of system modifications with respect to classic methodologies; (iii) provide an e"&amp;"fficient access to attribute values; (iv) be fruitfully exploited in software management systems; (v) guarantee theoretical properties of a grammar, like its termination. © 2015 IEEE.")</f>
        <v>Methodologies for correct by construction reconfigurations can efficiently solve consistency issues in dynamic software architecture. Graph-based models are appropriate for designing such architectures and methods. At the same time, they may be unfit to characterize a system from a non functional perspective. This stems from efficiency and applicability limitations in handling time-varying characteristics and their related dependencies. In order to lift these restrictions, an extension to graph rewriting systems is proposed herein. The suitability of this approach, as well as the restraints of currently available ones, are illustrated, analysed and experimentally evaluated with reference to a concrete example. This investigation demonstrates that the conceived solution can: (i) express any kind of algebraic dependencies between evolving requirements and properties; (ii) significantly ameliorate the efficiency and scalability of system modifications with respect to classic methodologies; (iii) provide an efficient access to attribute values; (iv) be fruitfully exploited in software management systems; (v) guarantee theoretical properties of a grammar, like its termination. © 2015 IEEE.</v>
      </c>
      <c r="H1319" s="7"/>
      <c r="I1319" s="10" t="b">
        <v>0</v>
      </c>
      <c r="J1319" s="10" t="b">
        <v>0</v>
      </c>
      <c r="K1319" s="10" t="b">
        <v>0</v>
      </c>
      <c r="L1319" s="10" t="b">
        <v>0</v>
      </c>
      <c r="M1319" s="10" t="b">
        <v>0</v>
      </c>
      <c r="N1319" s="10" t="b">
        <v>0</v>
      </c>
      <c r="O1319" s="11" t="b">
        <f t="shared" si="1"/>
        <v>0</v>
      </c>
      <c r="P1319" s="16" t="b">
        <v>0</v>
      </c>
      <c r="Q1319" s="7"/>
    </row>
    <row r="1320">
      <c r="A1320" s="5" t="b">
        <v>1</v>
      </c>
      <c r="B1320" s="5" t="s">
        <v>1372</v>
      </c>
      <c r="C1320" s="7" t="str">
        <f>IFERROR(__xludf.DUMMYFUNCTION("""COMPUTED_VALUE"""),"10.1145/3550355.3552449")</f>
        <v>10.1145/3550355.3552449</v>
      </c>
      <c r="D1320" s="7" t="str">
        <f>IFERROR(__xludf.DUMMYFUNCTION("""COMPUTED_VALUE"""),"Parvizimosaed A.; Roveri M.; Rasti A.; Amyot D.; Logrippo L.; Mylopoulos J.")</f>
        <v>Parvizimosaed A.; Roveri M.; Rasti A.; Amyot D.; Logrippo L.; Mylopoulos J.</v>
      </c>
      <c r="E1320" s="7" t="str">
        <f>IFERROR(__xludf.DUMMYFUNCTION("""COMPUTED_VALUE"""),"Model-checking legal contracts with SymboleoPC")</f>
        <v>Model-checking legal contracts with SymboleoPC</v>
      </c>
      <c r="F1320" s="7" t="str">
        <f>IFERROR(__xludf.DUMMYFUNCTION("""COMPUTED_VALUE"""),"MODELS")</f>
        <v>MODELS</v>
      </c>
      <c r="G1320" s="7" t="str">
        <f>IFERROR(__xludf.DUMMYFUNCTION("""COMPUTED_VALUE"""),"Legal contracts specify requirements for business transactions. As any other requirements specification, contracts may contain errors and violate properties expected by contracting parties. Symboleo was recently proposed as a formal specification language"&amp;" for legal contracts. This paper presents SymboleoPC, a tool for analyzing Symboleo contracts using model checking. It highlights the architecture, implementation and testing of the tool, as well as a scalability evaluation with respect to the size of con"&amp;"tracts and properties to be checked through a series of experiments. The results suggest that SymboleoPC can be usefully applied to the analysis of formal specifications of contracts with real-life sizes and structures. © 2022 ACM.")</f>
        <v>Legal contracts specify requirements for business transactions. As any other requirements specification, contracts may contain errors and violate properties expected by contracting parties. Symboleo was recently proposed as a formal specification language for legal contracts. This paper presents SymboleoPC, a tool for analyzing Symboleo contracts using model checking. It highlights the architecture, implementation and testing of the tool, as well as a scalability evaluation with respect to the size of contracts and properties to be checked through a series of experiments. The results suggest that SymboleoPC can be usefully applied to the analysis of formal specifications of contracts with real-life sizes and structures. © 2022 ACM.</v>
      </c>
      <c r="H1320" s="7" t="str">
        <f>IFERROR(__xludf.DUMMYFUNCTION("""COMPUTED_VALUE"""),"formal specification languages; legal contracts; model checking; nuXmv; performance analysis; smart contracts; software requirements specifications")</f>
        <v>formal specification languages; legal contracts; model checking; nuXmv; performance analysis; smart contracts; software requirements specifications</v>
      </c>
      <c r="I1320" s="10" t="b">
        <v>0</v>
      </c>
      <c r="J1320" s="10" t="b">
        <v>0</v>
      </c>
      <c r="K1320" s="10" t="b">
        <v>0</v>
      </c>
      <c r="L1320" s="10" t="b">
        <v>0</v>
      </c>
      <c r="M1320" s="10" t="b">
        <v>0</v>
      </c>
      <c r="N1320" s="10" t="b">
        <v>0</v>
      </c>
      <c r="O1320" s="11" t="b">
        <f t="shared" si="1"/>
        <v>0</v>
      </c>
      <c r="P1320" s="16" t="b">
        <v>0</v>
      </c>
      <c r="Q1320" s="7"/>
    </row>
    <row r="1321">
      <c r="A1321" s="5" t="b">
        <v>1</v>
      </c>
      <c r="B1321" s="5" t="s">
        <v>1373</v>
      </c>
      <c r="C1321" s="7" t="str">
        <f>IFERROR(__xludf.DUMMYFUNCTION("""COMPUTED_VALUE"""),"10.1109/MODELS.2019.00005")</f>
        <v>10.1109/MODELS.2019.00005</v>
      </c>
      <c r="D1321" s="7" t="str">
        <f>IFERROR(__xludf.DUMMYFUNCTION("""COMPUTED_VALUE"""),"Bencomo N.; Garcia Paucar L.H.")</f>
        <v>Bencomo N.; Garcia Paucar L.H.</v>
      </c>
      <c r="E1321" s="7" t="str">
        <f>IFERROR(__xludf.DUMMYFUNCTION("""COMPUTED_VALUE"""),"RaM: Causally-Connected and Requirements-Aware Runtime Models using Bayesian Learning")</f>
        <v>RaM: Causally-Connected and Requirements-Aware Runtime Models using Bayesian Learning</v>
      </c>
      <c r="F1321" s="7" t="str">
        <f>IFERROR(__xludf.DUMMYFUNCTION("""COMPUTED_VALUE"""),"MODELS")</f>
        <v>MODELS</v>
      </c>
      <c r="G1321" s="7" t="str">
        <f>IFERROR(__xludf.DUMMYFUNCTION("""COMPUTED_VALUE"""),"[Context/Motivation] A model at runtime can be defined as an abstract representation of a system, including its structure and behaviour, which exist alongside with the running system. Runtime models provide support for decision-making and reasoning based "&amp;"on design-time knowledge but, also based on information that may emerge at runtime and which was not foreseen before execution. [Questions/Problems] A challenge that persists is the update of runtime models during the execution to support up-to-date infor"&amp;"mation for reasoning and decision-making. New techniques based on machine learning (ML) and Bayesian Learning offer great potential to support the update of runtime models during execution. Runtime models can be updated using these new techniques to, ther"&amp;"efore, offer better-informed decision-making based on evidence collected at runtime. The techniques we use in this paper are based on a novel implementation of Partially Observable Markov Decision Processes (POMDPs). [Contribution] In this paper, we demon"&amp;"strate how given the requirements specification, a Requirements-aware runtime model based on POMDPs (RaM-POMDP) is defined. We study in detail the nature of such runtime models coupled with consideration of the Bayesian inference algorithms and tools that"&amp;" provide evidence of unexpected/surprising changes in the environment. We show how the RaM-POMDPs and the MAPE-K loop offer the basis of the software architecture presented and how the required casual connection of runtime models is realized. Specifically"&amp;", we demonstrate how according to evidence of changes in the systems, collected by the monitoring infrastructure and using Bayesian inference, the runtime models are updated and inferred (i.e. the first aspect of the causal connection). We also demonstrat"&amp;"e how the running system changes its runtime model, producing therefore the corresponding self-adaptations. These self-adaptations are reflected on the managed system (i.e. the second aspect of the causal connection) to better satisfice the requirements s"&amp;"pecifications and improve conformance to its service level agreements (SLAs). The experiments have been applied to a real case study for the networking application domain. © 2019 IEEE.")</f>
        <v>[Context/Motivation] A model at runtime can be defined as an abstract representation of a system, including its structure and behaviour, which exist alongside with the running system. Runtime models provide support for decision-making and reasoning based on design-time knowledge but, also based on information that may emerge at runtime and which was not foreseen before execution. [Questions/Problems] A challenge that persists is the update of runtime models during the execution to support up-to-date information for reasoning and decision-making. New techniques based on machine learning (ML) and Bayesian Learning offer great potential to support the update of runtime models during execution. Runtime models can be updated using these new techniques to, therefore, offer better-informed decision-making based on evidence collected at runtime. The techniques we use in this paper are based on a novel implementation of Partially Observable Markov Decision Processes (POMDPs). [Contribution] In this paper, we demonstrate how given the requirements specification, a Requirements-aware runtime model based on POMDPs (RaM-POMDP) is defined. We study in detail the nature of such runtime models coupled with consideration of the Bayesian inference algorithms and tools that provide evidence of unexpected/surprising changes in the environment. We show how the RaM-POMDPs and the MAPE-K loop offer the basis of the software architecture presented and how the required casual connection of runtime models is realized. Specifically, we demonstrate how according to evidence of changes in the systems, collected by the monitoring infrastructure and using Bayesian inference, the runtime models are updated and inferred (i.e. the first aspect of the causal connection). We also demonstrate how the running system changes its runtime model, producing therefore the corresponding self-adaptations. These self-adaptations are reflected on the managed system (i.e. the second aspect of the causal connection) to better satisfice the requirements specifications and improve conformance to its service level agreements (SLAs). The experiments have been applied to a real case study for the networking application domain. © 2019 IEEE.</v>
      </c>
      <c r="H1321" s="7" t="str">
        <f>IFERROR(__xludf.DUMMYFUNCTION("""COMPUTED_VALUE"""),"Bayesian inference/learning; causal connection; decision making; POMDPs; Runtime models; uncertainty")</f>
        <v>Bayesian inference/learning; causal connection; decision making; POMDPs; Runtime models; uncertainty</v>
      </c>
      <c r="I1321" s="10" t="b">
        <v>0</v>
      </c>
      <c r="J1321" s="10" t="b">
        <v>0</v>
      </c>
      <c r="K1321" s="10" t="b">
        <v>0</v>
      </c>
      <c r="L1321" s="10" t="b">
        <v>0</v>
      </c>
      <c r="M1321" s="10" t="b">
        <v>0</v>
      </c>
      <c r="N1321" s="10" t="b">
        <v>0</v>
      </c>
      <c r="O1321" s="11" t="b">
        <f t="shared" si="1"/>
        <v>0</v>
      </c>
      <c r="P1321" s="16" t="b">
        <v>0</v>
      </c>
      <c r="Q1321" s="7"/>
    </row>
    <row r="1322">
      <c r="A1322" s="5" t="b">
        <v>1</v>
      </c>
      <c r="B1322" s="5" t="s">
        <v>1374</v>
      </c>
      <c r="C1322" s="7" t="str">
        <f>IFERROR(__xludf.DUMMYFUNCTION("""COMPUTED_VALUE"""),"10.1145/3550355.3552415")</f>
        <v>10.1145/3550355.3552415</v>
      </c>
      <c r="D1322" s="7" t="str">
        <f>IFERROR(__xludf.DUMMYFUNCTION("""COMPUTED_VALUE"""),"Zhou Q.; Li T.; Wang Y.")</f>
        <v>Zhou Q.; Li T.; Wang Y.</v>
      </c>
      <c r="E1322" s="7" t="str">
        <f>IFERROR(__xludf.DUMMYFUNCTION("""COMPUTED_VALUE"""),"Assisting in Requirements Goal Modeling: A Hybrid Approach based on Machine Learning and Logical Reasoning")</f>
        <v>Assisting in Requirements Goal Modeling: A Hybrid Approach based on Machine Learning and Logical Reasoning</v>
      </c>
      <c r="F1322" s="7" t="str">
        <f>IFERROR(__xludf.DUMMYFUNCTION("""COMPUTED_VALUE"""),"MODELS")</f>
        <v>MODELS</v>
      </c>
      <c r="G1322" s="7" t="str">
        <f>IFERROR(__xludf.DUMMYFUNCTION("""COMPUTED_VALUE"""),"Goal modeling plays an imperative role in early requirements engineering, which has been investigated for decades. There have been many studies that show the usefulness of requirements goal models. However, the establishment of goal models is typically do"&amp;"ne manually, which is time-consuming and has a steep learning curve. In this paper, we propose a semi-automatic framework for constructing iStar models, which is a well-known goal modeling language. Specifically, we first investigate the practical needs o"&amp;"f iStar modelers on the automation of iStar modeling by holding interviews, based on which we propose an interactive and iterative modeling process. Our proposal takes advantage of human decisions and artificial intelligence algorithms, respectively, aimi"&amp;"ng at achieving low modeling costs while maintaining the quality of models. We then propose a hybrid approach for automatically extracting goal model snippets from requirements text, which implements the automatic tasks of our proposed process. The propos"&amp;"ed method combines logical reasoning with deep learning techniques so as to unleash the power of domain knowledge to assist with automation tasks. We have performed a series of experiments for evaluation. The experimental results show that our method achi"&amp;"eves the F1-measure of 90.34% for actor entity extraction, 93.14% for intention entity extraction, and 83.18% for actor relation extraction, which can efficiently establish high-quality goal models. The artifacts are available at Zenodo1. © 2022 Owner/Aut"&amp;"hor.")</f>
        <v>Goal modeling plays an imperative role in early requirements engineering, which has been investigated for decades. There have been many studies that show the usefulness of requirements goal models. However, the establishment of goal models is typically done manually, which is time-consuming and has a steep learning curve. In this paper, we propose a semi-automatic framework for constructing iStar models, which is a well-known goal modeling language. Specifically, we first investigate the practical needs of iStar modelers on the automation of iStar modeling by holding interviews, based on which we propose an interactive and iterative modeling process. Our proposal takes advantage of human decisions and artificial intelligence algorithms, respectively, aiming at achieving low modeling costs while maintaining the quality of models. We then propose a hybrid approach for automatically extracting goal model snippets from requirements text, which implements the automatic tasks of our proposed process. The proposed method combines logical reasoning with deep learning techniques so as to unleash the power of domain knowledge to assist with automation tasks. We have performed a series of experiments for evaluation. The experimental results show that our method achieves the F1-measure of 90.34% for actor entity extraction, 93.14% for intention entity extraction, and 83.18% for actor relation extraction, which can efficiently establish high-quality goal models. The artifacts are available at Zenodo1. © 2022 Owner/Author.</v>
      </c>
      <c r="H1322" s="7" t="str">
        <f>IFERROR(__xludf.DUMMYFUNCTION("""COMPUTED_VALUE"""),"goal modeling; machine learning; natural language processing; requirements engineering")</f>
        <v>goal modeling; machine learning; natural language processing; requirements engineering</v>
      </c>
      <c r="I1322" s="10" t="b">
        <v>0</v>
      </c>
      <c r="J1322" s="10" t="b">
        <v>0</v>
      </c>
      <c r="K1322" s="10" t="b">
        <v>0</v>
      </c>
      <c r="L1322" s="10" t="b">
        <v>0</v>
      </c>
      <c r="M1322" s="10" t="b">
        <v>0</v>
      </c>
      <c r="N1322" s="10" t="b">
        <v>0</v>
      </c>
      <c r="O1322" s="11" t="b">
        <f t="shared" si="1"/>
        <v>0</v>
      </c>
      <c r="P1322" s="16" t="b">
        <v>0</v>
      </c>
      <c r="Q1322" s="7"/>
    </row>
    <row r="1323">
      <c r="A1323" s="5" t="b">
        <v>1</v>
      </c>
      <c r="B1323" s="5" t="s">
        <v>1375</v>
      </c>
      <c r="C1323" s="7" t="str">
        <f>IFERROR(__xludf.DUMMYFUNCTION("""COMPUTED_VALUE"""),"10.1109/MODELS50736.2021.00016")</f>
        <v>10.1109/MODELS50736.2021.00016</v>
      </c>
      <c r="D1323" s="7" t="str">
        <f>IFERROR(__xludf.DUMMYFUNCTION("""COMPUTED_VALUE"""),"Di Rocco J.; Di Sipio C.; Di Ruscio D.; Nguyen P.T.")</f>
        <v>Di Rocco J.; Di Sipio C.; Di Ruscio D.; Nguyen P.T.</v>
      </c>
      <c r="E1323" s="7" t="str">
        <f>IFERROR(__xludf.DUMMYFUNCTION("""COMPUTED_VALUE"""),"A GNN-based Recommender System to Assist the Specification of Metamodels and Models")</f>
        <v>A GNN-based Recommender System to Assist the Specification of Metamodels and Models</v>
      </c>
      <c r="F1323" s="7" t="str">
        <f>IFERROR(__xludf.DUMMYFUNCTION("""COMPUTED_VALUE"""),"MODELS")</f>
        <v>MODELS</v>
      </c>
      <c r="G1323" s="7" t="str">
        <f>IFERROR(__xludf.DUMMYFUNCTION("""COMPUTED_VALUE"""),"Nowadays, while modeling environments provide users with facilities to specify different kinds of artifacts, e.g., metamodels, models, and transformations, the possibility of learning from previous modeling experiences and being assisted during modeling t"&amp;"asks remains largely unexplored. In this paper, we propose MORGAN, a recommender system based on a graph neural network (GNN) to assist modelers in performing the specification of metamodels and models. The (meta)model being specified, and the training da"&amp;"ta are encoded in a graph-based format by exploiting natural language processing (NLP) techniques. Afterward, a graph kernel function uses the extracted graphs to provide modelers with relevant recommendations to complete the partially specified (meta)mod"&amp;"els. We evaluated MORGAN on real-world datasets using various quality metrics, i.e., precision, recall, and F-measure. The experimental results are encouraging and demonstrate the feasibility of our tool to support modelers while specifying metamodels and"&amp;" models.  © 2021 IEEE.")</f>
        <v>Nowadays, while modeling environments provide users with facilities to specify different kinds of artifacts, e.g., metamodels, models, and transformations, the possibility of learning from previous modeling experiences and being assisted during modeling tasks remains largely unexplored. In this paper, we propose MORGAN, a recommender system based on a graph neural network (GNN) to assist modelers in performing the specification of metamodels and models. The (meta)model being specified, and the training data are encoded in a graph-based format by exploiting natural language processing (NLP) techniques. Afterward, a graph kernel function uses the extracted graphs to provide modelers with relevant recommendations to complete the partially specified (meta)models. We evaluated MORGAN on real-world datasets using various quality metrics, i.e., precision, recall, and F-measure. The experimental results are encouraging and demonstrate the feasibility of our tool to support modelers while specifying metamodels and models.  © 2021 IEEE.</v>
      </c>
      <c r="H1323" s="7" t="str">
        <f>IFERROR(__xludf.DUMMYFUNCTION("""COMPUTED_VALUE"""),"graph neural networks; metamodeling; modeling; recommender systems")</f>
        <v>graph neural networks; metamodeling; modeling; recommender systems</v>
      </c>
      <c r="I1323" s="10" t="b">
        <v>0</v>
      </c>
      <c r="J1323" s="10" t="b">
        <v>0</v>
      </c>
      <c r="K1323" s="10" t="b">
        <v>0</v>
      </c>
      <c r="L1323" s="10" t="b">
        <v>0</v>
      </c>
      <c r="M1323" s="10" t="b">
        <v>0</v>
      </c>
      <c r="N1323" s="10" t="b">
        <v>0</v>
      </c>
      <c r="O1323" s="11" t="b">
        <f t="shared" si="1"/>
        <v>0</v>
      </c>
      <c r="P1323" s="16" t="b">
        <v>0</v>
      </c>
      <c r="Q1323" s="7"/>
    </row>
    <row r="1324">
      <c r="A1324" s="5" t="b">
        <v>1</v>
      </c>
      <c r="B1324" s="5" t="s">
        <v>1376</v>
      </c>
      <c r="C1324" s="7" t="str">
        <f>IFERROR(__xludf.DUMMYFUNCTION("""COMPUTED_VALUE"""),"10.1109/MODELS.2015.7338251")</f>
        <v>10.1109/MODELS.2015.7338251</v>
      </c>
      <c r="D1324" s="7" t="str">
        <f>IFERROR(__xludf.DUMMYFUNCTION("""COMPUTED_VALUE"""),"Valentim N.M.C.; Rabelo J.; Oran A.C.; Conte T.; Marczak S.")</f>
        <v>Valentim N.M.C.; Rabelo J.; Oran A.C.; Conte T.; Marczak S.</v>
      </c>
      <c r="E1324" s="7" t="str">
        <f>IFERROR(__xludf.DUMMYFUNCTION("""COMPUTED_VALUE"""),"A controlled experiment with Usability Inspection Techniques applied to Use Case Specifications: Comparing the MIT 1 and the UCE techniques")</f>
        <v>A controlled experiment with Usability Inspection Techniques applied to Use Case Specifications: Comparing the MIT 1 and the UCE techniques</v>
      </c>
      <c r="F1324" s="7" t="str">
        <f>IFERROR(__xludf.DUMMYFUNCTION("""COMPUTED_VALUE"""),"MODELS")</f>
        <v>MODELS</v>
      </c>
      <c r="G1324" s="7" t="str">
        <f>IFERROR(__xludf.DUMMYFUNCTION("""COMPUTED_VALUE"""),"A Use Case Model is composed of use cases that describe software functionalities through Use Case Specifications. The evaluation of the specifications that compose such a model can allow for an early identification of usability defects. We previously prop"&amp;"osed MIT 1 - Model Inspection Technique for Usability Evaluation that aims to support the identification of usability defects through the evaluation of use cases specifications. In this paper, we present the evaluation of this technique through a controll"&amp;"ed experiment that measured its efficiency, effectiveness, perceived ease of use, and perceived usefulness when compared to the Use Case Evaluation (UCE) method. Our quantitative findings indicate that MIT 1 allows users to find more usability defects in "&amp;"less time than UCE. However, UCE was considered easiest to use and more useful than MIT 1, highlighting improvement needs for MIT 1. © 2015 IEEE.")</f>
        <v>A Use Case Model is composed of use cases that describe software functionalities through Use Case Specifications. The evaluation of the specifications that compose such a model can allow for an early identification of usability defects. We previously proposed MIT 1 - Model Inspection Technique for Usability Evaluation that aims to support the identification of usability defects through the evaluation of use cases specifications. In this paper, we present the evaluation of this technique through a controlled experiment that measured its efficiency, effectiveness, perceived ease of use, and perceived usefulness when compared to the Use Case Evaluation (UCE) method. Our quantitative findings indicate that MIT 1 allows users to find more usability defects in less time than UCE. However, UCE was considered easiest to use and more useful than MIT 1, highlighting improvement needs for MIT 1. © 2015 IEEE.</v>
      </c>
      <c r="H1324" s="7" t="str">
        <f>IFERROR(__xludf.DUMMYFUNCTION("""COMPUTED_VALUE"""),"controlled experiment; early usability; empirical study; inspection; use case model; use case specification")</f>
        <v>controlled experiment; early usability; empirical study; inspection; use case model; use case specification</v>
      </c>
      <c r="I1324" s="9" t="b">
        <v>1</v>
      </c>
      <c r="J1324" s="9" t="b">
        <v>1</v>
      </c>
      <c r="K1324" s="9" t="b">
        <v>1</v>
      </c>
      <c r="L1324" s="10" t="b">
        <v>0</v>
      </c>
      <c r="M1324" s="10" t="b">
        <v>0</v>
      </c>
      <c r="N1324" s="10" t="b">
        <v>0</v>
      </c>
      <c r="O1324" s="11" t="b">
        <f t="shared" si="1"/>
        <v>1</v>
      </c>
      <c r="P1324" s="12" t="b">
        <v>0</v>
      </c>
      <c r="Q1324" s="13"/>
    </row>
    <row r="1325">
      <c r="A1325" s="5" t="b">
        <v>1</v>
      </c>
      <c r="B1325" s="5" t="s">
        <v>1377</v>
      </c>
      <c r="C1325" s="7" t="str">
        <f>IFERROR(__xludf.DUMMYFUNCTION("""COMPUTED_VALUE"""),"10.1109/MODELS.2015.7338279")</f>
        <v>10.1109/MODELS.2015.7338279</v>
      </c>
      <c r="D1325" s="7" t="str">
        <f>IFERROR(__xludf.DUMMYFUNCTION("""COMPUTED_VALUE"""),"Song S.; Liu Y.; Auguston M.; Sun J.; Dong J.S.; Chen T.")</f>
        <v>Song S.; Liu Y.; Auguston M.; Sun J.; Dong J.S.; Chen T.</v>
      </c>
      <c r="E1325" s="7" t="str">
        <f>IFERROR(__xludf.DUMMYFUNCTION("""COMPUTED_VALUE"""),"Formalizing and verifying stochastic system architectures using Monterey Phoenix (SoSyM abstract)")</f>
        <v>Formalizing and verifying stochastic system architectures using Monterey Phoenix (SoSyM abstract)</v>
      </c>
      <c r="F1325" s="7" t="str">
        <f>IFERROR(__xludf.DUMMYFUNCTION("""COMPUTED_VALUE"""),"MODELS")</f>
        <v>MODELS</v>
      </c>
      <c r="G1325" s="7" t="str">
        <f>IFERROR(__xludf.DUMMYFUNCTION("""COMPUTED_VALUE"""),"The analysis of software architecture plays an important role in understanding the system structures and facilitate proper implementation of user requirements. Despite its importance in the software engineering practice, the lack of formal description and"&amp;" verification support in this domain hinders the development of quality architectural models. To tackle this problem, in this work, we develop an approach for modeling and verifying software architectures specified using Monterey Phoenix (MP) architecture"&amp;" description language. MP is capable of modeling system and environment behaviors based on event traces, as well as supporting different architecture composition operations and views. First, we formalize the syntax and operational semantics for MP; theref"&amp;"ore, formal verification of MP models is feasible. Second, we extend MP to support shared variables and stochastic characteristics, which not only increases the expressiveness of MP, but also widens the properties MP can check, such as quantitative requir"&amp;"ements. Third, a dedicated model checker for MP has been implemented, so that automatic verification of MP models is supported. Finally, several experiments are conducted to evaluate the applicability and efficiency of our approach. © 2015 IEEE.")</f>
        <v>The analysis of software architecture plays an important role in understanding the system structures and facilitate proper implementation of user requirements. Despite its importance in the software engineering practice, the lack of formal description and verification support in this domain hinders the development of quality architectural models. To tackle this problem, in this work, we develop an approach for modeling and verifying software architectures specified using Monterey Phoenix (MP) architecture description language. MP is capable of modeling system and environment behaviors based on event traces, as well as supporting different architecture composition operations and views. First, we formalize the syntax and operational semantics for MP; therefore, formal verification of MP models is feasible. Second, we extend MP to support shared variables and stochastic characteristics, which not only increases the expressiveness of MP, but also widens the properties MP can check, such as quantitative requirements. Third, a dedicated model checker for MP has been implemented, so that automatic verification of MP models is supported. Finally, several experiments are conducted to evaluate the applicability and efficiency of our approach. © 2015 IEEE.</v>
      </c>
      <c r="H1325" s="7"/>
      <c r="I1325" s="10" t="b">
        <v>0</v>
      </c>
      <c r="J1325" s="10" t="b">
        <v>0</v>
      </c>
      <c r="K1325" s="10" t="b">
        <v>0</v>
      </c>
      <c r="L1325" s="10" t="b">
        <v>0</v>
      </c>
      <c r="M1325" s="10" t="b">
        <v>0</v>
      </c>
      <c r="N1325" s="10" t="b">
        <v>0</v>
      </c>
      <c r="O1325" s="11" t="b">
        <f t="shared" si="1"/>
        <v>0</v>
      </c>
      <c r="P1325" s="16" t="b">
        <v>0</v>
      </c>
      <c r="Q1325" s="7"/>
    </row>
    <row r="1326">
      <c r="A1326" s="5" t="b">
        <v>1</v>
      </c>
      <c r="B1326" s="5" t="s">
        <v>1378</v>
      </c>
      <c r="C1326" s="7" t="str">
        <f>IFERROR(__xludf.DUMMYFUNCTION("""COMPUTED_VALUE"""),"10.1145/3239372.3242894")</f>
        <v>10.1145/3239372.3242894</v>
      </c>
      <c r="D1326" s="7" t="str">
        <f>IFERROR(__xludf.DUMMYFUNCTION("""COMPUTED_VALUE"""),"Petrenko A.")</f>
        <v>Petrenko A.</v>
      </c>
      <c r="E1326" s="7" t="str">
        <f>IFERROR(__xludf.DUMMYFUNCTION("""COMPUTED_VALUE"""),"Towards testing from finite state machines with symbolic inputs and outputs")</f>
        <v>Towards testing from finite state machines with symbolic inputs and outputs</v>
      </c>
      <c r="F1326" s="7" t="str">
        <f>IFERROR(__xludf.DUMMYFUNCTION("""COMPUTED_VALUE"""),"MODELS")</f>
        <v>MODELS</v>
      </c>
      <c r="G1326" s="7" t="str">
        <f>IFERROR(__xludf.DUMMYFUNCTION("""COMPUTED_VALUE"""),"Model based testing approaches are more and more requested by industry which needs to be armed with effective and scalable testing technologies. Testing of safety critical applications often considers insufficient to focus only on code and model coverage."&amp;" These concerns motivate the use of tests focusing on fault coverage. Such tests require fault modeling and fault model driven test generation methods. Fault models are test models which formalize assumptions about implementations under test. There exists"&amp;" a significant body of work devoted to the development of methods which produce tests for a given FSM that guarantee complete coverage of faults, described in a fault model. The theory of checking experiments provides fault model based test methods, where"&amp;" faults are modeled by a universe of FSMs with a given number of states. Checking experiments have already been extended to remove assumptions that a specification Mealy machine need to be reduced, deterministic, and completely specified, while keeping th"&amp;"e input, output and state sets finite. However, practical applications require more extensions to the classical FSM model. These are commonly known as the Extended Finite State Machine (EFSM) models. Various flavors of EFSMs are used in Harel's statechart"&amp;"s, SysML/UML, Simulink/Stateflow, SDL and other modelling languages. Most of the existing work on test generation from an EFSM concentrates on model coverage, which provides no characterization of faults that can be detected by the generated tests. We are"&amp;" not aware of any result on lifting the theory of checking experiments to Extended FSMs. It is one of the main motivations of our work. In this research, we use the model of FSM with symbolic inputs and symbolic outputs, called SIOFSM. The former are pred"&amp;"icates defined over input variables and the latter are output variable valuations computed by assignments on input variables. Both types of variables can have large or even infinite domains. Inclusion of assignments in the model complicates fault detectio"&amp;"n, as different assignments (used for instance in the specification and implementation) may produce the same output valuations for some input valuations. We address this issue by using a transition cover composed of assignment distinguishing symbolic inpu"&amp;"ts on which the assignments produce different outputs. The enhanced transition cover, called an assignment distinguishing transition cover, is then used in enhanced checking experiments. To define symbolic experiments for SIOFSMs we further generalize the"&amp;" equivalence, isomorphism and distinguishability relations, as well as the notions of a distinguishing machine and transition cover to deal with assignments which can result in the same output valuations. This solves the problem of comparing output valuat"&amp;"ions obtained with different assignments for a given symbolic input and allowed to ensure that wrong assignments become detectable. We construct symbolic and concrete checking experiments which detect assignment/output faults and more general transition f"&amp;"aults under certain assumptions. Symbolic input sequences are of interest for white box testing using symbolic execution and constraint solving, while for black box testing, where all inputs and outputs are concrete, concrete input sequences, i.e., instan"&amp;"ces of symbolic sequences, should be used. To the best of our knowledge, this is the first attempt to advance the checking experiment theory to FSM with symbolic inputs and outputs. Our current work concerns constraints hindering further extension of the "&amp;"checking experiment theory to EFSMs with internal (context) variables. We are investigating fault models for which instances of symbolic checking experiments could provide fault coverage guarantees. We are extending a mutation machine-based testing framew"&amp;"ork defined for Mealy machines with the recent test generation methods based on SAT solving to the SIOFSM model. © 2018 Copyright held by the owner/author(s).")</f>
        <v>Model based testing approaches are more and more requested by industry which needs to be armed with effective and scalable testing technologies. Testing of safety critical applications often considers insufficient to focus only on code and model coverage. These concerns motivate the use of tests focusing on fault coverage. Such tests require fault modeling and fault model driven test generation methods. Fault models are test models which formalize assumptions about implementations under test. There exists a significant body of work devoted to the development of methods which produce tests for a given FSM that guarantee complete coverage of faults, described in a fault model. The theory of checking experiments provides fault model based test methods, where faults are modeled by a universe of FSMs with a given number of states. Checking experiments have already been extended to remove assumptions that a specification Mealy machine need to be reduced, deterministic, and completely specified, while keeping the input, output and state sets finite. However, practical applications require more extensions to the classical FSM model. These are commonly known as the Extended Finite State Machine (EFSM) models. Various flavors of EFSMs are used in Harel's statecharts, SysML/UML, Simulink/Stateflow, SDL and other modelling languages. Most of the existing work on test generation from an EFSM concentrates on model coverage, which provides no characterization of faults that can be detected by the generated tests. We are not aware of any result on lifting the theory of checking experiments to Extended FSMs. It is one of the main motivations of our work. In this research, we use the model of FSM with symbolic inputs and symbolic outputs, called SIOFSM. The former are predicates defined over input variables and the latter are output variable valuations computed by assignments on input variables. Both types of variables can have large or even infinite domains. Inclusion of assignments in the model complicates fault detection, as different assignments (used for instance in the specification and implementation) may produce the same output valuations for some input valuations. We address this issue by using a transition cover composed of assignment distinguishing symbolic inputs on which the assignments produce different outputs. The enhanced transition cover, called an assignment distinguishing transition cover, is then used in enhanced checking experiments. To define symbolic experiments for SIOFSMs we further generalize the equivalence, isomorphism and distinguishability relations, as well as the notions of a distinguishing machine and transition cover to deal with assignments which can result in the same output valuations. This solves the problem of comparing output valuations obtained with different assignments for a given symbolic input and allowed to ensure that wrong assignments become detectable. We construct symbolic and concrete checking experiments which detect assignment/output faults and more general transition faults under certain assumptions. Symbolic input sequences are of interest for white box testing using symbolic execution and constraint solving, while for black box testing, where all inputs and outputs are concrete, concrete input sequences, i.e., instances of symbolic sequences, should be used. To the best of our knowledge, this is the first attempt to advance the checking experiment theory to FSM with symbolic inputs and outputs. Our current work concerns constraints hindering further extension of the checking experiment theory to EFSMs with internal (context) variables. We are investigating fault models for which instances of symbolic checking experiments could provide fault coverage guarantees. We are extending a mutation machine-based testing framework defined for Mealy machines with the recent test generation methods based on SAT solving to the SIOFSM model. © 2018 Copyright held by the owner/author(s).</v>
      </c>
      <c r="H1326" s="7" t="str">
        <f>IFERROR(__xludf.DUMMYFUNCTION("""COMPUTED_VALUE"""),"Checking experiments; Conformance testing; Extended Finite State Machines; Fault model based test generation; Finite State Machines; Symbolic au-tomata")</f>
        <v>Checking experiments; Conformance testing; Extended Finite State Machines; Fault model based test generation; Finite State Machines; Symbolic au-tomata</v>
      </c>
      <c r="I1326" s="10" t="b">
        <v>0</v>
      </c>
      <c r="J1326" s="10" t="b">
        <v>0</v>
      </c>
      <c r="K1326" s="10" t="b">
        <v>0</v>
      </c>
      <c r="L1326" s="10" t="b">
        <v>0</v>
      </c>
      <c r="M1326" s="10" t="b">
        <v>0</v>
      </c>
      <c r="N1326" s="10" t="b">
        <v>0</v>
      </c>
      <c r="O1326" s="11" t="b">
        <f t="shared" si="1"/>
        <v>0</v>
      </c>
      <c r="P1326" s="16" t="b">
        <v>0</v>
      </c>
      <c r="Q1326" s="7"/>
    </row>
    <row r="1327">
      <c r="A1327" s="5" t="b">
        <v>1</v>
      </c>
      <c r="B1327" s="5" t="s">
        <v>1379</v>
      </c>
      <c r="C1327" s="7" t="str">
        <f>IFERROR(__xludf.DUMMYFUNCTION("""COMPUTED_VALUE"""),"10.1145/3365438.3410957")</f>
        <v>10.1145/3365438.3410957</v>
      </c>
      <c r="D1327" s="7" t="str">
        <f>IFERROR(__xludf.DUMMYFUNCTION("""COMPUTED_VALUE"""),"Barriga A.; Heldal R.; Iovino L.; Marthinsen M.; Rutle A.")</f>
        <v>Barriga A.; Heldal R.; Iovino L.; Marthinsen M.; Rutle A.</v>
      </c>
      <c r="E1327" s="7" t="str">
        <f>IFERROR(__xludf.DUMMYFUNCTION("""COMPUTED_VALUE"""),"An extensible framework for customizable model repair")</f>
        <v>An extensible framework for customizable model repair</v>
      </c>
      <c r="F1327" s="7" t="str">
        <f>IFERROR(__xludf.DUMMYFUNCTION("""COMPUTED_VALUE"""),"MODELS")</f>
        <v>MODELS</v>
      </c>
      <c r="G1327" s="7" t="str">
        <f>IFERROR(__xludf.DUMMYFUNCTION("""COMPUTED_VALUE"""),"In model-driven software engineering, models are used in all phases of the development process. These models may get broken due to various editions during the modeling process. There are a number of existing tools that reduce the burden of manually dealin"&amp;"g with correctness issues in models, however, most of these tools do not prioritize customization to follow user requirements nor allow the extension of their components to adapt to different model types. In this paper, we present an extensible model repa"&amp;"ir framework which enables users to deal with different types of models and to add their own repair preferences to customize the results. The framework uses customizable learning algorithms to automatically find the best sequence of actions for repairing "&amp;"a broken model according to the user preferences. As an example, we customize the framework by including as a preference a model distance metric, which allows the user to choose a more or less conservative repair. Then, we evaluate how this preference ext"&amp;"ension affects the results of the repair by comparing different distance metric calculations. Our experiment proves that extending the framework makes it more precise and produces models with better quality characteristics. © 2020 ACM.")</f>
        <v>In model-driven software engineering, models are used in all phases of the development process. These models may get broken due to various editions during the modeling process. There are a number of existing tools that reduce the burden of manually dealing with correctness issues in models, however, most of these tools do not prioritize customization to follow user requirements nor allow the extension of their components to adapt to different model types. In this paper, we present an extensible model repair framework which enables users to deal with different types of models and to add their own repair preferences to customize the results. The framework uses customizable learning algorithms to automatically find the best sequence of actions for repairing a broken model according to the user preferences. As an example, we customize the framework by including as a preference a model distance metric, which allows the user to choose a more or less conservative repair. Then, we evaluate how this preference extension affects the results of the repair by comparing different distance metric calculations. Our experiment proves that extending the framework makes it more precise and produces models with better quality characteristics. © 2020 ACM.</v>
      </c>
      <c r="H1327" s="7" t="str">
        <f>IFERROR(__xludf.DUMMYFUNCTION("""COMPUTED_VALUE"""),"model distance; model repair; quality evaluation; reinforcement learning")</f>
        <v>model distance; model repair; quality evaluation; reinforcement learning</v>
      </c>
      <c r="I1327" s="10" t="b">
        <v>0</v>
      </c>
      <c r="J1327" s="10" t="b">
        <v>0</v>
      </c>
      <c r="K1327" s="10" t="b">
        <v>0</v>
      </c>
      <c r="L1327" s="10" t="b">
        <v>0</v>
      </c>
      <c r="M1327" s="10" t="b">
        <v>0</v>
      </c>
      <c r="N1327" s="10" t="b">
        <v>0</v>
      </c>
      <c r="O1327" s="11" t="b">
        <f t="shared" si="1"/>
        <v>0</v>
      </c>
      <c r="P1327" s="16" t="b">
        <v>0</v>
      </c>
      <c r="Q1327" s="7"/>
    </row>
    <row r="1328">
      <c r="A1328" s="5" t="b">
        <v>1</v>
      </c>
      <c r="B1328" s="5" t="s">
        <v>1380</v>
      </c>
      <c r="C1328" s="7" t="str">
        <f>IFERROR(__xludf.DUMMYFUNCTION("""COMPUTED_VALUE"""),"10.1109/MODELS50736.2021.00039")</f>
        <v>10.1109/MODELS50736.2021.00039</v>
      </c>
      <c r="D1328" s="7" t="str">
        <f>IFERROR(__xludf.DUMMYFUNCTION("""COMPUTED_VALUE"""),"Wete E.; Greenyer J.; Wortmann A.; Flegel O.; Klein M.")</f>
        <v>Wete E.; Greenyer J.; Wortmann A.; Flegel O.; Klein M.</v>
      </c>
      <c r="E1328" s="7" t="str">
        <f>IFERROR(__xludf.DUMMYFUNCTION("""COMPUTED_VALUE"""),"Monte Carlo Tree Search and GR(1) Synthesis for Robot Tasks Planning in Automotive Production Lines")</f>
        <v>Monte Carlo Tree Search and GR(1) Synthesis for Robot Tasks Planning in Automotive Production Lines</v>
      </c>
      <c r="F1328" s="7" t="str">
        <f>IFERROR(__xludf.DUMMYFUNCTION("""COMPUTED_VALUE"""),"MODELS")</f>
        <v>MODELS</v>
      </c>
      <c r="G1328" s="7" t="str">
        <f>IFERROR(__xludf.DUMMYFUNCTION("""COMPUTED_VALUE"""),"In automotive production cells, complex processes involving multiple robots must be optimized for cycle time. We investigated using symbolic GR(1) controller synthesis for automating multi-robot task planning. Given a specification of the order of tasks a"&amp;"nd states to avoid, often multiple valid strategies can be computed; in many states there are multiple choices to satisfy the specification, such as choosing different robots to perform a certain task. To determine the best choices under the consideration"&amp;" of movement times and probabilities that robots may be interrupted for repairs or corrections, we combine the execution of the synthesized controller with Monte Carlo Tree Search (MCTS), a heuristic AI-planning technique. The result is a model-at-run-tim"&amp;"e approach that we present by the example of a multi-robot spot welding cell. We report on experiments showing that the approach (1) can reduce cycle times by choosing time-efficient movement sequences and (2) can choose executions that react efficiently "&amp;"to interruptions by choosing to delay tasks that, if an interruption of one robot should occur later, can be reallocated to another robot. Most interestingly, we found, however, that (3) in some cases there is a conflict between time-efficient movement se"&amp;"quences and ones that may react efficiently to probable future interruptions - and when interruption probabilities are low, increasing the time allocated for MCTS, i.e., increasing the number of sample simulations made by MCTS, does not improve cycle time"&amp;".  © 2021 IEEE.")</f>
        <v>In automotive production cells, complex processes involving multiple robots must be optimized for cycle time. We investigated using symbolic GR(1) controller synthesis for automating multi-robot task planning. Given a specification of the order of tasks and states to avoid, often multiple valid strategies can be computed; in many states there are multiple choices to satisfy the specification, such as choosing different robots to perform a certain task. To determine the best choices under the consideration of movement times and probabilities that robots may be interrupted for repairs or corrections, we combine the execution of the synthesized controller with Monte Carlo Tree Search (MCTS), a heuristic AI-planning technique. The result is a model-at-run-time approach that we present by the example of a multi-robot spot welding cell. We report on experiments showing that the approach (1) can reduce cycle times by choosing time-efficient movement sequences and (2) can choose executions that react efficiently to interruptions by choosing to delay tasks that, if an interruption of one robot should occur later, can be reallocated to another robot. Most interestingly, we found, however, that (3) in some cases there is a conflict between time-efficient movement sequences and ones that may react efficiently to probable future interruptions - and when interruption probabilities are low, increasing the time allocated for MCTS, i.e., increasing the number of sample simulations made by MCTS, does not improve cycle time.  © 2021 IEEE.</v>
      </c>
      <c r="H1328" s="7" t="str">
        <f>IFERROR(__xludf.DUMMYFUNCTION("""COMPUTED_VALUE"""),"Monte Carlo Tree Search; Reactive systems; Robot tasks planning")</f>
        <v>Monte Carlo Tree Search; Reactive systems; Robot tasks planning</v>
      </c>
      <c r="I1328" s="10" t="b">
        <v>0</v>
      </c>
      <c r="J1328" s="10" t="b">
        <v>0</v>
      </c>
      <c r="K1328" s="10" t="b">
        <v>0</v>
      </c>
      <c r="L1328" s="10" t="b">
        <v>0</v>
      </c>
      <c r="M1328" s="10" t="b">
        <v>0</v>
      </c>
      <c r="N1328" s="10" t="b">
        <v>0</v>
      </c>
      <c r="O1328" s="11" t="b">
        <f t="shared" si="1"/>
        <v>0</v>
      </c>
      <c r="P1328" s="16" t="b">
        <v>0</v>
      </c>
      <c r="Q1328" s="7"/>
    </row>
    <row r="1329">
      <c r="A1329" s="5" t="b">
        <v>1</v>
      </c>
      <c r="B1329" s="5" t="s">
        <v>1381</v>
      </c>
      <c r="C1329" s="7" t="str">
        <f>IFERROR(__xludf.DUMMYFUNCTION("""COMPUTED_VALUE"""),"10.1109/MSR.2013.6624059")</f>
        <v>10.1109/MSR.2013.6624059</v>
      </c>
      <c r="D1329" s="7" t="str">
        <f>IFERROR(__xludf.DUMMYFUNCTION("""COMPUTED_VALUE"""),"Tsunoda M.; Toda K.; Fushida K.; Kamei Y.; Nagappan M.; Ubayashi N.")</f>
        <v>Tsunoda M.; Toda K.; Fushida K.; Kamei Y.; Nagappan M.; Ubayashi N.</v>
      </c>
      <c r="E1329" s="7" t="str">
        <f>IFERROR(__xludf.DUMMYFUNCTION("""COMPUTED_VALUE"""),"Revisiting software development effort estimation based on early phase development activities")</f>
        <v>Revisiting software development effort estimation based on early phase development activities</v>
      </c>
      <c r="F1329" s="7" t="str">
        <f>IFERROR(__xludf.DUMMYFUNCTION("""COMPUTED_VALUE"""),"MSR")</f>
        <v>MSR</v>
      </c>
      <c r="G1329" s="7" t="str">
        <f>IFERROR(__xludf.DUMMYFUNCTION("""COMPUTED_VALUE"""),"Many research projects on software estimation use software size as a major explanatory variable. However, practitioners sometimes use the ratio of effort for early phase activities such as planning and requirement analysis, to the effort for the whole dev"&amp;"elopment phase of the software in order to estimate effort. In this paper, we focus on effort estimation based on the effort for early phase activities. The goal of the research is to examine the relationship of early phase effort and software size with s"&amp;"oftware development effort. To achieve the goal, we built effort estimation models using early phase effort as an explanatory variable, and compared the estimation accuracies of these models to the effort estimation models based on software size. In addit"&amp;"ion, we built estimation models using both early phase effort and software size. In our experiment, we used ISBSG dataset, which was collected from software development companies, and regarded planning phase effort and requirement analysis effort as early"&amp;" phase effort. The result of the experiment showed that when both software size and sum of planning and requirement analysis phase effort were used as explanatory variables, the estimation accuracy was most improved (Average Balanced Relative Error was im"&amp;"proved to 75.4% from 148.4%). Based on the result, we recommend that both early phase effort and software size be used as explanatory variables, because that combination showed the high accuracy, and did not have multicollinearity issues. © 2013 IEEE.")</f>
        <v>Many research projects on software estimation use software size as a major explanatory variable. However, practitioners sometimes use the ratio of effort for early phase activities such as planning and requirement analysis, to the effort for the whole development phase of the software in order to estimate effort. In this paper, we focus on effort estimation based on the effort for early phase activities. The goal of the research is to examine the relationship of early phase effort and software size with software development effort. To achieve the goal, we built effort estimation models using early phase effort as an explanatory variable, and compared the estimation accuracies of these models to the effort estimation models based on software size. In addition, we built estimation models using both early phase effort and software size. In our experiment, we used ISBSG dataset, which was collected from software development companies, and regarded planning phase effort and requirement analysis effort as early phase effort. The result of the experiment showed that when both software size and sum of planning and requirement analysis phase effort were used as explanatory variables, the estimation accuracy was most improved (Average Balanced Relative Error was improved to 75.4% from 148.4%). Based on the result, we recommend that both early phase effort and software size be used as explanatory variables, because that combination showed the high accuracy, and did not have multicollinearity issues. © 2013 IEEE.</v>
      </c>
      <c r="H1329" s="7" t="str">
        <f>IFERROR(__xludf.DUMMYFUNCTION("""COMPUTED_VALUE"""),"Early phase effort; Effort prediction; Estimation accuracy; Function point; Linear regression analysis")</f>
        <v>Early phase effort; Effort prediction; Estimation accuracy; Function point; Linear regression analysis</v>
      </c>
      <c r="I1329" s="10" t="b">
        <v>0</v>
      </c>
      <c r="J1329" s="10" t="b">
        <v>0</v>
      </c>
      <c r="K1329" s="10" t="b">
        <v>0</v>
      </c>
      <c r="L1329" s="10" t="b">
        <v>0</v>
      </c>
      <c r="M1329" s="10" t="b">
        <v>0</v>
      </c>
      <c r="N1329" s="10" t="b">
        <v>0</v>
      </c>
      <c r="O1329" s="11" t="b">
        <f t="shared" si="1"/>
        <v>0</v>
      </c>
      <c r="P1329" s="16" t="b">
        <v>0</v>
      </c>
      <c r="Q1329" s="7"/>
    </row>
    <row r="1330">
      <c r="A1330" s="5" t="b">
        <v>1</v>
      </c>
      <c r="B1330" s="5" t="s">
        <v>1382</v>
      </c>
      <c r="C1330" s="7" t="str">
        <f>IFERROR(__xludf.DUMMYFUNCTION("""COMPUTED_VALUE"""),"10.1145/1297027.1297069")</f>
        <v>10.1145/1297027.1297069</v>
      </c>
      <c r="D1330" s="7" t="str">
        <f>IFERROR(__xludf.DUMMYFUNCTION("""COMPUTED_VALUE"""),"Feng C.; Roşu G.")</f>
        <v>Feng C.; Roşu G.</v>
      </c>
      <c r="E1330" s="7" t="str">
        <f>IFERROR(__xludf.DUMMYFUNCTION("""COMPUTED_VALUE"""),"MOP: An efficient and generic runtime verification framework")</f>
        <v>MOP: An efficient and generic runtime verification framework</v>
      </c>
      <c r="F1330" s="7" t="str">
        <f>IFERROR(__xludf.DUMMYFUNCTION("""COMPUTED_VALUE"""),"OOPSLA")</f>
        <v>OOPSLA</v>
      </c>
      <c r="G1330" s="7" t="str">
        <f>IFERROR(__xludf.DUMMYFUNCTION("""COMPUTED_VALUE"""),"Monitoring-Oriented Programming (MOP1) [21, 18, 22, 19] is a formal framework for software development and analysis, in which the developer specifies desired properties using definable specification formalisms, along with code to execute when properties a"&amp;"re violated or validated. The MOP framework automatically generates monitors from the specified properties and then integrates them together with the user-defined code into the original system. The previous design of MOP only allowed specifications withou"&amp;"t parameters, so it could not be used to state and monitor safety properties referring to two or more related objects. In this paper we propose a parametric specification-formalism-independent extension of MOP, together with an implementation of JavaMOP t"&amp;"hat supports parameters. In our current implementation, parametric specifications are translated into AspectJ code and then weaved into the application using off-the-shelf AspectJ compilers; hence, MOP specifications can be seen as formal or logical aspec"&amp;"ts. Our JavaMOP implementation was extensively evaluated on two benchmarks, Dacapo [14] and Tracematches [8], showing that runtime verification in general and MOP in particular are feasible. In some of the examples, millions of monitor instances are gener"&amp;"ated, each observing a set of related objects. To keep the runtime overhead of monitoring and event observation low, we devised and implemented a decentralized indexing optimization. Less than 8% of the experiments showed more than 10% runtime overhead; i"&amp;"n most cases our tool generates monitoring code as efficient as the hand-optimized code. Despite its genericity, JavaMOP is empirically shown to be more efficient than runtime verification systems specialized and optimized for particular specification for"&amp;"malisms. Many property violations were detected during our experiments; some of them are benign, others indicate defects in programs. Many of these are subtle and hard to find by ordinary testing. Copyright © 2007 ACM.")</f>
        <v>Monitoring-Oriented Programming (MOP1) [21, 18, 22, 19] is a formal framework for software development and analysis, in which the developer specifies desired properties using definable specification formalisms, along with code to execute when properties are violated or validated. The MOP framework automatically generates monitors from the specified properties and then integrates them together with the user-defined code into the original system. The previous design of MOP only allowed specifications without parameters, so it could not be used to state and monitor safety properties referring to two or more related objects. In this paper we propose a parametric specification-formalism-independent extension of MOP, together with an implementation of JavaMOP that supports parameters. In our current implementation, parametric specifications are translated into AspectJ code and then weaved into the application using off-the-shelf AspectJ compilers; hence, MOP specifications can be seen as formal or logical aspects. Our JavaMOP implementation was extensively evaluated on two benchmarks, Dacapo [14] and Tracematches [8], showing that runtime verification in general and MOP in particular are feasible. In some of the examples, millions of monitor instances are generated, each observing a set of related objects. To keep the runtime overhead of monitoring and event observation low, we devised and implemented a decentralized indexing optimization. Less than 8% of the experiments showed more than 10% runtime overhead; in most cases our tool generates monitoring code as efficient as the hand-optimized code. Despite its genericity, JavaMOP is empirically shown to be more efficient than runtime verification systems specialized and optimized for particular specification formalisms. Many property violations were detected during our experiments; some of them are benign, others indicate defects in programs. Many of these are subtle and hard to find by ordinary testing. Copyright © 2007 ACM.</v>
      </c>
      <c r="H1330" s="7" t="str">
        <f>IFERROR(__xludf.DUMMYFUNCTION("""COMPUTED_VALUE"""),"Aspect-oriented programming; Monitoring-oriented programming; Runtime verification")</f>
        <v>Aspect-oriented programming; Monitoring-oriented programming; Runtime verification</v>
      </c>
      <c r="I1330" s="10" t="b">
        <v>0</v>
      </c>
      <c r="J1330" s="10" t="b">
        <v>0</v>
      </c>
      <c r="K1330" s="10" t="b">
        <v>0</v>
      </c>
      <c r="L1330" s="10" t="b">
        <v>0</v>
      </c>
      <c r="M1330" s="10" t="b">
        <v>0</v>
      </c>
      <c r="N1330" s="10" t="b">
        <v>0</v>
      </c>
      <c r="O1330" s="11" t="b">
        <f t="shared" si="1"/>
        <v>0</v>
      </c>
      <c r="P1330" s="16" t="b">
        <v>0</v>
      </c>
      <c r="Q1330" s="7"/>
    </row>
    <row r="1331">
      <c r="A1331" s="5" t="b">
        <v>1</v>
      </c>
      <c r="B1331" s="5" t="s">
        <v>1383</v>
      </c>
      <c r="C1331" s="7" t="str">
        <f>IFERROR(__xludf.DUMMYFUNCTION("""COMPUTED_VALUE"""),"10.1145/949344.949384")</f>
        <v>10.1145/949344.949384</v>
      </c>
      <c r="D1331" s="7" t="str">
        <f>IFERROR(__xludf.DUMMYFUNCTION("""COMPUTED_VALUE"""),"Soares S.; Borba P.")</f>
        <v>Soares S.; Borba P.</v>
      </c>
      <c r="E1331" s="7" t="str">
        <f>IFERROR(__xludf.DUMMYFUNCTION("""COMPUTED_VALUE"""),"Aspect-oriented implementation method: Progressive or non-progressive approach?")</f>
        <v>Aspect-oriented implementation method: Progressive or non-progressive approach?</v>
      </c>
      <c r="F1331" s="7" t="str">
        <f>IFERROR(__xludf.DUMMYFUNCTION("""COMPUTED_VALUE"""),"OOPSLA")</f>
        <v>OOPSLA</v>
      </c>
      <c r="G1331" s="7" t="str">
        <f>IFERROR(__xludf.DUMMYFUNCTION("""COMPUTED_VALUE"""),"Object-oriented programming languages provide effective means to achieve better reuse and extensibility levels, which increases development productivity. However, the object-oriented paradigm has several limitations, sometimes leading to tangled code and "&amp;"spread code. For example, business code tangled with presentation code or data access code, and distribution, concurrency control, and exception handling code spread over several classes. This decreases readability, and therefore, system maintainability. "&amp;"Some extensions of the object-oriented paradigm try to correct those limitations allowing reuse and maintenance in practical situations where the original paradigm does not offer an adequate support. However, in order to guarantee that those benefits will"&amp;" be achieved by those techniques it is necessary to use them together with an implementation method. Our objective is to adapt and to analyze an object-oriented implementation method to use aspect-oriented programming in order to implement several concern"&amp;"s to a family of object-oriented system. In particular, we are interested in implementing persistence, distribution, and concurrency control aspects. At the moment we are particularly interested to present some results and get feed back about a performed "&amp;"experiment to identify if and when a progressive approach is better than a non-progressive one. In a progressive approach, persistence, distribution, and concurrency control are not initially considered in the implementation activities, but are gradually "&amp;"introduced, preserving the application's functional requirements. This approach helps in dealing with the inherent complexity of the modern applications, through the support to gradual implementations and tests of the intermediate versions of the applicat"&amp;"ion.")</f>
        <v>Object-oriented programming languages provide effective means to achieve better reuse and extensibility levels, which increases development productivity. However, the object-oriented paradigm has several limitations, sometimes leading to tangled code and spread code. For example, business code tangled with presentation code or data access code, and distribution, concurrency control, and exception handling code spread over several classes. This decreases readability, and therefore, system maintainability. Some extensions of the object-oriented paradigm try to correct those limitations allowing reuse and maintenance in practical situations where the original paradigm does not offer an adequate support. However, in order to guarantee that those benefits will be achieved by those techniques it is necessary to use them together with an implementation method. Our objective is to adapt and to analyze an object-oriented implementation method to use aspect-oriented programming in order to implement several concerns to a family of object-oriented system. In particular, we are interested in implementing persistence, distribution, and concurrency control aspects. At the moment we are particularly interested to present some results and get feed back about a performed experiment to identify if and when a progressive approach is better than a non-progressive one. In a progressive approach, persistence, distribution, and concurrency control are not initially considered in the implementation activities, but are gradually introduced, preserving the application's functional requirements. This approach helps in dealing with the inherent complexity of the modern applications, through the support to gradual implementations and tests of the intermediate versions of the application.</v>
      </c>
      <c r="H1331" s="7" t="str">
        <f>IFERROR(__xludf.DUMMYFUNCTION("""COMPUTED_VALUE"""),"Aspect-oriented programming; AspectJ; Implementation method; Java; Progressive implementation; Separation of concerns")</f>
        <v>Aspect-oriented programming; AspectJ; Implementation method; Java; Progressive implementation; Separation of concerns</v>
      </c>
      <c r="I1331" s="10" t="b">
        <v>0</v>
      </c>
      <c r="J1331" s="10" t="b">
        <v>0</v>
      </c>
      <c r="K1331" s="10" t="b">
        <v>0</v>
      </c>
      <c r="L1331" s="10" t="b">
        <v>0</v>
      </c>
      <c r="M1331" s="10" t="b">
        <v>0</v>
      </c>
      <c r="N1331" s="10" t="b">
        <v>0</v>
      </c>
      <c r="O1331" s="11" t="b">
        <f t="shared" si="1"/>
        <v>0</v>
      </c>
      <c r="P1331" s="16" t="b">
        <v>0</v>
      </c>
      <c r="Q1331" s="7"/>
    </row>
    <row r="1332">
      <c r="A1332" s="5" t="b">
        <v>1</v>
      </c>
      <c r="B1332" s="5" t="s">
        <v>1384</v>
      </c>
      <c r="C1332" s="7"/>
      <c r="D1332" s="7" t="str">
        <f>IFERROR(__xludf.DUMMYFUNCTION("""COMPUTED_VALUE"""),"Bastide R.; Palanque P.; Sy O.; Navarre D.")</f>
        <v>Bastide R.; Palanque P.; Sy O.; Navarre D.</v>
      </c>
      <c r="E1332" s="7" t="str">
        <f>IFERROR(__xludf.DUMMYFUNCTION("""COMPUTED_VALUE"""),"Formal specification of CORBA services: Experience and lessons learned")</f>
        <v>Formal specification of CORBA services: Experience and lessons learned</v>
      </c>
      <c r="F1332" s="7" t="str">
        <f>IFERROR(__xludf.DUMMYFUNCTION("""COMPUTED_VALUE"""),"OOPSLA")</f>
        <v>OOPSLA</v>
      </c>
      <c r="G1332" s="7" t="str">
        <f>IFERROR(__xludf.DUMMYFUNCTION("""COMPUTED_VALUE"""),"CORBA is now established as one of the main contenders in object-oriented middleware. Beyond the definition of this standard for distributed object systems, the Object Management Group (OMG) has specified several object services (Common Object Services, C"&amp;"OS) that should foster the interoperability of distributed applications. Based on experiment, the goal of this paper is to show that the OMG's style of specification of the CORBA services is not suited to guarantee that implementers will produce interoper"&amp;"able and substitutable implementations. To illustrate our point, we give an account of an experiment based upon the formal specification of one COS, namely the CORBA Event Service. This formal specification highlights several ambiguities and under-specifi"&amp;"cations in the OMG document. We then test several commercial and public domain implementations of the CORBA Event Service, in order to assess how the implementers have dealt with these under-specifications. We show that the choices made by the implementer"&amp;"s lead to incompatible implementations. We finally suggest a solution to overcome the problem of specification of object services, which satisfies the views of both implementers and users. Specifically, we suggest that the specification of such services b"&amp;"e made using a formal description technique, and that implementers be provided with test cases derived from the formal specification.")</f>
        <v>CORBA is now established as one of the main contenders in object-oriented middleware. Beyond the definition of this standard for distributed object systems, the Object Management Group (OMG) has specified several object services (Common Object Services, COS) that should foster the interoperability of distributed applications. Based on experiment, the goal of this paper is to show that the OMG's style of specification of the CORBA services is not suited to guarantee that implementers will produce interoperable and substitutable implementations. To illustrate our point, we give an account of an experiment based upon the formal specification of one COS, namely the CORBA Event Service. This formal specification highlights several ambiguities and under-specifications in the OMG document. We then test several commercial and public domain implementations of the CORBA Event Service, in order to assess how the implementers have dealt with these under-specifications. We show that the choices made by the implementers lead to incompatible implementations. We finally suggest a solution to overcome the problem of specification of object services, which satisfies the views of both implementers and users. Specifically, we suggest that the specification of such services be made using a formal description technique, and that implementers be provided with test cases derived from the formal specification.</v>
      </c>
      <c r="H1332" s="7" t="str">
        <f>IFERROR(__xludf.DUMMYFUNCTION("""COMPUTED_VALUE"""),"Behavioral specification; CORBA; Distributed systems; High-level Petri nets")</f>
        <v>Behavioral specification; CORBA; Distributed systems; High-level Petri nets</v>
      </c>
      <c r="I1332" s="10" t="b">
        <v>0</v>
      </c>
      <c r="J1332" s="10" t="b">
        <v>0</v>
      </c>
      <c r="K1332" s="10" t="b">
        <v>0</v>
      </c>
      <c r="L1332" s="10" t="b">
        <v>0</v>
      </c>
      <c r="M1332" s="10" t="b">
        <v>0</v>
      </c>
      <c r="N1332" s="10" t="b">
        <v>0</v>
      </c>
      <c r="O1332" s="11" t="b">
        <f t="shared" si="1"/>
        <v>0</v>
      </c>
      <c r="P1332" s="16" t="b">
        <v>0</v>
      </c>
      <c r="Q1332" s="7"/>
    </row>
    <row r="1333">
      <c r="A1333" s="5" t="b">
        <v>1</v>
      </c>
      <c r="B1333" s="5" t="s">
        <v>1385</v>
      </c>
      <c r="C1333" s="7" t="str">
        <f>IFERROR(__xludf.DUMMYFUNCTION("""COMPUTED_VALUE"""),"10.1145/2660193.2660232")</f>
        <v>10.1145/2660193.2660232</v>
      </c>
      <c r="D1333" s="7" t="str">
        <f>IFERROR(__xludf.DUMMYFUNCTION("""COMPUTED_VALUE"""),"Rosner N.; Bengolea V.; Ponzio P.; Khalek S.A.; Aguirre N.; Frias M.F.; Khurshid S.")</f>
        <v>Rosner N.; Bengolea V.; Ponzio P.; Khalek S.A.; Aguirre N.; Frias M.F.; Khurshid S.</v>
      </c>
      <c r="E1333" s="7" t="str">
        <f>IFERROR(__xludf.DUMMYFUNCTION("""COMPUTED_VALUE"""),"Bounded exhaustive test input generation from hybrid invariants")</f>
        <v>Bounded exhaustive test input generation from hybrid invariants</v>
      </c>
      <c r="F1333" s="7" t="str">
        <f>IFERROR(__xludf.DUMMYFUNCTION("""COMPUTED_VALUE"""),"OOPSLA")</f>
        <v>OOPSLA</v>
      </c>
      <c r="G1333" s="7" t="str">
        <f>IFERROR(__xludf.DUMMYFUNCTION("""COMPUTED_VALUE"""),"We present a novel technique for producing bounded exhaustive test suites from hybrid invariants, i.e., invariants that are expressed imperatively, declaratively, or as a combination of declarative and imperative predicates. Hybrid specifications are proc"&amp;"essed using known mechanisms for the imperative and declarative parts, but combined in a way that enables us to exploit information from the declarative side, such as tight bounds computed from the declarative specification, to improve the search both on "&amp;"the imperative and declarative sides. Moreover, our technique automatically evaluates different possible ways of processing the imperative side, and the alternative settings (imperative or declarative) for parts of the invariant available both declarative"&amp;"ly and imperatively, to decide the most convenient invariant configuration with respect to efficiency in test generation. This is achieved by transcoping, i.e., by assessing the efficiency of the different alternatives on small scopes (where generation ti"&amp;"mes are negligible), and then extrapolating the results to larger scopes. Copyright 2014 ACM.; We also show experiments involving collection classes that support the effectiveness of our technique, by demonstrating that (i) bounded exhaustive suites can b"&amp;"e computed from hybrid invariants significantly more efficiently than doing so using state-of-the-art purely imperative and purely declarative approaches, and (ii) our technique is able to automatically determine efficient hybrid invariants, in the sense "&amp;"that they lead to an efficient computation of bounded exhaustive suites, using transcoping.")</f>
        <v>We present a novel technique for producing bounded exhaustive test suites from hybrid invariants, i.e., invariants that are expressed imperatively, declaratively, or as a combination of declarative and imperative predicates. Hybrid specifications are processed using known mechanisms for the imperative and declarative parts, but combined in a way that enables us to exploit information from the declarative side, such as tight bounds computed from the declarative specification, to improve the search both on the imperative and declarative sides. Moreover, our technique automatically evaluates different possible ways of processing the imperative side, and the alternative settings (imperative or declarative) for parts of the invariant available both declaratively and imperatively, to decide the most convenient invariant configuration with respect to efficiency in test generation. This is achieved by transcoping, i.e., by assessing the efficiency of the different alternatives on small scopes (where generation times are negligible), and then extrapolating the results to larger scopes. Copyright 2014 ACM.; We also show experiments involving collection classes that support the effectiveness of our technique, by demonstrating that (i) bounded exhaustive suites can be computed from hybrid invariants significantly more efficiently than doing so using state-of-the-art purely imperative and purely declarative approaches, and (ii) our technique is able to automatically determine efficient hybrid invariants, in the sense that they lead to an efficient computation of bounded exhaustive suites, using transcoping.</v>
      </c>
      <c r="H1333" s="7" t="str">
        <f>IFERROR(__xludf.DUMMYFUNCTION("""COMPUTED_VALUE"""),"Alloy; Automated test generation; Bounded exhaustive testing; Korat; SAT solving; Transcoping")</f>
        <v>Alloy; Automated test generation; Bounded exhaustive testing; Korat; SAT solving; Transcoping</v>
      </c>
      <c r="I1333" s="10" t="b">
        <v>0</v>
      </c>
      <c r="J1333" s="10" t="b">
        <v>0</v>
      </c>
      <c r="K1333" s="10" t="b">
        <v>0</v>
      </c>
      <c r="L1333" s="10" t="b">
        <v>0</v>
      </c>
      <c r="M1333" s="10" t="b">
        <v>0</v>
      </c>
      <c r="N1333" s="10" t="b">
        <v>0</v>
      </c>
      <c r="O1333" s="11" t="b">
        <f t="shared" si="1"/>
        <v>0</v>
      </c>
      <c r="P1333" s="16" t="b">
        <v>0</v>
      </c>
      <c r="Q1333" s="7"/>
    </row>
    <row r="1334">
      <c r="A1334" s="5" t="b">
        <v>1</v>
      </c>
      <c r="B1334" s="5" t="s">
        <v>1386</v>
      </c>
      <c r="C1334" s="7" t="str">
        <f>IFERROR(__xludf.DUMMYFUNCTION("""COMPUTED_VALUE"""),"10.1145/1639950.1640008")</f>
        <v>10.1145/1639950.1640008</v>
      </c>
      <c r="D1334" s="7" t="str">
        <f>IFERROR(__xludf.DUMMYFUNCTION("""COMPUTED_VALUE"""),"Pradel M.")</f>
        <v>Pradel M.</v>
      </c>
      <c r="E1334" s="7" t="str">
        <f>IFERROR(__xludf.DUMMYFUNCTION("""COMPUTED_VALUE"""),"Dynamically inferring, refining, and checking API usage protocols")</f>
        <v>Dynamically inferring, refining, and checking API usage protocols</v>
      </c>
      <c r="F1334" s="7" t="str">
        <f>IFERROR(__xludf.DUMMYFUNCTION("""COMPUTED_VALUE"""),"OOPSLA")</f>
        <v>OOPSLA</v>
      </c>
      <c r="G1334" s="7" t="str">
        <f>IFERROR(__xludf.DUMMYFUNCTION("""COMPUTED_VALUE"""),"Using a set of API methods often requires compliance with a protocol, whose violation can lead to errors in the program. However, most APIs lack explicit and formal definitions of these protocols. We propose a dynamic program analysis for automatically in"&amp;"ferring and refining specifications of correct method call sequences. Our experiments with several Java programs show that we can infer meaningful protocols, such as widely respected programming rules. Furthermore, our analysis finds violations of the inf"&amp;"erred specifications that point out potential bugs to the programmer.")</f>
        <v>Using a set of API methods often requires compliance with a protocol, whose violation can lead to errors in the program. However, most APIs lack explicit and formal definitions of these protocols. We propose a dynamic program analysis for automatically inferring and refining specifications of correct method call sequences. Our experiments with several Java programs show that we can infer meaningful protocols, such as widely respected programming rules. Furthermore, our analysis finds violations of the inferred specifications that point out potential bugs to the programmer.</v>
      </c>
      <c r="H1334" s="7" t="str">
        <f>IFERROR(__xludf.DUMMYFUNCTION("""COMPUTED_VALUE"""),"Runtime verification; Specification mining")</f>
        <v>Runtime verification; Specification mining</v>
      </c>
      <c r="I1334" s="10" t="b">
        <v>0</v>
      </c>
      <c r="J1334" s="10" t="b">
        <v>0</v>
      </c>
      <c r="K1334" s="10" t="b">
        <v>0</v>
      </c>
      <c r="L1334" s="10" t="b">
        <v>0</v>
      </c>
      <c r="M1334" s="10" t="b">
        <v>0</v>
      </c>
      <c r="N1334" s="10" t="b">
        <v>0</v>
      </c>
      <c r="O1334" s="11" t="b">
        <f t="shared" si="1"/>
        <v>0</v>
      </c>
      <c r="P1334" s="16" t="b">
        <v>0</v>
      </c>
      <c r="Q1334" s="7"/>
    </row>
    <row r="1335">
      <c r="A1335" s="5" t="b">
        <v>1</v>
      </c>
      <c r="B1335" s="5" t="s">
        <v>1387</v>
      </c>
      <c r="C1335" s="7" t="str">
        <f>IFERROR(__xludf.DUMMYFUNCTION("""COMPUTED_VALUE"""),"10.1145/2814270.281430")</f>
        <v>10.1145/2814270.281430</v>
      </c>
      <c r="D1335" s="7" t="str">
        <f>IFERROR(__xludf.DUMMYFUNCTION("""COMPUTED_VALUE"""),"López H.A.; Marques E.R.B.; Martins F.; Ng N.; Santos C.; Vasconcelos V.T.; Yoshida N.")</f>
        <v>López H.A.; Marques E.R.B.; Martins F.; Ng N.; Santos C.; Vasconcelos V.T.; Yoshida N.</v>
      </c>
      <c r="E1335" s="7" t="str">
        <f>IFERROR(__xludf.DUMMYFUNCTION("""COMPUTED_VALUE"""),"Protocol-based verification of message-passing parallel programs")</f>
        <v>Protocol-based verification of message-passing parallel programs</v>
      </c>
      <c r="F1335" s="7" t="str">
        <f>IFERROR(__xludf.DUMMYFUNCTION("""COMPUTED_VALUE"""),"OOPSLA")</f>
        <v>OOPSLA</v>
      </c>
      <c r="G1335" s="7" t="str">
        <f>IFERROR(__xludf.DUMMYFUNCTION("""COMPUTED_VALUE"""),"We present ParTypes, a type-based methodology for the verification of Message Passing Interface (MPI) programs written in the C programming language. The aim is to statically verify programs against protocol specifications, enforcing properties such as fi"&amp;"delity and absence of deadlocks. We develop a protocol language based on a dependent type system for message-passing parallel programs, which includes various communication operators, such as point-to-point messages, broadcast, reduce, array scatter and g"&amp;"ather. For the verification of a program against a given protocol, the protocol is first translated into a representation read by VCC, a software verifier for C. We successfully verified several MPI programs in a running time that is independent of the nu"&amp;"mber of processes or other input parameters. This contrasts with alternative techniques, notably model checking and runtime verification, that suffer from the state-explosion problem or that otherwise depend on parameters to the program itself. We experim"&amp;"entally evaluated our approach against state-of-the-art tools for MPI to conclude that our approach offers a scalable solution. © 2015 ACM.")</f>
        <v>We present ParTypes, a type-based methodology for the verification of Message Passing Interface (MPI) programs written in the C programming language. The aim is to statically verify programs against protocol specifications, enforcing properties such as fidelity and absence of deadlocks. We develop a protocol language based on a dependent type system for message-passing parallel programs, which includes various communication operators, such as point-to-point messages, broadcast, reduce, array scatter and gather. For the verification of a program against a given protocol, the protocol is first translated into a representation read by VCC, a software verifier for C. We successfully verified several MPI programs in a running time that is independent of the number of processes or other input parameters. This contrasts with alternative techniques, notably model checking and runtime verification, that suffer from the state-explosion problem or that otherwise depend on parameters to the program itself. We experimentally evaluated our approach against state-of-the-art tools for MPI to conclude that our approach offers a scalable solution. © 2015 ACM.</v>
      </c>
      <c r="H1335" s="7" t="str">
        <f>IFERROR(__xludf.DUMMYFUNCTION("""COMPUTED_VALUE"""),"Dependent types; MPI; Parallel programming; Program verification; Session types")</f>
        <v>Dependent types; MPI; Parallel programming; Program verification; Session types</v>
      </c>
      <c r="I1335" s="10" t="b">
        <v>0</v>
      </c>
      <c r="J1335" s="10" t="b">
        <v>0</v>
      </c>
      <c r="K1335" s="10" t="b">
        <v>0</v>
      </c>
      <c r="L1335" s="10" t="b">
        <v>0</v>
      </c>
      <c r="M1335" s="10" t="b">
        <v>0</v>
      </c>
      <c r="N1335" s="10" t="b">
        <v>0</v>
      </c>
      <c r="O1335" s="11" t="b">
        <f t="shared" si="1"/>
        <v>0</v>
      </c>
      <c r="P1335" s="16" t="b">
        <v>0</v>
      </c>
      <c r="Q1335" s="7"/>
    </row>
    <row r="1336">
      <c r="A1336" s="5" t="b">
        <v>1</v>
      </c>
      <c r="B1336" s="5" t="s">
        <v>1388</v>
      </c>
      <c r="C1336" s="7" t="str">
        <f>IFERROR(__xludf.DUMMYFUNCTION("""COMPUTED_VALUE"""),"10.1145/2814270.2814323")</f>
        <v>10.1145/2814270.2814323</v>
      </c>
      <c r="D1336" s="7" t="str">
        <f>IFERROR(__xludf.DUMMYFUNCTION("""COMPUTED_VALUE"""),"Kuraj I.; Kuncak V.; Jackson D.")</f>
        <v>Kuraj I.; Kuncak V.; Jackson D.</v>
      </c>
      <c r="E1336" s="7" t="str">
        <f>IFERROR(__xludf.DUMMYFUNCTION("""COMPUTED_VALUE"""),"Programming with enumerable sets of structures")</f>
        <v>Programming with enumerable sets of structures</v>
      </c>
      <c r="F1336" s="7" t="str">
        <f>IFERROR(__xludf.DUMMYFUNCTION("""COMPUTED_VALUE"""),"OOPSLA")</f>
        <v>OOPSLA</v>
      </c>
      <c r="G1336" s="7" t="str">
        <f>IFERROR(__xludf.DUMMYFUNCTION("""COMPUTED_VALUE"""),"We present an efficient, modular, and feature-rich framework for automated generation and validation of complex structures, suitable for tasks that explore a large space of structured values. Our framework is capable of exhaustive, incremental, parallel, "&amp;"and memoized enumeration from not only finite but also infinite domains, while providing fine-grained control over the process. Furthermore, the framework efficiently supports the inverse of enumeration (checking whether a structure can be generated and f"&amp;"ast-forwarding to this structure to continue the enumeration) and lazy enumeration (achieving exhaustive testing without generating all structures). The foundation of efficient enumeration lies in both direct access to encoded structures, achieved with we"&amp;"ll-known and new pairing functions, and dependent enumeration, which embeds constraints into the enumeration to avoid backtracking. Our framework defines an algebra of enumerators, with combinators for their composition that preserve exhaustiveness and ef"&amp;"ficiency. We have implemented our framework as a domain-specific language in Scala. Our experiments demonstrate better performance and shorter specifications by up to a few orders of magnitude compared to existing approaches. © 2015 ACM.")</f>
        <v>We present an efficient, modular, and feature-rich framework for automated generation and validation of complex structures, suitable for tasks that explore a large space of structured values. Our framework is capable of exhaustive, incremental, parallel, and memoized enumeration from not only finite but also infinite domains, while providing fine-grained control over the process. Furthermore, the framework efficiently supports the inverse of enumeration (checking whether a structure can be generated and fast-forwarding to this structure to continue the enumeration) and lazy enumeration (achieving exhaustive testing without generating all structures). The foundation of efficient enumeration lies in both direct access to encoded structures, achieved with well-known and new pairing functions, and dependent enumeration, which embeds constraints into the enumeration to avoid backtracking. Our framework defines an algebra of enumerators, with combinators for their composition that preserve exhaustiveness and efficiency. We have implemented our framework as a domain-specific language in Scala. Our experiments demonstrate better performance and shorter specifications by up to a few orders of magnitude compared to existing approaches. © 2015 ACM.</v>
      </c>
      <c r="H1336" s="7" t="str">
        <f>IFERROR(__xludf.DUMMYFUNCTION("""COMPUTED_VALUE"""),"Algebra; Data generation; Dependent enumeration; DSL; Exhaustive testing; Invariant; Lazy evaluation; Pairing function; Program inversion; Random testing; SciFe")</f>
        <v>Algebra; Data generation; Dependent enumeration; DSL; Exhaustive testing; Invariant; Lazy evaluation; Pairing function; Program inversion; Random testing; SciFe</v>
      </c>
      <c r="I1336" s="10" t="b">
        <v>0</v>
      </c>
      <c r="J1336" s="10" t="b">
        <v>0</v>
      </c>
      <c r="K1336" s="10" t="b">
        <v>0</v>
      </c>
      <c r="L1336" s="10" t="b">
        <v>0</v>
      </c>
      <c r="M1336" s="10" t="b">
        <v>0</v>
      </c>
      <c r="N1336" s="10" t="b">
        <v>0</v>
      </c>
      <c r="O1336" s="11" t="b">
        <f t="shared" si="1"/>
        <v>0</v>
      </c>
      <c r="P1336" s="16" t="b">
        <v>0</v>
      </c>
      <c r="Q1336" s="7"/>
    </row>
    <row r="1337">
      <c r="A1337" s="5" t="b">
        <v>1</v>
      </c>
      <c r="B1337" s="5" t="s">
        <v>1389</v>
      </c>
      <c r="C1337" s="7" t="str">
        <f>IFERROR(__xludf.DUMMYFUNCTION("""COMPUTED_VALUE"""),"10.1145/1094855.1094967")</f>
        <v>10.1145/1094855.1094967</v>
      </c>
      <c r="D1337" s="7" t="str">
        <f>IFERROR(__xludf.DUMMYFUNCTION("""COMPUTED_VALUE"""),"Artzi S.; Ernst M.D.")</f>
        <v>Artzi S.; Ernst M.D.</v>
      </c>
      <c r="E1337" s="7" t="str">
        <f>IFERROR(__xludf.DUMMYFUNCTION("""COMPUTED_VALUE"""),"Using predicate fields in a highly flexible industrial control system")</f>
        <v>Using predicate fields in a highly flexible industrial control system</v>
      </c>
      <c r="F1337" s="7" t="str">
        <f>IFERROR(__xludf.DUMMYFUNCTION("""COMPUTED_VALUE"""),"OOPSLA")</f>
        <v>OOPSLA</v>
      </c>
      <c r="G1337" s="7" t="str">
        <f>IFERROR(__xludf.DUMMYFUNCTION("""COMPUTED_VALUE"""),"Predicate fields allow an object's structure to vary at runtime based on the object's state: a predicate field is present or not, depending on the values of other fields. Predicate fields and related concepts have not previously been evaluated outside a r"&amp;"esearch environment. We present a case study of two industrial applications with similar requirements, one of which uses predicate fields and one of which does not. The use of predicate fields was motivated by requirements for high flexibility, by unavail"&amp;"ability of many requirements, and by high user interface development costs. Despite an implementation of predicate fields as a library (rather than as a language extension), developers found them natural to use, and in many cases they significantly reduce"&amp;"d development effort. © 2005 ACM.")</f>
        <v>Predicate fields allow an object's structure to vary at runtime based on the object's state: a predicate field is present or not, depending on the values of other fields. Predicate fields and related concepts have not previously been evaluated outside a research environment. We present a case study of two industrial applications with similar requirements, one of which uses predicate fields and one of which does not. The use of predicate fields was motivated by requirements for high flexibility, by unavailability of many requirements, and by high user interface development costs. Despite an implementation of predicate fields as a library (rather than as a language extension), developers found them natural to use, and in many cases they significantly reduced development effort. © 2005 ACM.</v>
      </c>
      <c r="H1337" s="7" t="str">
        <f>IFERROR(__xludf.DUMMYFUNCTION("""COMPUTED_VALUE"""),"classifiers; experimental control system; predicate fields; predicates; structure; user interface development")</f>
        <v>classifiers; experimental control system; predicate fields; predicates; structure; user interface development</v>
      </c>
      <c r="I1337" s="9" t="b">
        <v>1</v>
      </c>
      <c r="J1337" s="9" t="b">
        <v>1</v>
      </c>
      <c r="K1337" s="9" t="b">
        <v>1</v>
      </c>
      <c r="L1337" s="10" t="b">
        <v>0</v>
      </c>
      <c r="M1337" s="10" t="b">
        <v>0</v>
      </c>
      <c r="N1337" s="10" t="b">
        <v>0</v>
      </c>
      <c r="O1337" s="11" t="b">
        <f t="shared" si="1"/>
        <v>1</v>
      </c>
      <c r="P1337" s="12" t="b">
        <v>0</v>
      </c>
      <c r="Q1337" s="13"/>
    </row>
    <row r="1338">
      <c r="A1338" s="5" t="b">
        <v>1</v>
      </c>
      <c r="B1338" s="5" t="s">
        <v>1390</v>
      </c>
      <c r="C1338" s="7" t="str">
        <f>IFERROR(__xludf.DUMMYFUNCTION("""COMPUTED_VALUE"""),"10.1145/949344.949383")</f>
        <v>10.1145/949344.949383</v>
      </c>
      <c r="D1338" s="7" t="str">
        <f>IFERROR(__xludf.DUMMYFUNCTION("""COMPUTED_VALUE"""),"Da Silva V.T.; De Lucena C.J.P.")</f>
        <v>Da Silva V.T.; De Lucena C.J.P.</v>
      </c>
      <c r="E1338" s="7" t="str">
        <f>IFERROR(__xludf.DUMMYFUNCTION("""COMPUTED_VALUE"""),"MAS-ML: A multi-agent system modeling language")</f>
        <v>MAS-ML: A multi-agent system modeling language</v>
      </c>
      <c r="F1338" s="7" t="str">
        <f>IFERROR(__xludf.DUMMYFUNCTION("""COMPUTED_VALUE"""),"OOPSLA")</f>
        <v>OOPSLA</v>
      </c>
      <c r="G1338" s="7" t="str">
        <f>IFERROR(__xludf.DUMMYFUNCTION("""COMPUTED_VALUE"""),"A multi-agent system modeling language (MAS-ML) that extends the UML (Unified Modeling Language) is proposed here based on a conceptual framework (metamodel) called TAO (Taming Agents and Objects). The most important difference between our approach and ot"&amp;"hers presented in the literature is our clear definition and representation of the abstractions and behavioral features that compose MASs. Extensive experimentation is being used to access the expressiveness of models represented in MASML and the ease to "&amp;"implement a multi-agent system from a specification expressed in our notation.")</f>
        <v>A multi-agent system modeling language (MAS-ML) that extends the UML (Unified Modeling Language) is proposed here based on a conceptual framework (metamodel) called TAO (Taming Agents and Objects). The most important difference between our approach and others presented in the literature is our clear definition and representation of the abstractions and behavioral features that compose MASs. Extensive experimentation is being used to access the expressiveness of models represented in MASML and the ease to implement a multi-agent system from a specification expressed in our notation.</v>
      </c>
      <c r="H1338" s="7" t="str">
        <f>IFERROR(__xludf.DUMMYFUNCTION("""COMPUTED_VALUE"""),"Conceptual framework; Modeling language; Multi-agent system")</f>
        <v>Conceptual framework; Modeling language; Multi-agent system</v>
      </c>
      <c r="I1338" s="10" t="b">
        <v>0</v>
      </c>
      <c r="J1338" s="10" t="b">
        <v>0</v>
      </c>
      <c r="K1338" s="10" t="b">
        <v>0</v>
      </c>
      <c r="L1338" s="10" t="b">
        <v>0</v>
      </c>
      <c r="M1338" s="10" t="b">
        <v>0</v>
      </c>
      <c r="N1338" s="10" t="b">
        <v>0</v>
      </c>
      <c r="O1338" s="11" t="b">
        <f t="shared" si="1"/>
        <v>0</v>
      </c>
      <c r="P1338" s="16" t="b">
        <v>0</v>
      </c>
      <c r="Q1338" s="7"/>
    </row>
    <row r="1339">
      <c r="A1339" s="5" t="b">
        <v>1</v>
      </c>
      <c r="B1339" s="5" t="s">
        <v>1391</v>
      </c>
      <c r="C1339" s="7" t="str">
        <f>IFERROR(__xludf.DUMMYFUNCTION("""COMPUTED_VALUE"""),"10.1145/38765.38813")</f>
        <v>10.1145/38765.38813</v>
      </c>
      <c r="D1339" s="7" t="str">
        <f>IFERROR(__xludf.DUMMYFUNCTION("""COMPUTED_VALUE"""),"Diederich J.; Milton J.")</f>
        <v>Diederich J.; Milton J.</v>
      </c>
      <c r="E1339" s="7" t="str">
        <f>IFERROR(__xludf.DUMMYFUNCTION("""COMPUTED_VALUE"""),"An object-oriented design system shell")</f>
        <v>An object-oriented design system shell</v>
      </c>
      <c r="F1339" s="7" t="str">
        <f>IFERROR(__xludf.DUMMYFUNCTION("""COMPUTED_VALUE"""),"OOPSLA")</f>
        <v>OOPSLA</v>
      </c>
      <c r="G1339" s="7" t="str">
        <f>IFERROR(__xludf.DUMMYFUNCTION("""COMPUTED_VALUE"""),"We present a design system shell which can be used to experiment with principles of design and be used as a design tool where complex layers of information need to be specified about objects, such as in database design. The shell can be tailored to a vari"&amp;"ety of application areas. It is object-oriented in its implementation and structure. Objects and messages are used as the specification language. The basic ingredients of a rule-based production system are provided, with rules treated as objects and defin"&amp;"ed independently of the classes to which they are applied. © 1987 ACM.")</f>
        <v>We present a design system shell which can be used to experiment with principles of design and be used as a design tool where complex layers of information need to be specified about objects, such as in database design. The shell can be tailored to a variety of application areas. It is object-oriented in its implementation and structure. Objects and messages are used as the specification language. The basic ingredients of a rule-based production system are provided, with rules treated as objects and defined independently of the classes to which they are applied. © 1987 ACM.</v>
      </c>
      <c r="H1339" s="7"/>
      <c r="I1339" s="10" t="b">
        <v>0</v>
      </c>
      <c r="J1339" s="10" t="b">
        <v>0</v>
      </c>
      <c r="K1339" s="10" t="b">
        <v>0</v>
      </c>
      <c r="L1339" s="10" t="b">
        <v>0</v>
      </c>
      <c r="M1339" s="10" t="b">
        <v>0</v>
      </c>
      <c r="N1339" s="10" t="b">
        <v>0</v>
      </c>
      <c r="O1339" s="11" t="b">
        <f t="shared" si="1"/>
        <v>0</v>
      </c>
      <c r="P1339" s="16" t="b">
        <v>0</v>
      </c>
      <c r="Q1339" s="7"/>
    </row>
    <row r="1340">
      <c r="A1340" s="5" t="b">
        <v>1</v>
      </c>
      <c r="B1340" s="5" t="s">
        <v>1392</v>
      </c>
      <c r="C1340" s="7" t="str">
        <f>IFERROR(__xludf.DUMMYFUNCTION("""COMPUTED_VALUE"""),"10.1145/1449814.1449868")</f>
        <v>10.1145/1449814.1449868</v>
      </c>
      <c r="D1340" s="7" t="str">
        <f>IFERROR(__xludf.DUMMYFUNCTION("""COMPUTED_VALUE"""),"Bruegge B.; Stangl H.; Reiss M.")</f>
        <v>Bruegge B.; Stangl H.; Reiss M.</v>
      </c>
      <c r="E1340" s="7" t="str">
        <f>IFERROR(__xludf.DUMMYFUNCTION("""COMPUTED_VALUE"""),"An experiment in teaching innovation in software engineering : Video presentation")</f>
        <v>An experiment in teaching innovation in software engineering : Video presentation</v>
      </c>
      <c r="F1340" s="7" t="str">
        <f>IFERROR(__xludf.DUMMYFUNCTION("""COMPUTED_VALUE"""),"OOPSLA")</f>
        <v>OOPSLA</v>
      </c>
      <c r="G1340" s="7" t="str">
        <f>IFERROR(__xludf.DUMMYFUNCTION("""COMPUTED_VALUE"""),"The DOLLI project was a large-scale educational student project course with a real customer, offered to students in their second year. In the time frame of a single semester a functional system was developed and delivered to the customer. We experimented "&amp;"with a shift from a traditional lifecycle to an agile process during the project, and used video techniques for defining requirements and meeting capture.")</f>
        <v>The DOLLI project was a large-scale educational student project course with a real customer, offered to students in their second year. In the time frame of a single semester a functional system was developed and delivered to the customer. We experimented with a shift from a traditional lifecycle to an agile process during the project, and used video techniques for defining requirements and meeting capture.</v>
      </c>
      <c r="H1340" s="7" t="str">
        <f>IFERROR(__xludf.DUMMYFUNCTION("""COMPUTED_VALUE"""),"Scenariobased design; Single project course; Teaching software engineering; Video-based requirements engineering")</f>
        <v>Scenariobased design; Single project course; Teaching software engineering; Video-based requirements engineering</v>
      </c>
      <c r="I1340" s="9" t="b">
        <v>1</v>
      </c>
      <c r="J1340" s="10" t="b">
        <v>0</v>
      </c>
      <c r="K1340" s="9" t="b">
        <v>1</v>
      </c>
      <c r="L1340" s="10" t="b">
        <v>0</v>
      </c>
      <c r="M1340" s="10" t="b">
        <v>0</v>
      </c>
      <c r="N1340" s="10" t="b">
        <v>0</v>
      </c>
      <c r="O1340" s="11" t="b">
        <f t="shared" si="1"/>
        <v>0</v>
      </c>
      <c r="P1340" s="16" t="b">
        <v>0</v>
      </c>
      <c r="Q1340" s="7"/>
    </row>
    <row r="1341">
      <c r="A1341" s="5" t="b">
        <v>1</v>
      </c>
      <c r="B1341" s="5" t="s">
        <v>1393</v>
      </c>
      <c r="C1341" s="7" t="str">
        <f>IFERROR(__xludf.DUMMYFUNCTION("""COMPUTED_VALUE"""),"10.1145/10.1145/2660193.2660231")</f>
        <v>10.1145/10.1145/2660193.2660231</v>
      </c>
      <c r="D1341" s="7" t="str">
        <f>IFERROR(__xludf.DUMMYFUNCTION("""COMPUTED_VALUE"""),"Misailovic S.; Carbin M.; Achour S.; Qi Z.; Rinard M.")</f>
        <v>Misailovic S.; Carbin M.; Achour S.; Qi Z.; Rinard M.</v>
      </c>
      <c r="E1341" s="7" t="str">
        <f>IFERROR(__xludf.DUMMYFUNCTION("""COMPUTED_VALUE"""),"Chisel: Reliability-and accuracy-aware optimization of approximate computational kernels")</f>
        <v>Chisel: Reliability-and accuracy-aware optimization of approximate computational kernels</v>
      </c>
      <c r="F1341" s="7" t="str">
        <f>IFERROR(__xludf.DUMMYFUNCTION("""COMPUTED_VALUE"""),"OOPSLA")</f>
        <v>OOPSLA</v>
      </c>
      <c r="G1341" s="7" t="str">
        <f>IFERROR(__xludf.DUMMYFUNCTION("""COMPUTED_VALUE"""),"The accuracy of an approximate computation is the distance between the result that the computation produces and the corresponding fully accurate result. The reliability of the computation is the probability that it will produce an acceptably accurate resu"&amp;"lt. Emerging approximate hardware platforms provide approximate operations that, in return for reduced energy consumption and/or increased performance, exhibit reduced reliability and/or accuracy. Copyright 2014 ACM.; We present Chisel, a system for relia"&amp;"bility-and accuracyaware optimization of approximate computational kernels that run on approximate hardware platforms. Given a combined reliability and/or accuracy specification, Chisel automatically selects approximate kernel operations to synthesize an "&amp;"approximate computation that minimizes energy consumption while satisfying its reliability and accuracy specification.; We evaluate Chisel on five applications from the image processing, scientific computing, and financial analysis domains. The experiment"&amp;"al results showthat our implemented optimization algorithm enables Chisel to optimize our set of benchmark kernels to obtain energy savings from 8.7% to 19.8% compared to the original (exact) kernel implementations while preserving important reliability g"&amp;"uarantees.")</f>
        <v>The accuracy of an approximate computation is the distance between the result that the computation produces and the corresponding fully accurate result. The reliability of the computation is the probability that it will produce an acceptably accurate result. Emerging approximate hardware platforms provide approximate operations that, in return for reduced energy consumption and/or increased performance, exhibit reduced reliability and/or accuracy. Copyright 2014 ACM.; We present Chisel, a system for reliability-and accuracyaware optimization of approximate computational kernels that run on approximate hardware platforms. Given a combined reliability and/or accuracy specification, Chisel automatically selects approximate kernel operations to synthesize an approximate computation that minimizes energy consumption while satisfying its reliability and accuracy specification.; We evaluate Chisel on five applications from the image processing, scientific computing, and financial analysis domains. The experimental results showthat our implemented optimization algorithm enables Chisel to optimize our set of benchmark kernels to obtain energy savings from 8.7% to 19.8% compared to the original (exact) kernel implementations while preserving important reliability guarantees.</v>
      </c>
      <c r="H1341" s="7" t="str">
        <f>IFERROR(__xludf.DUMMYFUNCTION("""COMPUTED_VALUE"""),"Approximate Computing")</f>
        <v>Approximate Computing</v>
      </c>
      <c r="I1341" s="10" t="b">
        <v>0</v>
      </c>
      <c r="J1341" s="10" t="b">
        <v>0</v>
      </c>
      <c r="K1341" s="10" t="b">
        <v>0</v>
      </c>
      <c r="L1341" s="10" t="b">
        <v>0</v>
      </c>
      <c r="M1341" s="10" t="b">
        <v>0</v>
      </c>
      <c r="N1341" s="10" t="b">
        <v>0</v>
      </c>
      <c r="O1341" s="11" t="b">
        <f t="shared" si="1"/>
        <v>0</v>
      </c>
      <c r="P1341" s="16" t="b">
        <v>0</v>
      </c>
      <c r="Q1341" s="7"/>
    </row>
    <row r="1342">
      <c r="A1342" s="5" t="b">
        <v>1</v>
      </c>
      <c r="B1342" s="5" t="s">
        <v>1394</v>
      </c>
      <c r="C1342" s="7" t="str">
        <f>IFERROR(__xludf.DUMMYFUNCTION("""COMPUTED_VALUE"""),"10.1145/2384616.2384624")</f>
        <v>10.1145/2384616.2384624</v>
      </c>
      <c r="D1342" s="7" t="str">
        <f>IFERROR(__xludf.DUMMYFUNCTION("""COMPUTED_VALUE"""),"Schiller T.W.; Ernst M.D.")</f>
        <v>Schiller T.W.; Ernst M.D.</v>
      </c>
      <c r="E1342" s="7" t="str">
        <f>IFERROR(__xludf.DUMMYFUNCTION("""COMPUTED_VALUE"""),"Reducing the barriers to writing verified specifications")</f>
        <v>Reducing the barriers to writing verified specifications</v>
      </c>
      <c r="F1342" s="7" t="str">
        <f>IFERROR(__xludf.DUMMYFUNCTION("""COMPUTED_VALUE"""),"OOPSLA")</f>
        <v>OOPSLA</v>
      </c>
      <c r="G1342" s="7" t="str">
        <f>IFERROR(__xludf.DUMMYFUNCTION("""COMPUTED_VALUE"""),"Formally verifying a program requires significant skill not only because of complex interactions between program subcomponents, but also because of deficiencies in current verification interfaces. These skill barriers make verification economically unattr"&amp;"active by preventing the use of lessskilled (less-expensive) workers and distributed workflows (i.e., crowdsourcing). This paper presents VeriWeb, a web-based IDE for verification that decomposes the task of writing verifiable specifications into manageab"&amp;"le subproblems. To overcome the information loss caused by task decomposition, and to reduce the skill required to verify a program, VeriWeb incorporates several innovative user interface features: drag and drop condition construction, concrete counterexa"&amp;"mples, and specification inlining. To evaluate VeriWeb, we performed three experiments. First, we show that VeriWeb lowers the time and monetary cost of verification by performing a comparative study of VeriWeb and a traditional tool using 14 paid subject"&amp;"s contracted hourly from Exhedra Solution's vWorker online marketplace. Second, we demonstrate the dearth and insufficiency of current ad-hoc labor marketplaces for verification by recruiting workers from Amazon's Mechanical Turk to perform verification w"&amp;"ith VeriWeb. Finally, we characterize the minimal communication overhead incurred when Veri- Web is used collaboratively by observing two pairs of developers each use the tool simultaneously to verify a single program.")</f>
        <v>Formally verifying a program requires significant skill not only because of complex interactions between program subcomponents, but also because of deficiencies in current verification interfaces. These skill barriers make verification economically unattractive by preventing the use of lessskilled (less-expensive) workers and distributed workflows (i.e., crowdsourcing). This paper presents VeriWeb, a web-based IDE for verification that decomposes the task of writing verifiable specifications into manageable subproblems. To overcome the information loss caused by task decomposition, and to reduce the skill required to verify a program, VeriWeb incorporates several innovative user interface features: drag and drop condition construction, concrete counterexamples, and specification inlining. To evaluate VeriWeb, we performed three experiments. First, we show that VeriWeb lowers the time and monetary cost of verification by performing a comparative study of VeriWeb and a traditional tool using 14 paid subjects contracted hourly from Exhedra Solution's vWorker online marketplace. Second, we demonstrate the dearth and insufficiency of current ad-hoc labor marketplaces for verification by recruiting workers from Amazon's Mechanical Turk to perform verification with VeriWeb. Finally, we characterize the minimal communication overhead incurred when Veri- Web is used collaboratively by observing two pairs of developers each use the tool simultaneously to verify a single program.</v>
      </c>
      <c r="H1342" s="7" t="str">
        <f>IFERROR(__xludf.DUMMYFUNCTION("""COMPUTED_VALUE"""),"Crowdsourcing; Human factors; Program verification")</f>
        <v>Crowdsourcing; Human factors; Program verification</v>
      </c>
      <c r="I1342" s="9" t="b">
        <v>1</v>
      </c>
      <c r="J1342" s="10" t="b">
        <v>0</v>
      </c>
      <c r="K1342" s="9" t="b">
        <v>1</v>
      </c>
      <c r="L1342" s="10" t="b">
        <v>0</v>
      </c>
      <c r="M1342" s="10" t="b">
        <v>0</v>
      </c>
      <c r="N1342" s="10" t="b">
        <v>0</v>
      </c>
      <c r="O1342" s="11" t="b">
        <f t="shared" si="1"/>
        <v>0</v>
      </c>
      <c r="P1342" s="12" t="b">
        <v>0</v>
      </c>
      <c r="Q1342" s="13" t="s">
        <v>1395</v>
      </c>
    </row>
    <row r="1343">
      <c r="A1343" s="5" t="b">
        <v>1</v>
      </c>
      <c r="B1343" s="5" t="s">
        <v>1396</v>
      </c>
      <c r="C1343" s="7" t="str">
        <f>IFERROR(__xludf.DUMMYFUNCTION("""COMPUTED_VALUE"""),"10.1145/2048066.2048145")</f>
        <v>10.1145/2048066.2048145</v>
      </c>
      <c r="D1343" s="7" t="str">
        <f>IFERROR(__xludf.DUMMYFUNCTION("""COMPUTED_VALUE"""),"Sridharan M.; Artzi S.; Pistoia M.; Guarnieri S.; Tripp O.; Berg R.")</f>
        <v>Sridharan M.; Artzi S.; Pistoia M.; Guarnieri S.; Tripp O.; Berg R.</v>
      </c>
      <c r="E1343" s="7" t="str">
        <f>IFERROR(__xludf.DUMMYFUNCTION("""COMPUTED_VALUE"""),"F4F: Taint analysis of framework-based web applications")</f>
        <v>F4F: Taint analysis of framework-based web applications</v>
      </c>
      <c r="F1343" s="7" t="str">
        <f>IFERROR(__xludf.DUMMYFUNCTION("""COMPUTED_VALUE"""),"OOPSLA")</f>
        <v>OOPSLA</v>
      </c>
      <c r="G1343" s="7" t="str">
        <f>IFERROR(__xludf.DUMMYFUNCTION("""COMPUTED_VALUE"""),"This paper presents F4F (Framework For Frameworks), a system for effective taint analysis of framework-based web applications. Most modern web applications utilize one or more web frameworks, which provide useful abstractions for common functionality. Due"&amp;" to extensive use of reflective language constructs in framework implementations, existing static taint analyses are often ineffective when applied to framework-based applications. While previous work has included ad hoc support for certain framework cons"&amp;"tructs, adding support for a large number of frameworks in this manner does not scale from an engineering standpoint. F4F employs an initial analysis pass in which both application code and configuration files are processed to generate a specification of "&amp;"framework-related behaviors. A taint analysis engine can leverage these specifications to perform a much deeper, more precise analysis of framework-based applications. Our specification language has only a small number of simple but powerful constructs, e"&amp;"asing analysis engine integration. With this architecture, new frameworks can be handled with no changes to the core analysis engine, yielding significant engineering benefits. We implemented specification generators for several web frameworks and added F"&amp;"4F support to a state-of-the-art taint-analysis engine. In an experimental evaluation, the taint analysis enhanced with F4F discovered 525 new issues across nine benchmarks, a harmonic mean of 2.10X more issues per benchmark. Furthermore, manual inspectio"&amp;"n of a subset of the new issues showed that many were exploitable or reflected bad security practice. Copyright is held by the author / owner(s).")</f>
        <v>This paper presents F4F (Framework For Frameworks), a system for effective taint analysis of framework-based web applications. Most modern web applications utilize one or more web frameworks, which provide useful abstractions for common functionality. Due to extensive use of reflective language constructs in framework implementations, existing static taint analyses are often ineffective when applied to framework-based applications. While previous work has included ad hoc support for certain framework constructs, adding support for a large number of frameworks in this manner does not scale from an engineering standpoint. F4F employs an initial analysis pass in which both application code and configuration files are processed to generate a specification of framework-related behaviors. A taint analysis engine can leverage these specifications to perform a much deeper, more precise analysis of framework-based applications. Our specification language has only a small number of simple but powerful constructs, easing analysis engine integration. With this architecture, new frameworks can be handled with no changes to the core analysis engine, yielding significant engineering benefits. We implemented specification generators for several web frameworks and added F4F support to a state-of-the-art taint-analysis engine. In an experimental evaluation, the taint analysis enhanced with F4F discovered 525 new issues across nine benchmarks, a harmonic mean of 2.10X more issues per benchmark. Furthermore, manual inspection of a subset of the new issues showed that many were exploitable or reflected bad security practice. Copyright is held by the author / owner(s).</v>
      </c>
      <c r="H1343" s="7" t="str">
        <f>IFERROR(__xludf.DUMMYFUNCTION("""COMPUTED_VALUE"""),"Languages; Security")</f>
        <v>Languages; Security</v>
      </c>
      <c r="I1343" s="10" t="b">
        <v>0</v>
      </c>
      <c r="J1343" s="10" t="b">
        <v>0</v>
      </c>
      <c r="K1343" s="10" t="b">
        <v>0</v>
      </c>
      <c r="L1343" s="10" t="b">
        <v>0</v>
      </c>
      <c r="M1343" s="10" t="b">
        <v>0</v>
      </c>
      <c r="N1343" s="10" t="b">
        <v>0</v>
      </c>
      <c r="O1343" s="11" t="b">
        <f t="shared" si="1"/>
        <v>0</v>
      </c>
      <c r="P1343" s="16" t="b">
        <v>0</v>
      </c>
      <c r="Q1343" s="7"/>
    </row>
    <row r="1344">
      <c r="A1344" s="5" t="b">
        <v>1</v>
      </c>
      <c r="B1344" s="5" t="s">
        <v>1397</v>
      </c>
      <c r="C1344" s="7" t="str">
        <f>IFERROR(__xludf.DUMMYFUNCTION("""COMPUTED_VALUE"""),"10.1145/217838.217851")</f>
        <v>10.1145/217838.217851</v>
      </c>
      <c r="D1344" s="7" t="str">
        <f>IFERROR(__xludf.DUMMYFUNCTION("""COMPUTED_VALUE"""),"Driesen K.; Hölzle U.")</f>
        <v>Driesen K.; Hölzle U.</v>
      </c>
      <c r="E1344" s="7" t="str">
        <f>IFERROR(__xludf.DUMMYFUNCTION("""COMPUTED_VALUE"""),"Minimizing row displacement dispatch tables")</f>
        <v>Minimizing row displacement dispatch tables</v>
      </c>
      <c r="F1344" s="7" t="str">
        <f>IFERROR(__xludf.DUMMYFUNCTION("""COMPUTED_VALUE"""),"OOPSLA")</f>
        <v>OOPSLA</v>
      </c>
      <c r="G1344" s="7" t="str">
        <f>IFERROR(__xludf.DUMMYFUNCTION("""COMPUTED_VALUE"""),"Row displacement dispatch tables implement message dispatching for dynamically-typed languages with a run time overhead of one memory indirection plus an equality test. The technique is similar to virtual function table lookup, which is, however, restrict"&amp;"ed to statically typed languages like C++. We show how to reduce the space requirements of dispatch tables to approximately the same size as virtual function tables. The scheme is then generalized for multiple inheritance. Experiments on a number of class"&amp;" libraries from five different languages demonstrate that the technique is effective for a broad range of programs. Finally, we discuss optimizations of the row displacement algorithm that allow dispatch table construction of these large samples to take p"&amp;"lace in a few seconds. © 1995 ACM.")</f>
        <v>Row displacement dispatch tables implement message dispatching for dynamically-typed languages with a run time overhead of one memory indirection plus an equality test. The technique is similar to virtual function table lookup, which is, however, restricted to statically typed languages like C++. We show how to reduce the space requirements of dispatch tables to approximately the same size as virtual function tables. The scheme is then generalized for multiple inheritance. Experiments on a number of class libraries from five different languages demonstrate that the technique is effective for a broad range of programs. Finally, we discuss optimizations of the row displacement algorithm that allow dispatch table construction of these large samples to take place in a few seconds. © 1995 ACM.</v>
      </c>
      <c r="H1344" s="7"/>
      <c r="I1344" s="10" t="b">
        <v>0</v>
      </c>
      <c r="J1344" s="10" t="b">
        <v>0</v>
      </c>
      <c r="K1344" s="10" t="b">
        <v>0</v>
      </c>
      <c r="L1344" s="10" t="b">
        <v>0</v>
      </c>
      <c r="M1344" s="10" t="b">
        <v>0</v>
      </c>
      <c r="N1344" s="10" t="b">
        <v>0</v>
      </c>
      <c r="O1344" s="11" t="b">
        <f t="shared" si="1"/>
        <v>0</v>
      </c>
      <c r="P1344" s="16" t="b">
        <v>0</v>
      </c>
      <c r="Q1344" s="7"/>
    </row>
    <row r="1345">
      <c r="A1345" s="5" t="b">
        <v>1</v>
      </c>
      <c r="B1345" s="5" t="s">
        <v>1398</v>
      </c>
      <c r="C1345" s="7"/>
      <c r="D1345" s="7"/>
      <c r="E1345" s="7" t="str">
        <f>IFERROR(__xludf.DUMMYFUNCTION("""COMPUTED_VALUE"""),"OOPSLA'10 - Proceedings of the 2010 ACM SIGPLAN Conference on Object Oriented Programming, Systems, Languages, and Applications")</f>
        <v>OOPSLA'10 - Proceedings of the 2010 ACM SIGPLAN Conference on Object Oriented Programming, Systems, Languages, and Applications</v>
      </c>
      <c r="F1345" s="7" t="str">
        <f>IFERROR(__xludf.DUMMYFUNCTION("""COMPUTED_VALUE"""),"OOPSLA")</f>
        <v>OOPSLA</v>
      </c>
      <c r="G1345" s="7" t="str">
        <f>IFERROR(__xludf.DUMMYFUNCTION("""COMPUTED_VALUE"""),"The proceedings contain 60 papers. The topics discussed include: efficient modular glass box software model checking; an experiment about static and dynamic type systems: doubts about the positive impact of static type systems on development time; a simpl"&amp;"e inductive synthesis methodology and its applications; a domain-specific approach to architecturing error handling in pervasive computing; G-finder: routing programming questions closer to the experts; agility in context; an input-centric paradigm for pr"&amp;"ogram dynamic optimizations; composable specifications for structured shared-memory communication; scalable and systematic detection of buggy inconsistencies in source code; cross-language, type-safe, and transparent object sharing for co-located managed "&amp;"runtimes; instrumentation and sampling strategies for cooperative concurrency bug isolation; what can the GC compute efficiently? a language for heap assertions at GC time; and monitor optimization via stutter-equivalent loop transformation.")</f>
        <v>The proceedings contain 60 papers. The topics discussed include: efficient modular glass box software model checking; an experiment about static and dynamic type systems: doubts about the positive impact of static type systems on development time; a simple inductive synthesis methodology and its applications; a domain-specific approach to architecturing error handling in pervasive computing; G-finder: routing programming questions closer to the experts; agility in context; an input-centric paradigm for program dynamic optimizations; composable specifications for structured shared-memory communication; scalable and systematic detection of buggy inconsistencies in source code; cross-language, type-safe, and transparent object sharing for co-located managed runtimes; instrumentation and sampling strategies for cooperative concurrency bug isolation; what can the GC compute efficiently? a language for heap assertions at GC time; and monitor optimization via stutter-equivalent loop transformation.</v>
      </c>
      <c r="H1345" s="7"/>
      <c r="I1345" s="10" t="b">
        <v>0</v>
      </c>
      <c r="J1345" s="10" t="b">
        <v>0</v>
      </c>
      <c r="K1345" s="10" t="b">
        <v>0</v>
      </c>
      <c r="L1345" s="10" t="b">
        <v>0</v>
      </c>
      <c r="M1345" s="10" t="b">
        <v>0</v>
      </c>
      <c r="N1345" s="10" t="b">
        <v>0</v>
      </c>
      <c r="O1345" s="11" t="b">
        <f t="shared" si="1"/>
        <v>0</v>
      </c>
      <c r="P1345" s="16" t="b">
        <v>0</v>
      </c>
      <c r="Q1345" s="7"/>
    </row>
    <row r="1346">
      <c r="A1346" s="5" t="b">
        <v>1</v>
      </c>
      <c r="B1346" s="5" t="s">
        <v>1399</v>
      </c>
      <c r="C1346" s="7" t="str">
        <f>IFERROR(__xludf.DUMMYFUNCTION("""COMPUTED_VALUE"""),"10.1145/1297846.1297968")</f>
        <v>10.1145/1297846.1297968</v>
      </c>
      <c r="D1346" s="7" t="str">
        <f>IFERROR(__xludf.DUMMYFUNCTION("""COMPUTED_VALUE"""),"Bell P.")</f>
        <v>Bell P.</v>
      </c>
      <c r="E1346" s="7" t="str">
        <f>IFERROR(__xludf.DUMMYFUNCTION("""COMPUTED_VALUE"""),"A practical high volume software product line")</f>
        <v>A practical high volume software product line</v>
      </c>
      <c r="F1346" s="7" t="str">
        <f>IFERROR(__xludf.DUMMYFUNCTION("""COMPUTED_VALUE"""),"OOPSLA")</f>
        <v>OOPSLA</v>
      </c>
      <c r="G1346" s="7" t="str">
        <f>IFERROR(__xludf.DUMMYFUNCTION("""COMPUTED_VALUE"""),"Many Software Product Line case studies focus on the fact that an ROI can be achieved in 3-5 projects. This paper asks the question ""what has to be done differently to be able to generate 10,000 custom applications a year?"" As wholesalers of custom web "&amp;"applications for Small to Medium Sized Businesses, we have to create highly customizable web applications in minutes - not months. After 18 months of research and experimentation we have developed a layered system that focuses on the reuse of declarative "&amp;"executable specifications rather than the reuse of imperative code, allowing us to blend speed of development with flexibility of the generated solutions. The system uses a feature modeler to select common functionality and a decision support system to de"&amp;"-skill the customization process. It has a collection of domain specific languages for describing the vast majority of custom functionality required by our clients and an extensible framework allowing any system functionality to be overloaded/extended usi"&amp;"ng custom code if necessary. In this paper we provide an introduction to the key theoretical concepts required to understand the system. We then introduce our domain specific languages for describing web applications. We then look at the process of buildi"&amp;"ng applications using SystemsForge and then we highlight our conclusions to date and document some of the outstanding issues that we are still investigating relating to managing domain specific language evolution and interactions.")</f>
        <v>Many Software Product Line case studies focus on the fact that an ROI can be achieved in 3-5 projects. This paper asks the question "what has to be done differently to be able to generate 10,000 custom applications a year?" As wholesalers of custom web applications for Small to Medium Sized Businesses, we have to create highly customizable web applications in minutes - not months. After 18 months of research and experimentation we have developed a layered system that focuses on the reuse of declarative executable specifications rather than the reuse of imperative code, allowing us to blend speed of development with flexibility of the generated solutions. The system uses a feature modeler to select common functionality and a decision support system to de-skill the customization process. It has a collection of domain specific languages for describing the vast majority of custom functionality required by our clients and an extensible framework allowing any system functionality to be overloaded/extended using custom code if necessary. In this paper we provide an introduction to the key theoretical concepts required to understand the system. We then introduce our domain specific languages for describing web applications. We then look at the process of building applications using SystemsForge and then we highlight our conclusions to date and document some of the outstanding issues that we are still investigating relating to managing domain specific language evolution and interactions.</v>
      </c>
      <c r="H1346" s="7" t="str">
        <f>IFERROR(__xludf.DUMMYFUNCTION("""COMPUTED_VALUE"""),"Architecture; Configuration management; Domain specific language; Experience; Feature modeling; Language oriented programming; Practitioner report; Software product line")</f>
        <v>Architecture; Configuration management; Domain specific language; Experience; Feature modeling; Language oriented programming; Practitioner report; Software product line</v>
      </c>
      <c r="I1346" s="10" t="b">
        <v>0</v>
      </c>
      <c r="J1346" s="10" t="b">
        <v>0</v>
      </c>
      <c r="K1346" s="10" t="b">
        <v>0</v>
      </c>
      <c r="L1346" s="10" t="b">
        <v>0</v>
      </c>
      <c r="M1346" s="10" t="b">
        <v>0</v>
      </c>
      <c r="N1346" s="10" t="b">
        <v>0</v>
      </c>
      <c r="O1346" s="11" t="b">
        <f t="shared" si="1"/>
        <v>0</v>
      </c>
      <c r="P1346" s="16" t="b">
        <v>0</v>
      </c>
      <c r="Q1346" s="7"/>
    </row>
    <row r="1347">
      <c r="A1347" s="5" t="b">
        <v>1</v>
      </c>
      <c r="B1347" s="5" t="s">
        <v>1400</v>
      </c>
      <c r="C1347" s="7" t="str">
        <f>IFERROR(__xludf.DUMMYFUNCTION("""COMPUTED_VALUE"""),"10.1145/1176617.1176746")</f>
        <v>10.1145/1176617.1176746</v>
      </c>
      <c r="D1347" s="7" t="str">
        <f>IFERROR(__xludf.DUMMYFUNCTION("""COMPUTED_VALUE"""),"Cook W.R.; Greene R.; Linskey P.; Meijer E.; Rugg K.; Russell C.; Walker B.; Wittig C.")</f>
        <v>Cook W.R.; Greene R.; Linskey P.; Meijer E.; Rugg K.; Russell C.; Walker B.; Wittig C.</v>
      </c>
      <c r="E1347" s="7" t="str">
        <f>IFERROR(__xludf.DUMMYFUNCTION("""COMPUTED_VALUE"""),"Objects and databases: State of the union in 2006")</f>
        <v>Objects and databases: State of the union in 2006</v>
      </c>
      <c r="F1347" s="7" t="str">
        <f>IFERROR(__xludf.DUMMYFUNCTION("""COMPUTED_VALUE"""),"OOPSLA")</f>
        <v>OOPSLA</v>
      </c>
      <c r="G1347" s="7" t="str">
        <f>IFERROR(__xludf.DUMMYFUNCTION("""COMPUTED_VALUE"""),"While object-oriented programming and high-performance databases are now mainstream, programmers continue to struggle with persistent storage of objects. Juggling object persistence with requirements for simplicity, flexibility, maintainability, transpare"&amp;"ncy, scalability and five-nines uptime can rattle even the most hardened architect.It has been 10 years since the last panel on objects and databases at OOPSLA. Solutions are still evolving rapidly and increasing in complexity, with no end in sight. At th"&amp;"e same time developers continue to experiment with alternatives, both old and new. This panel will discuss the state of the union between objects and databases, as seen from the trenches, with focus on current trends in object-oriented databases and objec"&amp;"t-relational mapping.")</f>
        <v>While object-oriented programming and high-performance databases are now mainstream, programmers continue to struggle with persistent storage of objects. Juggling object persistence with requirements for simplicity, flexibility, maintainability, transparency, scalability and five-nines uptime can rattle even the most hardened architect.It has been 10 years since the last panel on objects and databases at OOPSLA. Solutions are still evolving rapidly and increasing in complexity, with no end in sight. At the same time developers continue to experiment with alternatives, both old and new. This panel will discuss the state of the union between objects and databases, as seen from the trenches, with focus on current trends in object-oriented databases and object-relational mapping.</v>
      </c>
      <c r="H1347" s="7" t="str">
        <f>IFERROR(__xludf.DUMMYFUNCTION("""COMPUTED_VALUE"""),"Databases; Object-oriented programming; Panel")</f>
        <v>Databases; Object-oriented programming; Panel</v>
      </c>
      <c r="I1347" s="10" t="b">
        <v>0</v>
      </c>
      <c r="J1347" s="10" t="b">
        <v>0</v>
      </c>
      <c r="K1347" s="10" t="b">
        <v>0</v>
      </c>
      <c r="L1347" s="10" t="b">
        <v>0</v>
      </c>
      <c r="M1347" s="10" t="b">
        <v>0</v>
      </c>
      <c r="N1347" s="10" t="b">
        <v>0</v>
      </c>
      <c r="O1347" s="11" t="b">
        <f t="shared" si="1"/>
        <v>0</v>
      </c>
      <c r="P1347" s="16" t="b">
        <v>0</v>
      </c>
      <c r="Q1347" s="7"/>
    </row>
    <row r="1348">
      <c r="A1348" s="5" t="b">
        <v>1</v>
      </c>
      <c r="B1348" s="5" t="s">
        <v>1401</v>
      </c>
      <c r="C1348" s="7" t="str">
        <f>IFERROR(__xludf.DUMMYFUNCTION("""COMPUTED_VALUE"""),"10.1145/1297027.1297031")</f>
        <v>10.1145/1297027.1297031</v>
      </c>
      <c r="D1348" s="7" t="str">
        <f>IFERROR(__xludf.DUMMYFUNCTION("""COMPUTED_VALUE"""),"Gang T.; Morrisett G.")</f>
        <v>Gang T.; Morrisett G.</v>
      </c>
      <c r="E1348" s="7" t="str">
        <f>IFERROR(__xludf.DUMMYFUNCTION("""COMPUTED_VALUE"""),"ILEA: Inter-language analysis across java and C")</f>
        <v>ILEA: Inter-language analysis across java and C</v>
      </c>
      <c r="F1348" s="7" t="str">
        <f>IFERROR(__xludf.DUMMYFUNCTION("""COMPUTED_VALUE"""),"OOPSLA")</f>
        <v>OOPSLA</v>
      </c>
      <c r="G1348" s="7" t="str">
        <f>IFERROR(__xludf.DUMMYFUNCTION("""COMPUTED_VALUE"""),"Java bug finders perform static analysis to find implementation mistakes that can lead to exploits and failures; Java compilers perform static analysis for optimization. If Java programs contain foreign function calls to C libraries, however, static analy"&amp;"sis is forced to make either optimistic or pessimistic assumptions about the foreign function calls, since models of the C libraries are typically not available. We propose ILEA (stands for Inter-LanguagE Analysis), which is a framework that enables exist"&amp;"ing Java analyses to understand the behavior of C code. Our framework includes: (1) a novel specification language, which extends the Java Virtual Machine Language (JVML) with a few primitives that approximate the effects that the C code might have; (2) a"&amp;"n automatic specification extractor, which builds models of the C code. Comparing to other possible specification languages, our language is expressive, yet facilitates construction of automatic specification extractors. Furthermore, because the specifica"&amp;"tion language is based on the JVML, existing Java analyses can be easily migrated to utilize specifications in the language. We also demonstrate the utility of the specifications generated, by modifying an existing nonnull analysis to identify null-relate"&amp;"d bugs in Java applications that contain C libraries. Our preliminary experiments identified dozens of null-related bugs. Copyright © 2007 ACM.")</f>
        <v>Java bug finders perform static analysis to find implementation mistakes that can lead to exploits and failures; Java compilers perform static analysis for optimization. If Java programs contain foreign function calls to C libraries, however, static analysis is forced to make either optimistic or pessimistic assumptions about the foreign function calls, since models of the C libraries are typically not available. We propose ILEA (stands for Inter-LanguagE Analysis), which is a framework that enables existing Java analyses to understand the behavior of C code. Our framework includes: (1) a novel specification language, which extends the Java Virtual Machine Language (JVML) with a few primitives that approximate the effects that the C code might have; (2) an automatic specification extractor, which builds models of the C code. Comparing to other possible specification languages, our language is expressive, yet facilitates construction of automatic specification extractors. Furthermore, because the specification language is based on the JVML, existing Java analyses can be easily migrated to utilize specifications in the language. We also demonstrate the utility of the specifications generated, by modifying an existing nonnull analysis to identify null-related bugs in Java applications that contain C libraries. Our preliminary experiments identified dozens of null-related bugs. Copyright © 2007 ACM.</v>
      </c>
      <c r="H1348" s="7" t="str">
        <f>IFERROR(__xludf.DUMMYFUNCTION("""COMPUTED_VALUE"""),"Inter-language analysis; Java native interface; JNI; JVML; Specification extraction")</f>
        <v>Inter-language analysis; Java native interface; JNI; JVML; Specification extraction</v>
      </c>
      <c r="I1348" s="10" t="b">
        <v>0</v>
      </c>
      <c r="J1348" s="10" t="b">
        <v>0</v>
      </c>
      <c r="K1348" s="10" t="b">
        <v>0</v>
      </c>
      <c r="L1348" s="10" t="b">
        <v>0</v>
      </c>
      <c r="M1348" s="10" t="b">
        <v>0</v>
      </c>
      <c r="N1348" s="10" t="b">
        <v>0</v>
      </c>
      <c r="O1348" s="11" t="b">
        <f t="shared" si="1"/>
        <v>0</v>
      </c>
      <c r="P1348" s="16" t="b">
        <v>0</v>
      </c>
      <c r="Q1348" s="7"/>
    </row>
    <row r="1349">
      <c r="A1349" s="5" t="b">
        <v>1</v>
      </c>
      <c r="B1349" s="5" t="s">
        <v>1402</v>
      </c>
      <c r="C1349" s="7" t="str">
        <f>IFERROR(__xludf.DUMMYFUNCTION("""COMPUTED_VALUE"""),"10.1145/2048066.2048096")</f>
        <v>10.1145/2048066.2048096</v>
      </c>
      <c r="D1349" s="7" t="str">
        <f>IFERROR(__xludf.DUMMYFUNCTION("""COMPUTED_VALUE"""),"David C.; Chin W.-N.")</f>
        <v>David C.; Chin W.-N.</v>
      </c>
      <c r="E1349" s="7" t="str">
        <f>IFERROR(__xludf.DUMMYFUNCTION("""COMPUTED_VALUE"""),"Immutable specifications for more concise and precise verification")</f>
        <v>Immutable specifications for more concise and precise verification</v>
      </c>
      <c r="F1349" s="7" t="str">
        <f>IFERROR(__xludf.DUMMYFUNCTION("""COMPUTED_VALUE"""),"OOPSLA")</f>
        <v>OOPSLA</v>
      </c>
      <c r="G1349" s="7" t="str">
        <f>IFERROR(__xludf.DUMMYFUNCTION("""COMPUTED_VALUE"""),"In the current work, we investigate the benefits of immutability guarantees for allowing more flexible handling of aliasing, as well as more precise and concise specifications. Our approach supports finer levels of control that can mark data structures as"&amp;" being immutable through the use of immutability annotations. By using such annotations to encode immutability guarantees, we expect to obtain better specifications that can more accurately describe the intentions, as well as prohibitions, of the method. "&amp;"Ultimately, our goal is improving the precision of the verification process, as well as making the specifications more readable, more precise and as an enforceable program documentation.We have designed and implemented a new entailment procedure to formal"&amp;"ly and automatically reason about immutability enhanced specifications. We have also formalised the soundness for our new procedure through an operational semantics with mutability assertions on the heap. Lastly, we have carried out a set of experiments t"&amp;"o both validate and affirm the utility of our current proposal on immutability enhanced specification mechanism. Copyright is held by the author / owner(s).")</f>
        <v>In the current work, we investigate the benefits of immutability guarantees for allowing more flexible handling of aliasing, as well as more precise and concise specifications. Our approach supports finer levels of control that can mark data structures as being immutable through the use of immutability annotations. By using such annotations to encode immutability guarantees, we expect to obtain better specifications that can more accurately describe the intentions, as well as prohibitions, of the method. Ultimately, our goal is improving the precision of the verification process, as well as making the specifications more readable, more precise and as an enforceable program documentation.We have designed and implemented a new entailment procedure to formally and automatically reason about immutability enhanced specifications. We have also formalised the soundness for our new procedure through an operational semantics with mutability assertions on the heap. Lastly, we have carried out a set of experiments to both validate and affirm the utility of our current proposal on immutability enhanced specification mechanism. Copyright is held by the author / owner(s).</v>
      </c>
      <c r="H1349" s="7" t="str">
        <f>IFERROR(__xludf.DUMMYFUNCTION("""COMPUTED_VALUE"""),"Languages; Verification")</f>
        <v>Languages; Verification</v>
      </c>
      <c r="I1349" s="10" t="b">
        <v>0</v>
      </c>
      <c r="J1349" s="10" t="b">
        <v>0</v>
      </c>
      <c r="K1349" s="10" t="b">
        <v>0</v>
      </c>
      <c r="L1349" s="10" t="b">
        <v>0</v>
      </c>
      <c r="M1349" s="10" t="b">
        <v>0</v>
      </c>
      <c r="N1349" s="10" t="b">
        <v>0</v>
      </c>
      <c r="O1349" s="11" t="b">
        <f t="shared" si="1"/>
        <v>0</v>
      </c>
      <c r="P1349" s="16" t="b">
        <v>0</v>
      </c>
      <c r="Q1349" s="7"/>
    </row>
    <row r="1350">
      <c r="A1350" s="5" t="b">
        <v>1</v>
      </c>
      <c r="B1350" s="5" t="s">
        <v>1403</v>
      </c>
      <c r="C1350" s="7" t="str">
        <f>IFERROR(__xludf.DUMMYFUNCTION("""COMPUTED_VALUE"""),"10.1145/2983990.2984006")</f>
        <v>10.1145/2983990.2984006</v>
      </c>
      <c r="D1350" s="7" t="str">
        <f>IFERROR(__xludf.DUMMYFUNCTION("""COMPUTED_VALUE"""),"Srinivasan V.; Sharma T.; Reps T.")</f>
        <v>Srinivasan V.; Sharma T.; Reps T.</v>
      </c>
      <c r="E1350" s="7" t="str">
        <f>IFERROR(__xludf.DUMMYFUNCTION("""COMPUTED_VALUE"""),"Speeding up machine-code synthesis")</f>
        <v>Speeding up machine-code synthesis</v>
      </c>
      <c r="F1350" s="7" t="str">
        <f>IFERROR(__xludf.DUMMYFUNCTION("""COMPUTED_VALUE"""),"OOPSLA")</f>
        <v>OOPSLA</v>
      </c>
      <c r="G1350" s="7" t="str">
        <f>IFERROR(__xludf.DUMMYFUNCTION("""COMPUTED_VALUE"""),"Machine-code synthesis is the problem of searching for an instruction sequence that implements a semantic specification, given as a formula in quantifier-free bit-vector logic (QFBV). Instruction sets like Intel's IA-32 have around 43,000 unique instructi"&amp;"on schemas; this huge instruction pool, along with the exponential cost inherent in enumerative synthesis, results in an enormous search space for a machine-code synthesizer: even for relatively small specifications, the synthesizer might take several hou"&amp;"rs or days to find an implementation. In this paper, we present several improvements to the algorithms used in a state-of-the-art machine-code synthesizer MCSYNTH. In addition to a novel pruning heuristic, our improvements incorporate a number of ideas kn"&amp;"own from the literature, which we adapt in novel ways for the purpose of speeding up machine-code synthesis. Our experiments for Intel's IA-32 instruction set show that our improvements enable synthesis of code for 12 out of 14 formulas on which MCSYNTH t"&amp;"imes out, speeding up the synthesis time by at least 1981X, and for the remaining formulas, speeds up synthesis by 3X. © 2016 ACM.")</f>
        <v>Machine-code synthesis is the problem of searching for an instruction sequence that implements a semantic specification, given as a formula in quantifier-free bit-vector logic (QFBV). Instruction sets like Intel's IA-32 have around 43,000 unique instruction schemas; this huge instruction pool, along with the exponential cost inherent in enumerative synthesis, results in an enormous search space for a machine-code synthesizer: even for relatively small specifications, the synthesizer might take several hours or days to find an implementation. In this paper, we present several improvements to the algorithms used in a state-of-the-art machine-code synthesizer MCSYNTH. In addition to a novel pruning heuristic, our improvements incorporate a number of ideas known from the literature, which we adapt in novel ways for the purpose of speeding up machine-code synthesis. Our experiments for Intel's IA-32 instruction set show that our improvements enable synthesis of code for 12 out of 14 formulas on which MCSYNTH times out, speeding up the synthesis time by at least 1981X, and for the remaining formulas, speeds up synthesis by 3X. © 2016 ACM.</v>
      </c>
      <c r="H1350" s="7" t="str">
        <f>IFERROR(__xludf.DUMMYFUNCTION("""COMPUTED_VALUE"""),"Flattening deep terms; Flow independence; IA-32 instruction set; Machine-code synthesis; Move-to-front heuristic; Pruning heuristics")</f>
        <v>Flattening deep terms; Flow independence; IA-32 instruction set; Machine-code synthesis; Move-to-front heuristic; Pruning heuristics</v>
      </c>
      <c r="I1350" s="10" t="b">
        <v>0</v>
      </c>
      <c r="J1350" s="10" t="b">
        <v>0</v>
      </c>
      <c r="K1350" s="10" t="b">
        <v>0</v>
      </c>
      <c r="L1350" s="10" t="b">
        <v>0</v>
      </c>
      <c r="M1350" s="10" t="b">
        <v>0</v>
      </c>
      <c r="N1350" s="10" t="b">
        <v>0</v>
      </c>
      <c r="O1350" s="11" t="b">
        <f t="shared" si="1"/>
        <v>0</v>
      </c>
      <c r="P1350" s="16" t="b">
        <v>0</v>
      </c>
      <c r="Q1350" s="7"/>
    </row>
    <row r="1351">
      <c r="A1351" s="5" t="b">
        <v>1</v>
      </c>
      <c r="B1351" s="5" t="s">
        <v>1404</v>
      </c>
      <c r="C1351" s="7" t="str">
        <f>IFERROR(__xludf.DUMMYFUNCTION("""COMPUTED_VALUE"""),"10.1145/2509136.2509516")</f>
        <v>10.1145/2509136.2509516</v>
      </c>
      <c r="D1351" s="7" t="str">
        <f>IFERROR(__xludf.DUMMYFUNCTION("""COMPUTED_VALUE"""),"Herhut S.; Hudson R.L.; Shpeisman T.; Sreeram J.")</f>
        <v>Herhut S.; Hudson R.L.; Shpeisman T.; Sreeram J.</v>
      </c>
      <c r="E1351" s="7" t="str">
        <f>IFERROR(__xludf.DUMMYFUNCTION("""COMPUTED_VALUE"""),"River trail: A path to parallelism in javascript")</f>
        <v>River trail: A path to parallelism in javascript</v>
      </c>
      <c r="F1351" s="7" t="str">
        <f>IFERROR(__xludf.DUMMYFUNCTION("""COMPUTED_VALUE"""),"OOPSLA")</f>
        <v>OOPSLA</v>
      </c>
      <c r="G1351" s="7" t="str">
        <f>IFERROR(__xludf.DUMMYFUNCTION("""COMPUTED_VALUE"""),"JavaScript is the most popular language on the web and is a crucial component of HTML5 applications and services that run on consumer platforms ranging from desktops to phones. However, despite ample amount of hardware parallelism available to web applica"&amp;"tions on such platforms, JavaScript web applications remain predominantly sequential. Common parallel programming solutions accepted by other programming languages failed to transfer themselves to JavaScript due to differences in programming models, the a"&amp;"dditional requirements of the web and different developer expectations. In this paper we present River Trail - A parallel programming model and API for JavaScript that provides safe, portable, programmer-friendly, deterministic parallelism to JavaScript a"&amp;"pplications. River Trail allows web applications to effectively utilize multiple cores, vector instructions, and GPUs on client platforms while allowing the web developer to remain within the environment of JavaScript.We describe the implementation of the"&amp;" River Trail compiler and runtime and present experimental results that show the impact of River Trail on performance and scalability for a variety of realistic HTML5 applications. Our experiments show that River Trail has a dramatic positive impact on ov"&amp;"erall performance and responsiveness of computationally intense Java- Script based applications achieving up to 33.6 times speedup for kernels and up to 11.8 times speedup for realistic web applications compared to sequential JavaScript. Moreover, River T"&amp;"rail enables new interactive web usages that are simply not even possible with standard sequential JavaScript. Copyright © 2013 ACM.")</f>
        <v>JavaScript is the most popular language on the web and is a crucial component of HTML5 applications and services that run on consumer platforms ranging from desktops to phones. However, despite ample amount of hardware parallelism available to web applications on such platforms, JavaScript web applications remain predominantly sequential. Common parallel programming solutions accepted by other programming languages failed to transfer themselves to JavaScript due to differences in programming models, the additional requirements of the web and different developer expectations. In this paper we present River Trail - A parallel programming model and API for JavaScript that provides safe, portable, programmer-friendly, deterministic parallelism to JavaScript applications. River Trail allows web applications to effectively utilize multiple cores, vector instructions, and GPUs on client platforms while allowing the web developer to remain within the environment of JavaScript.We describe the implementation of the River Trail compiler and runtime and present experimental results that show the impact of River Trail on performance and scalability for a variety of realistic HTML5 applications. Our experiments show that River Trail has a dramatic positive impact on overall performance and responsiveness of computationally intense Java- Script based applications achieving up to 33.6 times speedup for kernels and up to 11.8 times speedup for realistic web applications compared to sequential JavaScript. Moreover, River Trail enables new interactive web usages that are simply not even possible with standard sequential JavaScript. Copyright © 2013 ACM.</v>
      </c>
      <c r="H1351" s="7" t="str">
        <f>IFERROR(__xludf.DUMMYFUNCTION("""COMPUTED_VALUE"""),"Javascript; Parallelism")</f>
        <v>Javascript; Parallelism</v>
      </c>
      <c r="I1351" s="10" t="b">
        <v>0</v>
      </c>
      <c r="J1351" s="10" t="b">
        <v>0</v>
      </c>
      <c r="K1351" s="10" t="b">
        <v>0</v>
      </c>
      <c r="L1351" s="10" t="b">
        <v>0</v>
      </c>
      <c r="M1351" s="10" t="b">
        <v>0</v>
      </c>
      <c r="N1351" s="10" t="b">
        <v>0</v>
      </c>
      <c r="O1351" s="11" t="b">
        <f t="shared" si="1"/>
        <v>0</v>
      </c>
      <c r="P1351" s="16" t="b">
        <v>0</v>
      </c>
      <c r="Q1351" s="7"/>
    </row>
    <row r="1352">
      <c r="A1352" s="5" t="b">
        <v>1</v>
      </c>
      <c r="B1352" s="5" t="s">
        <v>1405</v>
      </c>
      <c r="C1352" s="7" t="str">
        <f>IFERROR(__xludf.DUMMYFUNCTION("""COMPUTED_VALUE"""),"10.1145/2384616.2384644")</f>
        <v>10.1145/2384616.2384644</v>
      </c>
      <c r="D1352" s="7" t="str">
        <f>IFERROR(__xludf.DUMMYFUNCTION("""COMPUTED_VALUE"""),"Prountzos D.; Manevich R.; Pingali K.")</f>
        <v>Prountzos D.; Manevich R.; Pingali K.</v>
      </c>
      <c r="E1352" s="7" t="str">
        <f>IFERROR(__xludf.DUMMYFUNCTION("""COMPUTED_VALUE"""),"Elixir: A system for synthesizing concurrent graph programs ?")</f>
        <v>Elixir: A system for synthesizing concurrent graph programs ?</v>
      </c>
      <c r="F1352" s="7" t="str">
        <f>IFERROR(__xludf.DUMMYFUNCTION("""COMPUTED_VALUE"""),"OOPSLA")</f>
        <v>OOPSLA</v>
      </c>
      <c r="G1352" s="7" t="str">
        <f>IFERROR(__xludf.DUMMYFUNCTION("""COMPUTED_VALUE"""),"Algorithms in new application areas like machine learning and network analysis use ""irregular"" data structures such as graphs, trees and sets. Writing efficient parallel code in these problem domains is very challenging because it requires the programme"&amp;"r to make many choices: a given problem can usually be solved by several algorithms, each algorithm may have many implementations, and the best choice of algorithm and implementation can depend not only on the characteristics of the parallel platform but "&amp;"also on properties of the input data such as the structure of the graph. One solution is to permit the application programmer to experiment with different algorithms and implementations without writing every variant from scratch. Auto-tuning to find the b"&amp;"est variant is a more ambitious solution. These solutions require a system for automatically producing efficient parallel implementations from high-level specifications. Elixir, the system described in this paper, is the first step towards this ambitious "&amp;"goal. Application programmers write specifications that consist of an operator, which describes the computations to be performed, and a schedule for performing these computations. Elixir uses sophisticated inference techniques to produce efficient paralle"&amp;"l code from such specifications. We used Elixir to automatically generate many parallel implementations for three irregular problems: breadthfirst search, single source shortest path, and betweennesscentrality computation. Our experiments show that the be"&amp;"st generated variants can be competitive with handwritten code for these problems from other research groups; for some inputs, they even outperform the handwritten versions.")</f>
        <v>Algorithms in new application areas like machine learning and network analysis use "irregular" data structures such as graphs, trees and sets. Writing efficient parallel code in these problem domains is very challenging because it requires the programmer to make many choices: a given problem can usually be solved by several algorithms, each algorithm may have many implementations, and the best choice of algorithm and implementation can depend not only on the characteristics of the parallel platform but also on properties of the input data such as the structure of the graph. One solution is to permit the application programmer to experiment with different algorithms and implementations without writing every variant from scratch. Auto-tuning to find the best variant is a more ambitious solution. These solutions require a system for automatically producing efficient parallel implementations from high-level specifications. Elixir, the system described in this paper, is the first step towards this ambitious goal. Application programmers write specifications that consist of an operator, which describes the computations to be performed, and a schedule for performing these computations. Elixir uses sophisticated inference techniques to produce efficient parallel code from such specifications. We used Elixir to automatically generate many parallel implementations for three irregular problems: breadthfirst search, single source shortest path, and betweennesscentrality computation. Our experiments show that the best generated variants can be competitive with handwritten code for these problems from other research groups; for some inputs, they even outperform the handwritten versions.</v>
      </c>
      <c r="H1352" s="7" t="str">
        <f>IFERROR(__xludf.DUMMYFUNCTION("""COMPUTED_VALUE"""),"Amorphous Data-parallelism; Compiler Optimization; Concurrency; Irregular Programs; Optimistic Parallelization.; Parallelism; Synthesis")</f>
        <v>Amorphous Data-parallelism; Compiler Optimization; Concurrency; Irregular Programs; Optimistic Parallelization.; Parallelism; Synthesis</v>
      </c>
      <c r="I1352" s="10" t="b">
        <v>0</v>
      </c>
      <c r="J1352" s="10" t="b">
        <v>0</v>
      </c>
      <c r="K1352" s="10" t="b">
        <v>0</v>
      </c>
      <c r="L1352" s="10" t="b">
        <v>0</v>
      </c>
      <c r="M1352" s="10" t="b">
        <v>0</v>
      </c>
      <c r="N1352" s="10" t="b">
        <v>0</v>
      </c>
      <c r="O1352" s="11" t="b">
        <f t="shared" si="1"/>
        <v>0</v>
      </c>
      <c r="P1352" s="16" t="b">
        <v>0</v>
      </c>
      <c r="Q1352" s="7"/>
    </row>
    <row r="1353">
      <c r="A1353" s="5" t="b">
        <v>1</v>
      </c>
      <c r="B1353" s="5" t="s">
        <v>1406</v>
      </c>
      <c r="C1353" s="7" t="str">
        <f>IFERROR(__xludf.DUMMYFUNCTION("""COMPUTED_VALUE"""),"10.1145/1094855.1094950")</f>
        <v>10.1145/1094855.1094950</v>
      </c>
      <c r="D1353" s="7" t="str">
        <f>IFERROR(__xludf.DUMMYFUNCTION("""COMPUTED_VALUE"""),"Cottenier T.; Elrad T.")</f>
        <v>Cottenier T.; Elrad T.</v>
      </c>
      <c r="E1353" s="7" t="str">
        <f>IFERROR(__xludf.DUMMYFUNCTION("""COMPUTED_VALUE"""),"Adaptive compositions across organizational boundaries")</f>
        <v>Adaptive compositions across organizational boundaries</v>
      </c>
      <c r="F1353" s="7" t="str">
        <f>IFERROR(__xludf.DUMMYFUNCTION("""COMPUTED_VALUE"""),"OOPSLA")</f>
        <v>OOPSLA</v>
      </c>
      <c r="G1353" s="7" t="str">
        <f>IFERROR(__xludf.DUMMYFUNCTION("""COMPUTED_VALUE"""),"Interoperability and loose coupling requirements are pushing next generation of distributed applications towards more decentralized and more dynamic interaction schemes, which the classic request/response communication paradigm can hardly accommodate. Hen"&amp;"ce, sound foundations and mechanisms for the establishment of unanticipated peer-to-peer interactions across organizational boundaries are of significant importance to upcoming middleware platforms. The Executable Choreography Framework (ECF) is a middlew"&amp;"are-level framework that targets dynamic and decentralized service compositions. The ECF combines transparent context propagation with aspect-oriented software composition techniques to dynamically refine the default control and data flow of service invoc"&amp;"ations. The framework provides a ground for experimentation with dynamic and distributed workflows, and a base to assess their safety and applicability when deployed across organizational boundaries. © 2005 ACM.")</f>
        <v>Interoperability and loose coupling requirements are pushing next generation of distributed applications towards more decentralized and more dynamic interaction schemes, which the classic request/response communication paradigm can hardly accommodate. Hence, sound foundations and mechanisms for the establishment of unanticipated peer-to-peer interactions across organizational boundaries are of significant importance to upcoming middleware platforms. The Executable Choreography Framework (ECF) is a middleware-level framework that targets dynamic and decentralized service compositions. The ECF combines transparent context propagation with aspect-oriented software composition techniques to dynamically refine the default control and data flow of service invocations. The framework provides a ground for experimentation with dynamic and distributed workflows, and a base to assess their safety and applicability when deployed across organizational boundaries. © 2005 ACM.</v>
      </c>
      <c r="H1353" s="7" t="str">
        <f>IFERROR(__xludf.DUMMYFUNCTION("""COMPUTED_VALUE"""),"aspect-oriented software development; service orchestration and choreography")</f>
        <v>aspect-oriented software development; service orchestration and choreography</v>
      </c>
      <c r="I1353" s="10" t="b">
        <v>0</v>
      </c>
      <c r="J1353" s="10" t="b">
        <v>0</v>
      </c>
      <c r="K1353" s="10" t="b">
        <v>0</v>
      </c>
      <c r="L1353" s="10" t="b">
        <v>0</v>
      </c>
      <c r="M1353" s="10" t="b">
        <v>0</v>
      </c>
      <c r="N1353" s="10" t="b">
        <v>0</v>
      </c>
      <c r="O1353" s="11" t="b">
        <f t="shared" si="1"/>
        <v>0</v>
      </c>
      <c r="P1353" s="16" t="b">
        <v>0</v>
      </c>
      <c r="Q1353" s="7"/>
    </row>
    <row r="1354">
      <c r="A1354" s="5" t="b">
        <v>1</v>
      </c>
      <c r="B1354" s="5" t="s">
        <v>1407</v>
      </c>
      <c r="C1354" s="7" t="str">
        <f>IFERROR(__xludf.DUMMYFUNCTION("""COMPUTED_VALUE"""),"10.1145/236337.236340")</f>
        <v>10.1145/236337.236340</v>
      </c>
      <c r="D1354" s="7" t="str">
        <f>IFERROR(__xludf.DUMMYFUNCTION("""COMPUTED_VALUE"""),"Yelland P.M.")</f>
        <v>Yelland P.M.</v>
      </c>
      <c r="E1354" s="7" t="str">
        <f>IFERROR(__xludf.DUMMYFUNCTION("""COMPUTED_VALUE"""),"Creating host compliance in a portable framework: A study in the reuse of design patterns")</f>
        <v>Creating host compliance in a portable framework: A study in the reuse of design patterns</v>
      </c>
      <c r="F1354" s="7" t="str">
        <f>IFERROR(__xludf.DUMMYFUNCTION("""COMPUTED_VALUE"""),"OOPSLA")</f>
        <v>OOPSLA</v>
      </c>
      <c r="G1354" s="7" t="str">
        <f>IFERROR(__xludf.DUMMYFUNCTION("""COMPUTED_VALUE"""),"This report describes an experiment carried out at ParcPlace-Digitalk which sought to increase the look-and-feel compliance of portable applications built using the company's Smalltalk-based VisualWorks product. We outline the structure of the current Vis"&amp;"ualWorks user interface framework, and the precise requirements which the experimental system sought to fulfill. We go on to show how we were able to reuse design patterns from the literature in a generative fashion, to direct the evolution of the new fra"&amp;"mework. This contrasts with most pattern-related work to date, which has concentrated on discerning design patterns in existing systems. Finally, we draw generalizations from our experience concerning the evolution of software architecture using patterns."&amp;" © 1996 ACM.")</f>
        <v>This report describes an experiment carried out at ParcPlace-Digitalk which sought to increase the look-and-feel compliance of portable applications built using the company's Smalltalk-based VisualWorks product. We outline the structure of the current VisualWorks user interface framework, and the precise requirements which the experimental system sought to fulfill. We go on to show how we were able to reuse design patterns from the literature in a generative fashion, to direct the evolution of the new framework. This contrasts with most pattern-related work to date, which has concentrated on discerning design patterns in existing systems. Finally, we draw generalizations from our experience concerning the evolution of software architecture using patterns. © 1996 ACM.</v>
      </c>
      <c r="H1354" s="7"/>
      <c r="I1354" s="10" t="b">
        <v>0</v>
      </c>
      <c r="J1354" s="10" t="b">
        <v>0</v>
      </c>
      <c r="K1354" s="10" t="b">
        <v>0</v>
      </c>
      <c r="L1354" s="10" t="b">
        <v>0</v>
      </c>
      <c r="M1354" s="10" t="b">
        <v>0</v>
      </c>
      <c r="N1354" s="10" t="b">
        <v>0</v>
      </c>
      <c r="O1354" s="11" t="b">
        <f t="shared" si="1"/>
        <v>0</v>
      </c>
      <c r="P1354" s="16" t="b">
        <v>0</v>
      </c>
      <c r="Q1354" s="7"/>
    </row>
    <row r="1355">
      <c r="A1355" s="5" t="b">
        <v>1</v>
      </c>
      <c r="B1355" s="5" t="s">
        <v>1408</v>
      </c>
      <c r="C1355" s="7" t="str">
        <f>IFERROR(__xludf.DUMMYFUNCTION("""COMPUTED_VALUE"""),"10.1145/1449764.1449803")</f>
        <v>10.1145/1449764.1449803</v>
      </c>
      <c r="D1355" s="7" t="str">
        <f>IFERROR(__xludf.DUMMYFUNCTION("""COMPUTED_VALUE"""),"Roberson M.; Harries M.; Darga P.T.; Boyapati C.")</f>
        <v>Roberson M.; Harries M.; Darga P.T.; Boyapati C.</v>
      </c>
      <c r="E1355" s="7" t="str">
        <f>IFERROR(__xludf.DUMMYFUNCTION("""COMPUTED_VALUE"""),"Efficient software model checking of soundness of type systems")</f>
        <v>Efficient software model checking of soundness of type systems</v>
      </c>
      <c r="F1355" s="7" t="str">
        <f>IFERROR(__xludf.DUMMYFUNCTION("""COMPUTED_VALUE"""),"OOPSLA")</f>
        <v>OOPSLA</v>
      </c>
      <c r="G1355" s="7" t="str">
        <f>IFERROR(__xludf.DUMMYFUNCTION("""COMPUTED_VALUE"""),"This paper presents novel techniques for checking the soundness of a type system automatically using a software model checker. Our idea is to systematically generate every type correct intermediate program state (within some finite bounds), execute the pr"&amp;"ogram one step forward if possible using its small step operational semantics, and then check that the resulting intermediate program state is also type correct-but do so efficiently by detecting similarities in this search space and pruning away large po"&amp;"rtions of the search space. Thus, given only a specification of type correctness and the small step operational semantics for a language, our system automatically checks type soundness by checking that the progress and preservation theorems hold for the l"&amp;"anguage (albeit for program states of at most some finite size). Our preliminary experimental results on several languages-including a language of integer and boolean expressions, a simple imperative programming language, an object-oriented language which"&amp;" is a subset of Java, and a language with ownership types-indicate that our approach is feasible and that our search space pruning techniques do indeed significantly reduce what is otherwise an extremely large search space. Our paper thus makes contributi"&amp;"ons both in the area of checking soundness of type systems, and in the area of reducing the state space of a software model checker. Copyright © 2008 ACM.")</f>
        <v>This paper presents novel techniques for checking the soundness of a type system automatically using a software model checker. Our idea is to systematically generate every type correct intermediate program state (within some finite bounds), execute the program one step forward if possible using its small step operational semantics, and then check that the resulting intermediate program state is also type correct-but do so efficiently by detecting similarities in this search space and pruning away large portions of the search space. Thus, given only a specification of type correctness and the small step operational semantics for a language, our system automatically checks type soundness by checking that the progress and preservation theorems hold for the language (albeit for program states of at most some finite size). Our preliminary experimental results on several languages-including a language of integer and boolean expressions, a simple imperative programming language, an object-oriented language which is a subset of Java, and a language with ownership types-indicate that our approach is feasible and that our search space pruning techniques do indeed significantly reduce what is otherwise an extremely large search space. Our paper thus makes contributions both in the area of checking soundness of type systems, and in the area of reducing the state space of a software model checker. Copyright © 2008 ACM.</v>
      </c>
      <c r="H1355" s="7" t="str">
        <f>IFERROR(__xludf.DUMMYFUNCTION("""COMPUTED_VALUE"""),"Software model checking; Type soundness")</f>
        <v>Software model checking; Type soundness</v>
      </c>
      <c r="I1355" s="10" t="b">
        <v>0</v>
      </c>
      <c r="J1355" s="10" t="b">
        <v>0</v>
      </c>
      <c r="K1355" s="10" t="b">
        <v>0</v>
      </c>
      <c r="L1355" s="10" t="b">
        <v>0</v>
      </c>
      <c r="M1355" s="10" t="b">
        <v>0</v>
      </c>
      <c r="N1355" s="10" t="b">
        <v>0</v>
      </c>
      <c r="O1355" s="11" t="b">
        <f t="shared" si="1"/>
        <v>0</v>
      </c>
      <c r="P1355" s="16" t="b">
        <v>0</v>
      </c>
      <c r="Q1355" s="7"/>
    </row>
    <row r="1356">
      <c r="A1356" s="5" t="b">
        <v>1</v>
      </c>
      <c r="B1356" s="5" t="s">
        <v>1409</v>
      </c>
      <c r="C1356" s="7" t="str">
        <f>IFERROR(__xludf.DUMMYFUNCTION("""COMPUTED_VALUE"""),"10.1145/2814270.2814291")</f>
        <v>10.1145/2814270.2814291</v>
      </c>
      <c r="D1356" s="7" t="str">
        <f>IFERROR(__xludf.DUMMYFUNCTION("""COMPUTED_VALUE"""),"Hottelier T.; Bodik R.")</f>
        <v>Hottelier T.; Bodik R.</v>
      </c>
      <c r="E1356" s="7" t="str">
        <f>IFERROR(__xludf.DUMMYFUNCTION("""COMPUTED_VALUE"""),"Synthesis of layout engines from relational constraints")</f>
        <v>Synthesis of layout engines from relational constraints</v>
      </c>
      <c r="F1356" s="7" t="str">
        <f>IFERROR(__xludf.DUMMYFUNCTION("""COMPUTED_VALUE"""),"OOPSLA")</f>
        <v>OOPSLA</v>
      </c>
      <c r="G1356" s="7" t="str">
        <f>IFERROR(__xludf.DUMMYFUNCTION("""COMPUTED_VALUE"""),"We present an algorithm for synthesizing efficient document layout engines from compact relational specifications. These specifications are compact in that a single specification can produce multiple engines, each for a distinct layout situation, i.e., a "&amp;"different combination of known vs. unknown attributes. Technically, our specifications are relational attribute grammars, while our engines are functional attribute grammars. By synthesizing functions from relational constraints, we obviate the need for c"&amp;"onstraint solving at runtime, because functional attribute grammars can be easily evaluated according to a fixed schedule, sidestepping the backtracking search performed by constraint solvers. Our experiments show that we can generate layout engines for n"&amp;"on-trivial data visualizations, and that our synthesized engines are between 39-and 200-times faster than general-purpose constraint solvers. Relational specifications of layout give rise to synthesis problems that have previously proved intractable. Our "&amp;"algorithm exploits the hierarchical, grammar-based structure of the specification, decomposing the specification into smaller subproblems, which can be tackled with off-the-shelf synthesis procedures. The new synthesis problem then becomes the composition"&amp;" of the functions thus generated into a correct attribute grammar, which might be recursive. We show how to solve this problem by efficient reduction to an SMT problem. © 2015 ACM.")</f>
        <v>We present an algorithm for synthesizing efficient document layout engines from compact relational specifications. These specifications are compact in that a single specification can produce multiple engines, each for a distinct layout situation, i.e., a different combination of known vs. unknown attributes. Technically, our specifications are relational attribute grammars, while our engines are functional attribute grammars. By synthesizing functions from relational constraints, we obviate the need for constraint solving at runtime, because functional attribute grammars can be easily evaluated according to a fixed schedule, sidestepping the backtracking search performed by constraint solvers. Our experiments show that we can generate layout engines for non-trivial data visualizations, and that our synthesized engines are between 39-and 200-times faster than general-purpose constraint solvers. Relational specifications of layout give rise to synthesis problems that have previously proved intractable. Our algorithm exploits the hierarchical, grammar-based structure of the specification, decomposing the specification into smaller subproblems, which can be tackled with off-the-shelf synthesis procedures. The new synthesis problem then becomes the composition of the functions thus generated into a correct attribute grammar, which might be recursive. We show how to solve this problem by efficient reduction to an SMT problem. © 2015 ACM.</v>
      </c>
      <c r="H1356" s="7" t="str">
        <f>IFERROR(__xludf.DUMMYFUNCTION("""COMPUTED_VALUE"""),"Attribute Grammars; Layout; Program Synthesis")</f>
        <v>Attribute Grammars; Layout; Program Synthesis</v>
      </c>
      <c r="I1356" s="10" t="b">
        <v>0</v>
      </c>
      <c r="J1356" s="10" t="b">
        <v>0</v>
      </c>
      <c r="K1356" s="10" t="b">
        <v>0</v>
      </c>
      <c r="L1356" s="10" t="b">
        <v>0</v>
      </c>
      <c r="M1356" s="10" t="b">
        <v>0</v>
      </c>
      <c r="N1356" s="10" t="b">
        <v>0</v>
      </c>
      <c r="O1356" s="11" t="b">
        <f t="shared" si="1"/>
        <v>0</v>
      </c>
      <c r="P1356" s="16" t="b">
        <v>0</v>
      </c>
      <c r="Q1356" s="7"/>
    </row>
    <row r="1357">
      <c r="A1357" s="5" t="b">
        <v>1</v>
      </c>
      <c r="B1357" s="5" t="s">
        <v>1410</v>
      </c>
      <c r="C1357" s="7" t="str">
        <f>IFERROR(__xludf.DUMMYFUNCTION("""COMPUTED_VALUE"""),"10.1145/1176617.1176650")</f>
        <v>10.1145/1176617.1176650</v>
      </c>
      <c r="D1357" s="7" t="str">
        <f>IFERROR(__xludf.DUMMYFUNCTION("""COMPUTED_VALUE"""),"Craciun F.; Goh H.Y.; Popeea C.; Chin W.-N.")</f>
        <v>Craciun F.; Goh H.Y.; Popeea C.; Chin W.-N.</v>
      </c>
      <c r="E1357" s="7" t="str">
        <f>IFERROR(__xludf.DUMMYFUNCTION("""COMPUTED_VALUE"""),"Core-Java: An expression-oriented Java")</f>
        <v>Core-Java: An expression-oriented Java</v>
      </c>
      <c r="F1357" s="7" t="str">
        <f>IFERROR(__xludf.DUMMYFUNCTION("""COMPUTED_VALUE"""),"OOPSLA")</f>
        <v>OOPSLA</v>
      </c>
      <c r="G1357" s="7" t="str">
        <f>IFERROR(__xludf.DUMMYFUNCTION("""COMPUTED_VALUE"""),"A common practice for rapid prototyping of an object-oriented program analysis is to define a lightweight fragment of Java, that is sufficiently small to facilitate a rigorous analysis of key properties. Such a lightweight fragment lacks important Java fe"&amp;"atures, thus the experimental evaluation on real-world code is not easy. The solution is either to extend the prototype to the whole Java or to rewrite the real-world code in the lightweight language. We propose an intermediate solution through Core-Java,"&amp;" an expression-oriented core calculus of Java and a comprehensive set of translation rules from Java to Core-Java. The translation can be guided by the specific requirements of each program analysis. We have built an implementation of our framework and ha"&amp;"ve used it for two different analyses on Java programs.")</f>
        <v>A common practice for rapid prototyping of an object-oriented program analysis is to define a lightweight fragment of Java, that is sufficiently small to facilitate a rigorous analysis of key properties. Such a lightweight fragment lacks important Java features, thus the experimental evaluation on real-world code is not easy. The solution is either to extend the prototype to the whole Java or to rewrite the real-world code in the lightweight language. We propose an intermediate solution through Core-Java, an expression-oriented core calculus of Java and a comprehensive set of translation rules from Java to Core-Java. The translation can be guided by the specific requirements of each program analysis. We have built an implementation of our framework and have used it for two different analyses on Java programs.</v>
      </c>
      <c r="H1357" s="7" t="str">
        <f>IFERROR(__xludf.DUMMYFUNCTION("""COMPUTED_VALUE"""),"Language design; Type-based analysis")</f>
        <v>Language design; Type-based analysis</v>
      </c>
      <c r="I1357" s="10" t="b">
        <v>0</v>
      </c>
      <c r="J1357" s="10" t="b">
        <v>0</v>
      </c>
      <c r="K1357" s="10" t="b">
        <v>0</v>
      </c>
      <c r="L1357" s="10" t="b">
        <v>0</v>
      </c>
      <c r="M1357" s="10" t="b">
        <v>0</v>
      </c>
      <c r="N1357" s="10" t="b">
        <v>0</v>
      </c>
      <c r="O1357" s="11" t="b">
        <f t="shared" si="1"/>
        <v>0</v>
      </c>
      <c r="P1357" s="16" t="b">
        <v>0</v>
      </c>
      <c r="Q1357" s="7"/>
    </row>
    <row r="1358">
      <c r="A1358" s="5" t="b">
        <v>1</v>
      </c>
      <c r="B1358" s="5" t="s">
        <v>1411</v>
      </c>
      <c r="C1358" s="7" t="str">
        <f>IFERROR(__xludf.DUMMYFUNCTION("""COMPUTED_VALUE"""),"10.1109/SANER56733.2023.00021")</f>
        <v>10.1109/SANER56733.2023.00021</v>
      </c>
      <c r="D1358" s="7" t="str">
        <f>IFERROR(__xludf.DUMMYFUNCTION("""COMPUTED_VALUE"""),"Ma Y.; Yu Y.; Li S.; Jia Z.; Ma J.; Xu R.; Dong W.; Liao X.")</f>
        <v>Ma Y.; Yu Y.; Li S.; Jia Z.; Ma J.; Xu R.; Dong W.; Liao X.</v>
      </c>
      <c r="E1358" s="7" t="str">
        <f>IFERROR(__xludf.DUMMYFUNCTION("""COMPUTED_VALUE"""),"MulCS: Towards a Unified Deep Representation for Multilingual Code Search")</f>
        <v>MulCS: Towards a Unified Deep Representation for Multilingual Code Search</v>
      </c>
      <c r="F1358" s="7" t="str">
        <f>IFERROR(__xludf.DUMMYFUNCTION("""COMPUTED_VALUE"""),"SANER")</f>
        <v>SANER</v>
      </c>
      <c r="G1358" s="7" t="str">
        <f>IFERROR(__xludf.DUMMYFUNCTION("""COMPUTED_VALUE"""),"Code search aims to search for relevant code snippets through queries, which has become an essential requirement to assist programmers in software development. With the availability of large and rapidly growing source code repositories covering various la"&amp;"nguages, multilingual code search can leverage more training data to learn complementary information across languages. Contrastive learning can naturally understand the similarity between functionally equivalent code across different languages by narrowin"&amp;"g the distance between objects with the same function while keeping dissimilar objects further apart. Some works exist addressing monolingual code search problems with contrastive learning, however, they mainly exploit every specific programming language'"&amp;"s textual semantics or syntactic structures for code representation. Due to the high diversity of different languages in terms of syntax, format, and structure, these methods limit the performance of contrastive learning in multilingual training. To bridg"&amp;"e this gap, we propose a unified semantic graph representation approach toward multilingual code search called MulCS. Specifically, we first design a general semantic graph construction strategy across different languages by Intermediate Representation (I"&amp;"R). Furthermore, we introduce the contrastive learning module integrated into a gated graph neural network (GGNN) to enhance query-multilingual code matching. The extensive experiments on three representative languages illustrate that our method outperfor"&amp;"ms state-of-the-art models by 10.7% to 77.5% in terms of MRR on average. © 2023 IEEE.")</f>
        <v>Code search aims to search for relevant code snippets through queries, which has become an essential requirement to assist programmers in software development. With the availability of large and rapidly growing source code repositories covering various languages, multilingual code search can leverage more training data to learn complementary information across languages. Contrastive learning can naturally understand the similarity between functionally equivalent code across different languages by narrowing the distance between objects with the same function while keeping dissimilar objects further apart. Some works exist addressing monolingual code search problems with contrastive learning, however, they mainly exploit every specific programming language's textual semantics or syntactic structures for code representation. Due to the high diversity of different languages in terms of syntax, format, and structure, these methods limit the performance of contrastive learning in multilingual training. To bridge this gap, we propose a unified semantic graph representation approach toward multilingual code search called MulCS. Specifically, we first design a general semantic graph construction strategy across different languages by Intermediate Representation (IR). Furthermore, we introduce the contrastive learning module integrated into a gated graph neural network (GGNN) to enhance query-multilingual code matching. The extensive experiments on three representative languages illustrate that our method outperforms state-of-the-art models by 10.7% to 77.5% in terms of MRR on average. © 2023 IEEE.</v>
      </c>
      <c r="H1358" s="7" t="str">
        <f>IFERROR(__xludf.DUMMYFUNCTION("""COMPUTED_VALUE"""),"Code search; contrastive learning; intermediate representation; multi-language")</f>
        <v>Code search; contrastive learning; intermediate representation; multi-language</v>
      </c>
      <c r="I1358" s="10" t="b">
        <v>0</v>
      </c>
      <c r="J1358" s="10" t="b">
        <v>0</v>
      </c>
      <c r="K1358" s="10" t="b">
        <v>0</v>
      </c>
      <c r="L1358" s="10" t="b">
        <v>0</v>
      </c>
      <c r="M1358" s="10" t="b">
        <v>0</v>
      </c>
      <c r="N1358" s="10" t="b">
        <v>0</v>
      </c>
      <c r="O1358" s="11" t="b">
        <f t="shared" si="1"/>
        <v>0</v>
      </c>
      <c r="P1358" s="16" t="b">
        <v>0</v>
      </c>
      <c r="Q1358" s="7"/>
    </row>
    <row r="1359">
      <c r="A1359" s="5" t="b">
        <v>1</v>
      </c>
      <c r="B1359" s="5" t="s">
        <v>1412</v>
      </c>
      <c r="C1359" s="7" t="str">
        <f>IFERROR(__xludf.DUMMYFUNCTION("""COMPUTED_VALUE"""),"10.1109/SANER.2015.7081829")</f>
        <v>10.1109/SANER.2015.7081829</v>
      </c>
      <c r="D1359" s="7" t="str">
        <f>IFERROR(__xludf.DUMMYFUNCTION("""COMPUTED_VALUE"""),"Lian X.; Zhang L.")</f>
        <v>Lian X.; Zhang L.</v>
      </c>
      <c r="E1359" s="7" t="str">
        <f>IFERROR(__xludf.DUMMYFUNCTION("""COMPUTED_VALUE"""),"Optimized feature selection towards functional and non-functional requirements in Software Product Lines")</f>
        <v>Optimized feature selection towards functional and non-functional requirements in Software Product Lines</v>
      </c>
      <c r="F1359" s="7" t="str">
        <f>IFERROR(__xludf.DUMMYFUNCTION("""COMPUTED_VALUE"""),"SANER")</f>
        <v>SANER</v>
      </c>
      <c r="G1359" s="7" t="str">
        <f>IFERROR(__xludf.DUMMYFUNCTION("""COMPUTED_VALUE"""),"As an important research issue in software product line, feature selection is extensively studied. Besides the basic functional requirements (FRs), the non-functional requirements (NFRs) are also critical during feature selection. Some NFRs have numerical"&amp;" constraints, while some have not. Without clear criteria, the latter are always expected to be the best possible. However, most existing selection methods ignore the combination of constrained and unconstrained NFRs and FRs. Meanwhile, the complex constr"&amp;"aints and dependencies among features are perpetual challenges for feature selection. To this end, this paper proposes a multi-objective optimization algorithm IVEA to optimize the selection of features with NFRs and FRs by considering the relations among"&amp;" these features. Particularly, we first propose a two-dimensional fitness function. One dimension is to optimize the NFRs without quantitative constraints. The other one is to assure the selected features satisfy the FRs, and conform to the relations amon"&amp;"g features. Second, we propose a violation-dominance principle, which guides the optimization under FRs and the relations among features. We conducted comprehensive experiments on two feature models with different sizes to evaluate IVEA with state-of-the-"&amp;"art multi-objective optimization algorithms, including IBEAHD, IBEAε+, NSGA-II and SPEA2. The results showed that the IVEA significantly outperforms the above baselines in the NFRs optimization. Meanwhile, our algorithm needs less time to generate a solut"&amp;"ion that meets the FRs and the constraints on NFRs and fully conforms to the feature model. © 2015 IEEE.")</f>
        <v>As an important research issue in software product line, feature selection is extensively studied. Besides the basic functional requirements (FRs), the non-functional requirements (NFRs) are also critical during feature selection. Some NFRs have numerical constraints, while some have not. Without clear criteria, the latter are always expected to be the best possible. However, most existing selection methods ignore the combination of constrained and unconstrained NFRs and FRs. Meanwhile, the complex constraints and dependencies among features are perpetual challenges for feature selection. To this end, this paper proposes a multi-objective optimization algorithm IVEA to optimize the selection of features with NFRs and FRs by considering the relations among these features. Particularly, we first propose a two-dimensional fitness function. One dimension is to optimize the NFRs without quantitative constraints. The other one is to assure the selected features satisfy the FRs, and conform to the relations among features. Second, we propose a violation-dominance principle, which guides the optimization under FRs and the relations among features. We conducted comprehensive experiments on two feature models with different sizes to evaluate IVEA with state-of-the-art multi-objective optimization algorithms, including IBEAHD, IBEAε+, NSGA-II and SPEA2. The results showed that the IVEA significantly outperforms the above baselines in the NFRs optimization. Meanwhile, our algorithm needs less time to generate a solution that meets the FRs and the constraints on NFRs and fully conforms to the feature model. © 2015 IEEE.</v>
      </c>
      <c r="H1359" s="7" t="str">
        <f>IFERROR(__xludf.DUMMYFUNCTION("""COMPUTED_VALUE"""),"Feature Models; Feature Selection; Multi-objective Optimization; Non-functional requirements optimization; Software Product Line")</f>
        <v>Feature Models; Feature Selection; Multi-objective Optimization; Non-functional requirements optimization; Software Product Line</v>
      </c>
      <c r="I1359" s="10" t="b">
        <v>0</v>
      </c>
      <c r="J1359" s="10" t="b">
        <v>0</v>
      </c>
      <c r="K1359" s="10" t="b">
        <v>0</v>
      </c>
      <c r="L1359" s="10" t="b">
        <v>0</v>
      </c>
      <c r="M1359" s="10" t="b">
        <v>0</v>
      </c>
      <c r="N1359" s="10" t="b">
        <v>0</v>
      </c>
      <c r="O1359" s="11" t="b">
        <f t="shared" si="1"/>
        <v>0</v>
      </c>
      <c r="P1359" s="16" t="b">
        <v>0</v>
      </c>
      <c r="Q1359" s="7"/>
    </row>
    <row r="1360">
      <c r="A1360" s="5" t="b">
        <v>1</v>
      </c>
      <c r="B1360" s="5" t="s">
        <v>1413</v>
      </c>
      <c r="C1360" s="7" t="str">
        <f>IFERROR(__xludf.DUMMYFUNCTION("""COMPUTED_VALUE"""),"10.1109/SANER.2016.118")</f>
        <v>10.1109/SANER.2016.118</v>
      </c>
      <c r="D1360" s="7" t="str">
        <f>IFERROR(__xludf.DUMMYFUNCTION("""COMPUTED_VALUE"""),"Rahman M.M.; Nasartschuk K.; Kent K.B.; Dueck G.W.")</f>
        <v>Rahman M.M.; Nasartschuk K.; Kent K.B.; Dueck G.W.</v>
      </c>
      <c r="E1360" s="7" t="str">
        <f>IFERROR(__xludf.DUMMYFUNCTION("""COMPUTED_VALUE"""),"Trace files for automatic memory management systems")</f>
        <v>Trace files for automatic memory management systems</v>
      </c>
      <c r="F1360" s="7" t="str">
        <f>IFERROR(__xludf.DUMMYFUNCTION("""COMPUTED_VALUE"""),"SANER")</f>
        <v>SANER</v>
      </c>
      <c r="G1360" s="7" t="str">
        <f>IFERROR(__xludf.DUMMYFUNCTION("""COMPUTED_VALUE"""),"Automated memory management is generally non-deterministic. Attempts to improve its performance require testing and simulation of basic memory management (MM) operations. Simulation of automated memory management usually involves running a virtual machine"&amp;" (VM) with benchmark applications. However, this process requires significant run-time. Moreover, there are few benchmarks available for programmers to test and validate their systems against. In this work, we record basic memory management operations of "&amp;"benchmark applications into trace files. These trace files can be used platform independently to evaluate systems off-line. Empirical results show that recording traces of memory management operations of applications into files requires large amounts of p"&amp;"hysical space. To aid developers, we also design and implement a trace synthesizer that creates basic memory operations dynamically for given specifications. The significance of trace files is shown experimentally by simulating and evaluating GC policies."&amp;" © 2016 IEEE")</f>
        <v>Automated memory management is generally non-deterministic. Attempts to improve its performance require testing and simulation of basic memory management (MM) operations. Simulation of automated memory management usually involves running a virtual machine (VM) with benchmark applications. However, this process requires significant run-time. Moreover, there are few benchmarks available for programmers to test and validate their systems against. In this work, we record basic memory management operations of benchmark applications into trace files. These trace files can be used platform independently to evaluate systems off-line. Empirical results show that recording traces of memory management operations of applications into files requires large amounts of physical space. To aid developers, we also design and implement a trace synthesizer that creates basic memory operations dynamically for given specifications. The significance of trace files is shown experimentally by simulating and evaluating GC policies. © 2016 IEEE</v>
      </c>
      <c r="H1360" s="7"/>
      <c r="I1360" s="10" t="b">
        <v>0</v>
      </c>
      <c r="J1360" s="10" t="b">
        <v>0</v>
      </c>
      <c r="K1360" s="10" t="b">
        <v>0</v>
      </c>
      <c r="L1360" s="10" t="b">
        <v>0</v>
      </c>
      <c r="M1360" s="10" t="b">
        <v>0</v>
      </c>
      <c r="N1360" s="10" t="b">
        <v>0</v>
      </c>
      <c r="O1360" s="11" t="b">
        <f t="shared" si="1"/>
        <v>0</v>
      </c>
      <c r="P1360" s="16" t="b">
        <v>0</v>
      </c>
      <c r="Q1360" s="7"/>
    </row>
    <row r="1361">
      <c r="A1361" s="5" t="b">
        <v>1</v>
      </c>
      <c r="B1361" s="5" t="s">
        <v>1414</v>
      </c>
      <c r="C1361" s="7" t="str">
        <f>IFERROR(__xludf.DUMMYFUNCTION("""COMPUTED_VALUE"""),"10.1109/SANER56733.2023.00116")</f>
        <v>10.1109/SANER56733.2023.00116</v>
      </c>
      <c r="D1361" s="7" t="str">
        <f>IFERROR(__xludf.DUMMYFUNCTION("""COMPUTED_VALUE"""),"Zhu R.; Li W.; Jin C.")</f>
        <v>Zhu R.; Li W.; Jin C.</v>
      </c>
      <c r="E1361" s="7" t="str">
        <f>IFERROR(__xludf.DUMMYFUNCTION("""COMPUTED_VALUE"""),"TAG: UML Activity Diagram Deeply Supervised Generation from Business Textural Specification")</f>
        <v>TAG: UML Activity Diagram Deeply Supervised Generation from Business Textural Specification</v>
      </c>
      <c r="F1361" s="7" t="str">
        <f>IFERROR(__xludf.DUMMYFUNCTION("""COMPUTED_VALUE"""),"SANER")</f>
        <v>SANER</v>
      </c>
      <c r="G1361" s="7" t="str">
        <f>IFERROR(__xludf.DUMMYFUNCTION("""COMPUTED_VALUE"""),"Unified modeling language (UML) activity diagrams depict the internal behavior of different program operations with the help of nodes and edges, describing the business logic in user requirements. Traditionally, requirements engineers and practitioners re"&amp;"fer to business process documents and analyze them to build UML activity diagrams manually, which makes labor and time consuming. Recently, deep learning technology has been utilized in various fields and has achieved excellent results. We propose a novel"&amp;" pipeline, named TAG, for automatically generating UML activity diagrams based on deep learning. The inspiration for TAG is as follows: (1) Semantic roles1, such as signal and condition entities in texts, can be obtained via sequence labeling; (2) A busin"&amp;"ess process document corresponds to a semantic role sequence. According to the predefined rules, the semantic role sequence is used to construct the graph neural network, and the temporal activity relationship in a business process document is predicted v"&amp;"ia multi-layer semantic fusion; (3) Use temporal activity relationships to generate UML activity diagrams automatically. The entire process was automatically completed. SAP is the largest non-American software company by revenue. We obtained the original "&amp;"data from the SAP website and sorted them as business process documents. After preliminary experiments, a temporal activity relationship prediction accuracy rate of 79.87% was achieved. Simultaneously, some business process documents are available from ht"&amp;"tps://github.com/lwx142857/bussiness-process. © 2023 IEEE.")</f>
        <v>Unified modeling language (UML) activity diagrams depict the internal behavior of different program operations with the help of nodes and edges, describing the business logic in user requirements. Traditionally, requirements engineers and practitioners refer to business process documents and analyze them to build UML activity diagrams manually, which makes labor and time consuming. Recently, deep learning technology has been utilized in various fields and has achieved excellent results. We propose a novel pipeline, named TAG, for automatically generating UML activity diagrams based on deep learning. The inspiration for TAG is as follows: (1) Semantic roles1, such as signal and condition entities in texts, can be obtained via sequence labeling; (2) A business process document corresponds to a semantic role sequence. According to the predefined rules, the semantic role sequence is used to construct the graph neural network, and the temporal activity relationship in a business process document is predicted via multi-layer semantic fusion; (3) Use temporal activity relationships to generate UML activity diagrams automatically. The entire process was automatically completed. SAP is the largest non-American software company by revenue. We obtained the original data from the SAP website and sorted them as business process documents. After preliminary experiments, a temporal activity relationship prediction accuracy rate of 79.87% was achieved. Simultaneously, some business process documents are available from https://github.com/lwx142857/bussiness-process. © 2023 IEEE.</v>
      </c>
      <c r="H1361" s="7" t="str">
        <f>IFERROR(__xludf.DUMMYFUNCTION("""COMPUTED_VALUE"""),"Natural language processing (NLP); Requirement engineering; UML activity diagram; Unified Modeling Language (UML)")</f>
        <v>Natural language processing (NLP); Requirement engineering; UML activity diagram; Unified Modeling Language (UML)</v>
      </c>
      <c r="I1361" s="10" t="b">
        <v>0</v>
      </c>
      <c r="J1361" s="10" t="b">
        <v>0</v>
      </c>
      <c r="K1361" s="10" t="b">
        <v>0</v>
      </c>
      <c r="L1361" s="10" t="b">
        <v>0</v>
      </c>
      <c r="M1361" s="10" t="b">
        <v>0</v>
      </c>
      <c r="N1361" s="10" t="b">
        <v>0</v>
      </c>
      <c r="O1361" s="11" t="b">
        <f t="shared" si="1"/>
        <v>0</v>
      </c>
      <c r="P1361" s="16" t="b">
        <v>0</v>
      </c>
      <c r="Q1361" s="7"/>
    </row>
    <row r="1362">
      <c r="A1362" s="5" t="b">
        <v>1</v>
      </c>
      <c r="B1362" s="5" t="s">
        <v>1415</v>
      </c>
      <c r="C1362" s="7" t="str">
        <f>IFERROR(__xludf.DUMMYFUNCTION("""COMPUTED_VALUE"""),"10.1109/SANER.2017.7884611")</f>
        <v>10.1109/SANER.2017.7884611</v>
      </c>
      <c r="D1362" s="7" t="str">
        <f>IFERROR(__xludf.DUMMYFUNCTION("""COMPUTED_VALUE"""),"Rahman M.M.; Roy C.K.")</f>
        <v>Rahman M.M.; Roy C.K.</v>
      </c>
      <c r="E1362" s="7" t="str">
        <f>IFERROR(__xludf.DUMMYFUNCTION("""COMPUTED_VALUE"""),"STRICT: Information retrieval based search term identification for concept location")</f>
        <v>STRICT: Information retrieval based search term identification for concept location</v>
      </c>
      <c r="F1362" s="7" t="str">
        <f>IFERROR(__xludf.DUMMYFUNCTION("""COMPUTED_VALUE"""),"SANER")</f>
        <v>SANER</v>
      </c>
      <c r="G1362" s="7" t="str">
        <f>IFERROR(__xludf.DUMMYFUNCTION("""COMPUTED_VALUE"""),"During maintenance, software developers deal with numerous change requests that are written in an unstructured fashion using natural language. Such natural language texts illustrate the change requirement involving various domain related concepts. Softwar"&amp;"e developers need to find appropriate search terms from those concepts so that they could locate the possible locations in the source code using a search technique. Once such locations are identified, they can implement the requested changes there. Studie"&amp;"s suggest that developers often perform poorly in coming up with good search terms for a change task. In this paper, we propose a novel technique-STRICT-that automatically identifies suitable search terms for a software change task by analyzing its task d"&amp;"escription using two information retrieval (IR) techniques-TextRank and POSRank. These IR techniques determine a term's importance based on not only its co-occurrences with other important terms but also its syntactic relationships with them. Experiments "&amp;"using 1,939 change requests from eight subject systems report that STRICT can identify better quality search terms than baseline terms from 52%-62% of the requests with 30%-57% Top-10 retrieval accuracy which are promising. Comparison with two state-of-th"&amp;"e-art techniques not only validates our empirical findings and but also demonstrates the superiority of our technique. © 2017 IEEE.")</f>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 2017 IEEE.</v>
      </c>
      <c r="H1362" s="7" t="str">
        <f>IFERROR(__xludf.DUMMYFUNCTION("""COMPUTED_VALUE"""),"Concept location; information retrieval; POSRank; search term identification; TextRank")</f>
        <v>Concept location; information retrieval; POSRank; search term identification; TextRank</v>
      </c>
      <c r="I1362" s="10" t="b">
        <v>0</v>
      </c>
      <c r="J1362" s="10" t="b">
        <v>0</v>
      </c>
      <c r="K1362" s="10" t="b">
        <v>0</v>
      </c>
      <c r="L1362" s="10" t="b">
        <v>0</v>
      </c>
      <c r="M1362" s="10" t="b">
        <v>0</v>
      </c>
      <c r="N1362" s="10" t="b">
        <v>0</v>
      </c>
      <c r="O1362" s="11" t="b">
        <f t="shared" si="1"/>
        <v>0</v>
      </c>
      <c r="P1362" s="16" t="b">
        <v>0</v>
      </c>
      <c r="Q1362" s="7"/>
    </row>
    <row r="1363">
      <c r="A1363" s="5" t="b">
        <v>1</v>
      </c>
      <c r="B1363" s="5" t="s">
        <v>1416</v>
      </c>
      <c r="C1363" s="7" t="str">
        <f>IFERROR(__xludf.DUMMYFUNCTION("""COMPUTED_VALUE"""),"10.1109/SANER53432.2022.00077")</f>
        <v>10.1109/SANER53432.2022.00077</v>
      </c>
      <c r="D1363" s="7" t="str">
        <f>IFERROR(__xludf.DUMMYFUNCTION("""COMPUTED_VALUE"""),"Gui Y.; Wan Y.; Zhang H.; Huang H.; Sui Y.; Xu G.; Shao Z.; Jin H.")</f>
        <v>Gui Y.; Wan Y.; Zhang H.; Huang H.; Sui Y.; Xu G.; Shao Z.; Jin H.</v>
      </c>
      <c r="E1363" s="7" t="str">
        <f>IFERROR(__xludf.DUMMYFUNCTION("""COMPUTED_VALUE"""),"Cross-Language Binary-Source Code Matching with Intermediate Representations")</f>
        <v>Cross-Language Binary-Source Code Matching with Intermediate Representations</v>
      </c>
      <c r="F1363" s="7" t="str">
        <f>IFERROR(__xludf.DUMMYFUNCTION("""COMPUTED_VALUE"""),"SANER")</f>
        <v>SANER</v>
      </c>
      <c r="G1363" s="7" t="str">
        <f>IFERROR(__xludf.DUMMYFUNCTION("""COMPUTED_VALUE"""),"Binary- source code matching plays an important role in many security and software engineering related tasks such as malware detection, reverse engineering and vulnerability assessment. Currently, several approaches have been proposed for binary-source co"&amp;"de matching by jointly learning the embeddings of binary code and source code in a common vector space. Despite much effort, existing approaches target on matching the binary code and source code written in a single programming language. However, in pract"&amp;"ice, software applications are often written in different programming languages to cater for different requirements and computing platforms. Matching binary and source code across programming languages introduces additional challenges when maintaining mul"&amp;"ti-language and multi-platform applications. To this end, this paper formulates the problem of cross-language binary-source code matching, and develops a new dataset for this new problem. We present a novel approach XLIR, which is a Transformer-based neur"&amp;"al network by learning the intermediate representations for both binary and source code. To validate the effectiveness of XLIR, comprehensive experiments are conducted on two tasks of cross-language binary-source code matching, and cross-language source-s"&amp;"ource code matching, on top of our curated dataset. Experimental results and analysis show that our proposed XLIR with intermediate representations significantly outperforms other state-of-the-art models in both of the two tasks.  © 2022 IEEE.")</f>
        <v>Binary- source code matching plays an important role in many security and software engineering related tasks such as malware detection, reverse engineering and vulnerability assessment. Currently, several approaches have been proposed for binary-source code matching by jointly learning the embeddings of binary code and source code in a common vector space. Despite much effort, existing approaches target on matching the binary code and source code written in a single programming language. However, in practice, software applications are often written in different programming languages to cater for different requirements and computing platforms. Matching binary and source code across programming languages introduces additional challenges when maintaining multi-language and multi-platform applications. To this end, this paper formulates the problem of cross-language binary-source code matching, and develops a new dataset for this new problem. We present a novel approach XLIR, which is a Transformer-based neural network by learning the intermediate representations for both binary and source code. To validate the effectiveness of XLIR, comprehensive experiments are conducted on two tasks of cross-language binary-source code matching, and cross-language source-source code matching, on top of our curated dataset. Experimental results and analysis show that our proposed XLIR with intermediate representations significantly outperforms other state-of-the-art models in both of the two tasks.  © 2022 IEEE.</v>
      </c>
      <c r="H1363" s="7" t="str">
        <f>IFERROR(__xludf.DUMMYFUNCTION("""COMPUTED_VALUE"""),"binary code; clone detection; code matching; Cross-language; deep learning; intermediate representation")</f>
        <v>binary code; clone detection; code matching; Cross-language; deep learning; intermediate representation</v>
      </c>
      <c r="I1363" s="10" t="b">
        <v>0</v>
      </c>
      <c r="J1363" s="10" t="b">
        <v>0</v>
      </c>
      <c r="K1363" s="10" t="b">
        <v>0</v>
      </c>
      <c r="L1363" s="10" t="b">
        <v>0</v>
      </c>
      <c r="M1363" s="10" t="b">
        <v>0</v>
      </c>
      <c r="N1363" s="10" t="b">
        <v>0</v>
      </c>
      <c r="O1363" s="11" t="b">
        <f t="shared" si="1"/>
        <v>0</v>
      </c>
      <c r="P1363" s="16" t="b">
        <v>0</v>
      </c>
      <c r="Q1363" s="7"/>
    </row>
    <row r="1364">
      <c r="A1364" s="5" t="b">
        <v>1</v>
      </c>
      <c r="B1364" s="5" t="s">
        <v>1417</v>
      </c>
      <c r="C1364" s="7" t="str">
        <f>IFERROR(__xludf.DUMMYFUNCTION("""COMPUTED_VALUE"""),"10.1109/SANER.2016.24")</f>
        <v>10.1109/SANER.2016.24</v>
      </c>
      <c r="D1364" s="7" t="str">
        <f>IFERROR(__xludf.DUMMYFUNCTION("""COMPUTED_VALUE"""),"Arcega L.; Font J.; Haugen Ø.; Cetina C.")</f>
        <v>Arcega L.; Font J.; Haugen Ø.; Cetina C.</v>
      </c>
      <c r="E1364" s="7" t="str">
        <f>IFERROR(__xludf.DUMMYFUNCTION("""COMPUTED_VALUE"""),"Achieving knowledge evolution in dynamic software product lines")</f>
        <v>Achieving knowledge evolution in dynamic software product lines</v>
      </c>
      <c r="F1364" s="7" t="str">
        <f>IFERROR(__xludf.DUMMYFUNCTION("""COMPUTED_VALUE"""),"SANER")</f>
        <v>SANER</v>
      </c>
      <c r="G1364" s="7" t="str">
        <f>IFERROR(__xludf.DUMMYFUNCTION("""COMPUTED_VALUE"""),"Dynamic Software Product Lines (DSPLs) offer a strategy to deal with software changes that need to be handled at run-time. In response to context changes, a DSPL capitalize on knowledge about the architecture variability of the software system to shift be"&amp;"tween configurations. Similar to any other kind of software, a DSPL needs to evolve over time but current approaches require software engineers to manually perform the DSPL evolution. Our work addresses the evolution of the architecture variability that m"&amp;"akes up the knowledge of the DSPL. Given a new version of the architecture variability, we calculate its configuration space and propose strategies that allow migration from the current version to the new version. Our strategy solves the collision of the "&amp;"realization layer resulting from the integration of the new version of the variability specification. We evaluate our dynamic evolution strategy using the Goal-Question-Metric method for a Smart Hotel case study with 239 possible configurations as startin"&amp;"g point. Our experiment indicates that the proposed technique would enable automatic evolution in 9 out of 10 cases. In the rest of the cases, all of the DSPL configurations changed between the old and the new version, which frustrates an automatic evolut"&amp;"ion. © 2016 IEEE")</f>
        <v>Dynamic Software Product Lines (DSPLs) offer a strategy to deal with software changes that need to be handled at run-time. In response to context changes, a DSPL capitalize on knowledge about the architecture variability of the software system to shift between configurations. Similar to any other kind of software, a DSPL needs to evolve over time but current approaches require software engineers to manually perform the DSPL evolution. Our work addresses the evolution of the architecture variability that makes up the knowledge of the DSPL. Given a new version of the architecture variability, we calculate its configuration space and propose strategies that allow migration from the current version to the new version. Our strategy solves the collision of the realization layer resulting from the integration of the new version of the variability specification. We evaluate our dynamic evolution strategy using the Goal-Question-Metric method for a Smart Hotel case study with 239 possible configurations as starting point. Our experiment indicates that the proposed technique would enable automatic evolution in 9 out of 10 cases. In the rest of the cases, all of the DSPL configurations changed between the old and the new version, which frustrates an automatic evolution. © 2016 IEEE</v>
      </c>
      <c r="H1364" s="7"/>
      <c r="I1364" s="10" t="b">
        <v>0</v>
      </c>
      <c r="J1364" s="10" t="b">
        <v>0</v>
      </c>
      <c r="K1364" s="10" t="b">
        <v>0</v>
      </c>
      <c r="L1364" s="10" t="b">
        <v>0</v>
      </c>
      <c r="M1364" s="10" t="b">
        <v>0</v>
      </c>
      <c r="N1364" s="10" t="b">
        <v>0</v>
      </c>
      <c r="O1364" s="11" t="b">
        <f t="shared" si="1"/>
        <v>0</v>
      </c>
      <c r="P1364" s="16" t="b">
        <v>0</v>
      </c>
      <c r="Q1364" s="7"/>
    </row>
    <row r="1365">
      <c r="A1365" s="5" t="b">
        <v>1</v>
      </c>
      <c r="B1365" s="5" t="s">
        <v>1418</v>
      </c>
      <c r="C1365" s="7" t="str">
        <f>IFERROR(__xludf.DUMMYFUNCTION("""COMPUTED_VALUE"""),"10.1109/SANER.2017.7884668")</f>
        <v>10.1109/SANER.2017.7884668</v>
      </c>
      <c r="D1365" s="7" t="str">
        <f>IFERROR(__xludf.DUMMYFUNCTION("""COMPUTED_VALUE"""),"Mibe R.; Tanaka T.; Kobayashi T.; Kobayashi S.")</f>
        <v>Mibe R.; Tanaka T.; Kobayashi T.; Kobayashi S.</v>
      </c>
      <c r="E1365" s="7" t="str">
        <f>IFERROR(__xludf.DUMMYFUNCTION("""COMPUTED_VALUE"""),"Business process recovery based on system log and information of organizational structure")</f>
        <v>Business process recovery based on system log and information of organizational structure</v>
      </c>
      <c r="F1365" s="7" t="str">
        <f>IFERROR(__xludf.DUMMYFUNCTION("""COMPUTED_VALUE"""),"SANER")</f>
        <v>SANER</v>
      </c>
      <c r="G1365" s="7" t="str">
        <f>IFERROR(__xludf.DUMMYFUNCTION("""COMPUTED_VALUE"""),"In most current cases of enterprise system development, the requirement specifications should follow those of an existing legacy system. However, it is difficult to identify high-level specifications, such as business process steps, from legacy and undocu"&amp;"mented systems. In this paper, we propose a method to recover an abstract business process by using system logs and the organizational information of the operators using an existing legacy system. Our method provides a hierarchical view based on a cluster"&amp;"ing technique to find abstract activities that consist of a series of operations. We also propose a method to extract the main operation in a cluster. We evaluated the effectiveness of our method through experiments on a real system. © 2017 IEEE.")</f>
        <v>In most current cases of enterprise system development, the requirement specifications should follow those of an existing legacy system. However, it is difficult to identify high-level specifications, such as business process steps, from legacy and undocumented systems. In this paper, we propose a method to recover an abstract business process by using system logs and the organizational information of the operators using an existing legacy system. Our method provides a hierarchical view based on a clustering technique to find abstract activities that consist of a series of operations. We also propose a method to extract the main operation in a cluster. We evaluated the effectiveness of our method through experiments on a real system. © 2017 IEEE.</v>
      </c>
      <c r="H1365" s="7"/>
      <c r="I1365" s="10" t="b">
        <v>0</v>
      </c>
      <c r="J1365" s="10" t="b">
        <v>0</v>
      </c>
      <c r="K1365" s="10" t="b">
        <v>0</v>
      </c>
      <c r="L1365" s="10" t="b">
        <v>0</v>
      </c>
      <c r="M1365" s="10" t="b">
        <v>0</v>
      </c>
      <c r="N1365" s="10" t="b">
        <v>0</v>
      </c>
      <c r="O1365" s="11" t="b">
        <f t="shared" si="1"/>
        <v>0</v>
      </c>
      <c r="P1365" s="16" t="b">
        <v>0</v>
      </c>
      <c r="Q1365" s="7"/>
    </row>
    <row r="1366">
      <c r="A1366" s="5" t="b">
        <v>1</v>
      </c>
      <c r="B1366" s="5" t="s">
        <v>1419</v>
      </c>
      <c r="C1366" s="7" t="str">
        <f>IFERROR(__xludf.DUMMYFUNCTION("""COMPUTED_VALUE"""),"10.1109/SANER53432.2022.00095")</f>
        <v>10.1109/SANER53432.2022.00095</v>
      </c>
      <c r="D1366" s="7" t="str">
        <f>IFERROR(__xludf.DUMMYFUNCTION("""COMPUTED_VALUE"""),"Ye M.; Cao J.; Cheng S.")</f>
        <v>Ye M.; Cao J.; Cheng S.</v>
      </c>
      <c r="E1366" s="7" t="str">
        <f>IFERROR(__xludf.DUMMYFUNCTION("""COMPUTED_VALUE"""),"Rebot: An Automatic Multi-modal Requirements Review Bot")</f>
        <v>Rebot: An Automatic Multi-modal Requirements Review Bot</v>
      </c>
      <c r="F1366" s="7" t="str">
        <f>IFERROR(__xludf.DUMMYFUNCTION("""COMPUTED_VALUE"""),"SANER")</f>
        <v>SANER</v>
      </c>
      <c r="G1366" s="7" t="str">
        <f>IFERROR(__xludf.DUMMYFUNCTION("""COMPUTED_VALUE"""),"Requirements review is the process that reviewers read documents, make suggestions, and help improve the quality of requirements, which is a major factor that contributes to the success or failure of software. However, manually reviewing is a time-consumi"&amp;"ng and challenging task that requires high domain knowledge and expertise. To address the problem, we developed a requirements review tool, called Rebot, which automates the requirements parsing, quality classification, and suggestions generation. The cor"&amp;"e of Rebot is a neural network-based quality model which fuses multi-modal information (visual and textual information) of requirements documents to classify their quality levels (high, medium, low). The model is trained and evaluated on a real industrial"&amp;" requirements documents dataset which is collected from ZTE corporation. The experiments show the model achieves 81.3% accuracy in classifying the quality into three levels. To further validate Rebot, we deployed it in a live software development project."&amp;" We evaluated the correctness, usefulness, and feasibility of Rebot by conducting a questionnaire with the users. Around 76.5% of Rebot's users believe Rebot can support requirements review by providing reliable quality classification results with revisio"&amp;"n suggestions. Furthermore, Around 88% of the users believe Rebot helps reduce the workload of reviewers and increase the development efficiency.  © 2022 IEEE.")</f>
        <v>Requirements review is the process that reviewers read documents, make suggestions, and help improve the quality of requirements, which is a major factor that contributes to the success or failure of software. However, manually reviewing is a time-consuming and challenging task that requires high domain knowledge and expertise. To address the problem, we developed a requirements review tool, called Rebot, which automates the requirements parsing, quality classification, and suggestions generation. The core of Rebot is a neural network-based quality model which fuses multi-modal information (visual and textual information) of requirements documents to classify their quality levels (high, medium, low). The model is trained and evaluated on a real industrial requirements documents dataset which is collected from ZTE corporation. The experiments show the model achieves 81.3% accuracy in classifying the quality into three levels. To further validate Rebot, we deployed it in a live software development project. We evaluated the correctness, usefulness, and feasibility of Rebot by conducting a questionnaire with the users. Around 76.5% of Rebot's users believe Rebot can support requirements review by providing reliable quality classification results with revision suggestions. Furthermore, Around 88% of the users believe Rebot helps reduce the workload of reviewers and increase the development efficiency.  © 2022 IEEE.</v>
      </c>
      <c r="H1366" s="7" t="str">
        <f>IFERROR(__xludf.DUMMYFUNCTION("""COMPUTED_VALUE"""),"Multi-modal Information; Neural Network; Quality Model; Requirements Engineering; Requirements Review")</f>
        <v>Multi-modal Information; Neural Network; Quality Model; Requirements Engineering; Requirements Review</v>
      </c>
      <c r="I1366" s="10" t="b">
        <v>0</v>
      </c>
      <c r="J1366" s="10" t="b">
        <v>0</v>
      </c>
      <c r="K1366" s="10" t="b">
        <v>0</v>
      </c>
      <c r="L1366" s="10" t="b">
        <v>0</v>
      </c>
      <c r="M1366" s="10" t="b">
        <v>0</v>
      </c>
      <c r="N1366" s="10" t="b">
        <v>0</v>
      </c>
      <c r="O1366" s="11" t="b">
        <f t="shared" si="1"/>
        <v>0</v>
      </c>
      <c r="P1366" s="16" t="b">
        <v>0</v>
      </c>
      <c r="Q1366" s="7"/>
    </row>
    <row r="1367">
      <c r="A1367" s="5" t="b">
        <v>1</v>
      </c>
      <c r="B1367" s="5" t="s">
        <v>1420</v>
      </c>
      <c r="C1367" s="7" t="str">
        <f>IFERROR(__xludf.DUMMYFUNCTION("""COMPUTED_VALUE"""),"10.1109/SANER.2016.49")</f>
        <v>10.1109/SANER.2016.49</v>
      </c>
      <c r="D1367" s="7" t="str">
        <f>IFERROR(__xludf.DUMMYFUNCTION("""COMPUTED_VALUE"""),"Gonzalez-De-Aledo P.; Suarez A.D.; Sanchez P.; Huuck R.")</f>
        <v>Gonzalez-De-Aledo P.; Suarez A.D.; Sanchez P.; Huuck R.</v>
      </c>
      <c r="E1367" s="7" t="str">
        <f>IFERROR(__xludf.DUMMYFUNCTION("""COMPUTED_VALUE"""),"Discovering and validating concurrency specification from test executions")</f>
        <v>Discovering and validating concurrency specification from test executions</v>
      </c>
      <c r="F1367" s="7" t="str">
        <f>IFERROR(__xludf.DUMMYFUNCTION("""COMPUTED_VALUE"""),"SANER")</f>
        <v>SANER</v>
      </c>
      <c r="G1367" s="7" t="str">
        <f>IFERROR(__xludf.DUMMYFUNCTION("""COMPUTED_VALUE"""),"Concurrent systems are notoriously hard to get correct and testing these systems is challenging as typically only a subset of concurrent behavior can be covered and observed. Hence, even with a large body of test cases it often remains unclear if the test"&amp;" cases cover the right behavior and, at the same time, if the system behaves as expected. In this work we present an automated formal validation approach to rediscover concurrency behavior from dynamic (symbolic) executions. In particular, we generate for"&amp;"mal UPPAAL models based on test observations, which can be used to validate the intuition of the test engineers and can be formally checked on its own for potential safety violations to enhance the overall validation process. We present the key ideas, our"&amp;" implementation for model generation from testing pthreaded C code using the Forest symbolic execution framework, and we present early experimental results. © 2016 IEEE")</f>
        <v>Concurrent systems are notoriously hard to get correct and testing these systems is challenging as typically only a subset of concurrent behavior can be covered and observed. Hence, even with a large body of test cases it often remains unclear if the test cases cover the right behavior and, at the same time, if the system behaves as expected. In this work we present an automated formal validation approach to rediscover concurrency behavior from dynamic (symbolic) executions. In particular, we generate formal UPPAAL models based on test observations, which can be used to validate the intuition of the test engineers and can be formally checked on its own for potential safety violations to enhance the overall validation process. We present the key ideas, our implementation for model generation from testing pthreaded C code using the Forest symbolic execution framework, and we present early experimental results. © 2016 IEEE</v>
      </c>
      <c r="H1367" s="7"/>
      <c r="I1367" s="10" t="b">
        <v>0</v>
      </c>
      <c r="J1367" s="10" t="b">
        <v>0</v>
      </c>
      <c r="K1367" s="10" t="b">
        <v>0</v>
      </c>
      <c r="L1367" s="10" t="b">
        <v>0</v>
      </c>
      <c r="M1367" s="10" t="b">
        <v>0</v>
      </c>
      <c r="N1367" s="10" t="b">
        <v>0</v>
      </c>
      <c r="O1367" s="11" t="b">
        <f t="shared" si="1"/>
        <v>0</v>
      </c>
      <c r="P1367" s="16" t="b">
        <v>0</v>
      </c>
      <c r="Q1367" s="7"/>
    </row>
    <row r="1368">
      <c r="A1368" s="5" t="b">
        <v>1</v>
      </c>
      <c r="B1368" s="5" t="s">
        <v>1421</v>
      </c>
      <c r="C1368" s="7" t="str">
        <f>IFERROR(__xludf.DUMMYFUNCTION("""COMPUTED_VALUE"""),"10.1109/SANER48275.2020.9054865")</f>
        <v>10.1109/SANER48275.2020.9054865</v>
      </c>
      <c r="D1368" s="7" t="str">
        <f>IFERROR(__xludf.DUMMYFUNCTION("""COMPUTED_VALUE"""),"Sun Z.; Liu Y.; Cheng Z.; Yang C.; Che P.")</f>
        <v>Sun Z.; Liu Y.; Cheng Z.; Yang C.; Che P.</v>
      </c>
      <c r="E1368" s="7" t="str">
        <f>IFERROR(__xludf.DUMMYFUNCTION("""COMPUTED_VALUE"""),"Req2Lib: A Semantic Neural Model for Software Library Recommendation")</f>
        <v>Req2Lib: A Semantic Neural Model for Software Library Recommendation</v>
      </c>
      <c r="F1368" s="7" t="str">
        <f>IFERROR(__xludf.DUMMYFUNCTION("""COMPUTED_VALUE"""),"SANER")</f>
        <v>SANER</v>
      </c>
      <c r="G1368" s="7" t="str">
        <f>IFERROR(__xludf.DUMMYFUNCTION("""COMPUTED_VALUE"""),"Third-party libraries are crucial to the development of software projects. To get suitable libraries, developers need to search through millions of libraries by filtering, evaluating, and comparing. The vast number of libraries places a barrier for progra"&amp;"mmers to locate appropriate ones. To help developers, researchers have proposed automated approaches to recommend libraries based on library usage pattern. However, these prior studies can not sufficiently match user requirements and suffer from cold-star"&amp;"t problem. In this work, we would like to make recommendations based on requirement descriptions to avoid these problems. To this end, we propose a novel neural approach called Req2Lib which recommends libraries given descriptions of the project requireme"&amp;"nt. We use a Sequence-to-Sequence model to learn the library linked-usage information and semantic information of requirement descriptions in natural language. Besides, we apply a domain-specific pre-trained word2vec model for word embedding, which is tra"&amp;"ined over textual corpus from Stack Overflow posts. In the experiment, we train and evaluate the model with data from 5,625 Java projects. Our preliminary evaluation demonstrates that Req2Lib can recommend libraries accurately. © 2020 IEEE.")</f>
        <v>Third-party libraries are crucial to the development of software projects. To get suitable libraries, developers need to search through millions of libraries by filtering, evaluating, and comparing. The vast number of libraries places a barrier for programmers to locate appropriate ones. To help developers, researchers have proposed automated approaches to recommend libraries based on library usage pattern. However, these prior studies can not sufficiently match user requirements and suffer from cold-start problem. In this work, we would like to make recommendations based on requirement descriptions to avoid these problems. To this end, we propose a novel neural approach called Req2Lib which recommends libraries given descriptions of the project requirement. We use a Sequence-to-Sequence model to learn the library linked-usage information and semantic information of requirement descriptions in natural language. Besides, we apply a domain-specific pre-trained word2vec model for word embedding, which is trained over textual corpus from Stack Overflow posts. In the experiment, we train and evaluate the model with data from 5,625 Java projects. Our preliminary evaluation demonstrates that Req2Lib can recommend libraries accurately. © 2020 IEEE.</v>
      </c>
      <c r="H1368" s="7" t="str">
        <f>IFERROR(__xludf.DUMMYFUNCTION("""COMPUTED_VALUE"""),"Deep Learning; GitHub; Library Recommendation")</f>
        <v>Deep Learning; GitHub; Library Recommendation</v>
      </c>
      <c r="I1368" s="10" t="b">
        <v>0</v>
      </c>
      <c r="J1368" s="10" t="b">
        <v>0</v>
      </c>
      <c r="K1368" s="10" t="b">
        <v>0</v>
      </c>
      <c r="L1368" s="10" t="b">
        <v>0</v>
      </c>
      <c r="M1368" s="10" t="b">
        <v>0</v>
      </c>
      <c r="N1368" s="10" t="b">
        <v>0</v>
      </c>
      <c r="O1368" s="11" t="b">
        <f t="shared" si="1"/>
        <v>0</v>
      </c>
      <c r="P1368" s="16" t="b">
        <v>0</v>
      </c>
      <c r="Q1368" s="7"/>
    </row>
    <row r="1369">
      <c r="A1369" s="5" t="b">
        <v>1</v>
      </c>
      <c r="B1369" s="5" t="s">
        <v>1422</v>
      </c>
      <c r="C1369" s="7" t="str">
        <f>IFERROR(__xludf.DUMMYFUNCTION("""COMPUTED_VALUE"""),"10.1109/SANER.2019.8668027")</f>
        <v>10.1109/SANER.2019.8668027</v>
      </c>
      <c r="D1369" s="7" t="str">
        <f>IFERROR(__xludf.DUMMYFUNCTION("""COMPUTED_VALUE"""),"Lu J.; Chen L.; Li L.; Feng X.")</f>
        <v>Lu J.; Chen L.; Li L.; Feng X.</v>
      </c>
      <c r="E1369" s="7" t="str">
        <f>IFERROR(__xludf.DUMMYFUNCTION("""COMPUTED_VALUE"""),"Understanding Node Change Bugs for Distributed Systems")</f>
        <v>Understanding Node Change Bugs for Distributed Systems</v>
      </c>
      <c r="F1369" s="7" t="str">
        <f>IFERROR(__xludf.DUMMYFUNCTION("""COMPUTED_VALUE"""),"SANER")</f>
        <v>SANER</v>
      </c>
      <c r="G1369" s="7" t="str">
        <f>IFERROR(__xludf.DUMMYFUNCTION("""COMPUTED_VALUE"""),"Distributed systems are the fundamental infrastructure for modern cloud applications and the reliability of these systems directly impacts service availability. Distributed systems run on clusters of nodes. When the system is running, nodes can join or le"&amp;"ave the cluster at anytime, due to unexpected failure or system maintenance. It is essential for distributed systems to tolerate such node changes. However, it is also notoriously difficult and challenging to handle node changes right. There are widely ex"&amp;"isting node change bugs which can lead to catastrophic failures. We believe that a comprehensive study on node change bugs is necessary to better prevent and diagnose node change bugs. In this paper, we perform an extensive empirical study on node change "&amp;"bugs. We manually went through 6,660 bug issues of 5 representative distributed systems, where 620 issues were identified as node change bugs. We studied 120 bug examples in detail to understand the root causes, the impacts, the trigger conditions and fix"&amp;"ing strategies of node change bugs. Our findings shed lights on new detection and diagnosis techniques for node change bugs. In our empirical study, we develop two useful tools, NCTrigger and NPEDetector. NCTrigger helps users to automatically reproduce a"&amp;" node change bug by injecting node change events based on user specification. It largely reduces the manual efforts to reproduce a bug (from 2 days to less than half a day). NPEDetector is a static analysis tool to detect null pointer exception errors. We"&amp;" develop this tool based on our findings that node operations often lead to null pointer exception errors, and these errors share a simple common pattern. Experimental results show that this tool can detect 60 new null pointer errors, including 7 node cha"&amp;"nge bugs. 23 bugs have already been patched and fixed. © 2019 IEEE.")</f>
        <v>Distributed systems are the fundamental infrastructure for modern cloud applications and the reliability of these systems directly impacts service availability. Distributed systems run on clusters of nodes. When the system is running, nodes can join or leave the cluster at anytime, due to unexpected failure or system maintenance. It is essential for distributed systems to tolerate such node changes. However, it is also notoriously difficult and challenging to handle node changes right. There are widely existing node change bugs which can lead to catastrophic failures. We believe that a comprehensive study on node change bugs is necessary to better prevent and diagnose node change bugs. In this paper, we perform an extensive empirical study on node change bugs. We manually went through 6,660 bug issues of 5 representative distributed systems, where 620 issues were identified as node change bugs. We studied 120 bug examples in detail to understand the root causes, the impacts, the trigger conditions and fixing strategies of node change bugs. Our findings shed lights on new detection and diagnosis techniques for node change bugs. In our empirical study, we develop two useful tools, NCTrigger and NPEDetector. NCTrigger helps users to automatically reproduce a node change bug by injecting node change events based on user specification. It largely reduces the manual efforts to reproduce a bug (from 2 days to less than half a day). NPEDetector is a static analysis tool to detect null pointer exception errors. We develop this tool based on our findings that node operations often lead to null pointer exception errors, and these errors share a simple common pattern. Experimental results show that this tool can detect 60 new null pointer errors, including 7 node change bugs. 23 bugs have already been patched and fixed. © 2019 IEEE.</v>
      </c>
      <c r="H1369" s="7" t="str">
        <f>IFERROR(__xludf.DUMMYFUNCTION("""COMPUTED_VALUE"""),"crash; distributed system; node change; reboot; shutdown")</f>
        <v>crash; distributed system; node change; reboot; shutdown</v>
      </c>
      <c r="I1369" s="10" t="b">
        <v>0</v>
      </c>
      <c r="J1369" s="10" t="b">
        <v>0</v>
      </c>
      <c r="K1369" s="10" t="b">
        <v>0</v>
      </c>
      <c r="L1369" s="10" t="b">
        <v>0</v>
      </c>
      <c r="M1369" s="10" t="b">
        <v>0</v>
      </c>
      <c r="N1369" s="10" t="b">
        <v>0</v>
      </c>
      <c r="O1369" s="11" t="b">
        <f t="shared" si="1"/>
        <v>0</v>
      </c>
      <c r="P1369" s="16" t="b">
        <v>0</v>
      </c>
      <c r="Q1369" s="7"/>
    </row>
    <row r="1370">
      <c r="A1370" s="5" t="b">
        <v>1</v>
      </c>
      <c r="B1370" s="5" t="s">
        <v>1423</v>
      </c>
      <c r="C1370" s="7" t="str">
        <f>IFERROR(__xludf.DUMMYFUNCTION("""COMPUTED_VALUE"""),"10.1109/SANER53432.2022.00148")</f>
        <v>10.1109/SANER53432.2022.00148</v>
      </c>
      <c r="D1370" s="7" t="str">
        <f>IFERROR(__xludf.DUMMYFUNCTION("""COMPUTED_VALUE"""),"Mauerer W.; Scherzinger S.")</f>
        <v>Mauerer W.; Scherzinger S.</v>
      </c>
      <c r="E1370" s="7" t="str">
        <f>IFERROR(__xludf.DUMMYFUNCTION("""COMPUTED_VALUE"""),"1-2-3 Reproducibility for Quantum Software Experiments")</f>
        <v>1-2-3 Reproducibility for Quantum Software Experiments</v>
      </c>
      <c r="F1370" s="7" t="str">
        <f>IFERROR(__xludf.DUMMYFUNCTION("""COMPUTED_VALUE"""),"SANER")</f>
        <v>SANER</v>
      </c>
      <c r="G1370" s="7" t="str">
        <f>IFERROR(__xludf.DUMMYFUNCTION("""COMPUTED_VALUE"""),"Various fields of science face a reproducibility crisis. For quantum software engineering as an emerging field, it is therefore imminent to focus on proper reproducibility engineering from the start. Yet the provision of reproduction packages is almost un"&amp;"iversally lacking. Actionable advice on how to build such packages is rare, particularly unfortunate in a field with many contributions from researchers with backgrounds outside computer science. In this article, we argue how to rectify this deficiency by"&amp;" proposing a 1-2-3 approach to reproducibility engineering for quantum software experiments: Using a meta-generation mechanism, we generate DOI-safe, long-term functioning and dependency-free reproduction packages. They are designed to satisfy the require"&amp;"ments of professional and learned societies solely on the basis of project-specific research artefacts (source code, measurement and configuration data), and require little temporal investment by researchers. Our scheme ascertains long-term traceability e"&amp;"ven when the quantum processor itself is no longer accessible. By drastically lowering the technical bar, we foster the proliferation of reproduction packages in quantum software experiments and ease the inclusion of non-CS researchers entering the field."&amp;"  © 2022 IEEE.")</f>
        <v>Various fields of science face a reproducibility crisis. For quantum software engineering as an emerging field, it is therefore imminent to focus on proper reproducibility engineering from the start. Yet the provision of reproduction packages is almost universally lacking. Actionable advice on how to build such packages is rare, particularly unfortunate in a field with many contributions from researchers with backgrounds outside computer science. In this article, we argue how to rectify this deficiency by proposing a 1-2-3 approach to reproducibility engineering for quantum software experiments: Using a meta-generation mechanism, we generate DOI-safe, long-term functioning and dependency-free reproduction packages. They are designed to satisfy the requirements of professional and learned societies solely on the basis of project-specific research artefacts (source code, measurement and configuration data), and require little temporal investment by researchers. Our scheme ascertains long-term traceability even when the quantum processor itself is no longer accessible. By drastically lowering the technical bar, we foster the proliferation of reproduction packages in quantum software experiments and ease the inclusion of non-CS researchers entering the field.  © 2022 IEEE.</v>
      </c>
      <c r="H1370" s="7" t="str">
        <f>IFERROR(__xludf.DUMMYFUNCTION("""COMPUTED_VALUE"""),"quantum software engineering; Reproducibility engineering")</f>
        <v>quantum software engineering; Reproducibility engineering</v>
      </c>
      <c r="I1370" s="10" t="b">
        <v>0</v>
      </c>
      <c r="J1370" s="10" t="b">
        <v>0</v>
      </c>
      <c r="K1370" s="10" t="b">
        <v>0</v>
      </c>
      <c r="L1370" s="10" t="b">
        <v>0</v>
      </c>
      <c r="M1370" s="10" t="b">
        <v>0</v>
      </c>
      <c r="N1370" s="10" t="b">
        <v>0</v>
      </c>
      <c r="O1370" s="11" t="b">
        <f t="shared" si="1"/>
        <v>0</v>
      </c>
      <c r="P1370" s="16" t="b">
        <v>0</v>
      </c>
      <c r="Q1370" s="7"/>
    </row>
    <row r="1371">
      <c r="A1371" s="5" t="b">
        <v>1</v>
      </c>
      <c r="B1371" s="5" t="s">
        <v>1424</v>
      </c>
      <c r="C1371" s="7" t="str">
        <f>IFERROR(__xludf.DUMMYFUNCTION("""COMPUTED_VALUE"""),"10.1109/SANER53432.2022.00074")</f>
        <v>10.1109/SANER53432.2022.00074</v>
      </c>
      <c r="D1371" s="7" t="str">
        <f>IFERROR(__xludf.DUMMYFUNCTION("""COMPUTED_VALUE"""),"Ge N.; Wang Z.; Zhang L.; Zhao J.; Zhou Y.; Liu Z.")</f>
        <v>Ge N.; Wang Z.; Zhang L.; Zhao J.; Zhou Y.; Liu Z.</v>
      </c>
      <c r="E1371" s="7" t="str">
        <f>IFERROR(__xludf.DUMMYFUNCTION("""COMPUTED_VALUE"""),"ArchTacRV: Detecting and Runtime Verifying Architectural Tactics in Code")</f>
        <v>ArchTacRV: Detecting and Runtime Verifying Architectural Tactics in Code</v>
      </c>
      <c r="F1371" s="7" t="str">
        <f>IFERROR(__xludf.DUMMYFUNCTION("""COMPUTED_VALUE"""),"SANER")</f>
        <v>SANER</v>
      </c>
      <c r="G1371" s="7" t="str">
        <f>IFERROR(__xludf.DUMMYFUNCTION("""COMPUTED_VALUE"""),"A software architectural tactic is a design decision for realizing quality goals at the architectural level. With the evolution of code, the designed architectural tactics might be degraded over time. In practice, the existing systems provide limited supp"&amp;"ort for checking the consistency between an architectural tactic and its implementation. Kim et al. specified the generic structure and interaction behavior for a subset of architectural tactics in Role-Based Meta-modeling Language (RBML) to facilitate th"&amp;"e design of tactics. Based on Kim et al.'s work, this paper first presents a machine learning-based method to assist users in detecting the behavior methods of the tactic structure in code, then proposes a runtime verification (RV) method for checking the"&amp;" behavioral consistency between the tactic specification in RBML and its implementation. We conducted experiments for the behavioral methods detection approach by comparing five machine learning models on a dataset with seventy-four open-source projects c"&amp;"ontaining ten types of tactics. For each tactic, we selected an open-source project to show the effectiveness of the RV approach. Finally, we design and implement a prototype tool named ArchTacRV to help developers efficiently maintain the architectural t"&amp;"actics.  © 2022 IEEE.")</f>
        <v>A software architectural tactic is a design decision for realizing quality goals at the architectural level. With the evolution of code, the designed architectural tactics might be degraded over time. In practice, the existing systems provide limited support for checking the consistency between an architectural tactic and its implementation. Kim et al. specified the generic structure and interaction behavior for a subset of architectural tactics in Role-Based Meta-modeling Language (RBML) to facilitate the design of tactics. Based on Kim et al.'s work, this paper first presents a machine learning-based method to assist users in detecting the behavior methods of the tactic structure in code, then proposes a runtime verification (RV) method for checking the behavioral consistency between the tactic specification in RBML and its implementation. We conducted experiments for the behavioral methods detection approach by comparing five machine learning models on a dataset with seventy-four open-source projects containing ten types of tactics. For each tactic, we selected an open-source project to show the effectiveness of the RV approach. Finally, we design and implement a prototype tool named ArchTacRV to help developers efficiently maintain the architectural tactics.  © 2022 IEEE.</v>
      </c>
      <c r="H1371" s="7" t="str">
        <f>IFERROR(__xludf.DUMMYFUNCTION("""COMPUTED_VALUE"""),"consistency checking; machine learning; runtime verification; Software architectural tactics; structure detection")</f>
        <v>consistency checking; machine learning; runtime verification; Software architectural tactics; structure detection</v>
      </c>
      <c r="I1371" s="10" t="b">
        <v>0</v>
      </c>
      <c r="J1371" s="10" t="b">
        <v>0</v>
      </c>
      <c r="K1371" s="10" t="b">
        <v>0</v>
      </c>
      <c r="L1371" s="10" t="b">
        <v>0</v>
      </c>
      <c r="M1371" s="10" t="b">
        <v>0</v>
      </c>
      <c r="N1371" s="10" t="b">
        <v>0</v>
      </c>
      <c r="O1371" s="11" t="b">
        <f t="shared" si="1"/>
        <v>0</v>
      </c>
      <c r="P1371" s="16" t="b">
        <v>0</v>
      </c>
      <c r="Q1371" s="7"/>
    </row>
    <row r="1372">
      <c r="A1372" s="5" t="b">
        <v>1</v>
      </c>
      <c r="B1372" s="5" t="s">
        <v>1425</v>
      </c>
      <c r="C1372" s="7" t="str">
        <f>IFERROR(__xludf.DUMMYFUNCTION("""COMPUTED_VALUE"""),"10.1109/SANER56733.2023.00057")</f>
        <v>10.1109/SANER56733.2023.00057</v>
      </c>
      <c r="D1372" s="7" t="str">
        <f>IFERROR(__xludf.DUMMYFUNCTION("""COMPUTED_VALUE"""),"Sworna Z.T.; Ali Babar M.; Sreekumar A.")</f>
        <v>Sworna Z.T.; Ali Babar M.; Sreekumar A.</v>
      </c>
      <c r="E1372" s="7" t="str">
        <f>IFERROR(__xludf.DUMMYFUNCTION("""COMPUTED_VALUE"""),"IRP2API: Automated Mapping of Cyber Security Incident Response Plan to Security Tools' APIs")</f>
        <v>IRP2API: Automated Mapping of Cyber Security Incident Response Plan to Security Tools' APIs</v>
      </c>
      <c r="F1372" s="7" t="str">
        <f>IFERROR(__xludf.DUMMYFUNCTION("""COMPUTED_VALUE"""),"SANER")</f>
        <v>SANER</v>
      </c>
      <c r="G1372" s="7" t="str">
        <f>IFERROR(__xludf.DUMMYFUNCTION("""COMPUTED_VALUE"""),"Security Operation Center (SOC) uses Incident Response Plan (IRP) to respond to security incidents by orchestrating diverse security tools' activities in a Security Orchestration, Automation and Response (SOAR) platform. SOC teams manually dig through API"&amp;" documentation of security tools to find the appropriate APIs to define, update and execute an IRP, which hampers effective and efficient incident response. We propose a novel framework, namely IRP2API, for automated mapping of IRP to diverse security too"&amp;"ls' APIs. IRP2API enables SOC teams to effectively and efficiently execute IRP tasks, whilst significantly reducing the required human effort. IRP2API is a unified framework for diverse security tools using an unsupervised transfer learning approach based"&amp;" on API documentation. IRP2API alleviates the requirement of expert knowledge, expensive manually labeled data and access to the code repository. IRP2API achieves suitable semantic coverage by leveraging different semantic variation enrichment methods to "&amp;"deal with the semantic variation of IRP and API data. To demonstrate the real world viability of IRP2API, we experimentally evaluate its effectiveness and efficiency using IRPs of a real world SOAR platform, 6 security tools and 4 transfer learning-based "&amp;"pre-trained embedding approaches. IRP2API achieves 91.1% Top-15 Accuracy and mean reciprocal rank@15 of 57.4 for automated IRP to API mapping, which is 41.6% and 81.6% improved compared to the best results across all non-transfer learning-based baselines."&amp;" It indicates its effectiveness to support a SOC team. IRP2API requires only 0.8 sec per IRP task to map suitable API that reflects its real world applicability in time-critical SOC. © 2023 IEEE.")</f>
        <v>Security Operation Center (SOC) uses Incident Response Plan (IRP) to respond to security incidents by orchestrating diverse security tools' activities in a Security Orchestration, Automation and Response (SOAR) platform. SOC teams manually dig through API documentation of security tools to find the appropriate APIs to define, update and execute an IRP, which hampers effective and efficient incident response. We propose a novel framework, namely IRP2API, for automated mapping of IRP to diverse security tools' APIs. IRP2API enables SOC teams to effectively and efficiently execute IRP tasks, whilst significantly reducing the required human effort. IRP2API is a unified framework for diverse security tools using an unsupervised transfer learning approach based on API documentation. IRP2API alleviates the requirement of expert knowledge, expensive manually labeled data and access to the code repository. IRP2API achieves suitable semantic coverage by leveraging different semantic variation enrichment methods to deal with the semantic variation of IRP and API data. To demonstrate the real world viability of IRP2API, we experimentally evaluate its effectiveness and efficiency using IRPs of a real world SOAR platform, 6 security tools and 4 transfer learning-based pre-trained embedding approaches. IRP2API achieves 91.1% Top-15 Accuracy and mean reciprocal rank@15 of 57.4 for automated IRP to API mapping, which is 41.6% and 81.6% improved compared to the best results across all non-transfer learning-based baselines. It indicates its effectiveness to support a SOC team. IRP2API requires only 0.8 sec per IRP task to map suitable API that reflects its real world applicability in time-critical SOC. © 2023 IEEE.</v>
      </c>
      <c r="H1372" s="7" t="str">
        <f>IFERROR(__xludf.DUMMYFUNCTION("""COMPUTED_VALUE"""),"Incident Response Plan; Security Operation Center; Security Orchestration; Security Tool API")</f>
        <v>Incident Response Plan; Security Operation Center; Security Orchestration; Security Tool API</v>
      </c>
      <c r="I1372" s="10" t="b">
        <v>0</v>
      </c>
      <c r="J1372" s="10" t="b">
        <v>0</v>
      </c>
      <c r="K1372" s="10" t="b">
        <v>0</v>
      </c>
      <c r="L1372" s="10" t="b">
        <v>0</v>
      </c>
      <c r="M1372" s="10" t="b">
        <v>0</v>
      </c>
      <c r="N1372" s="10" t="b">
        <v>0</v>
      </c>
      <c r="O1372" s="11" t="b">
        <f t="shared" si="1"/>
        <v>0</v>
      </c>
      <c r="P1372" s="16" t="b">
        <v>0</v>
      </c>
      <c r="Q1372" s="7"/>
    </row>
    <row r="1373">
      <c r="A1373" s="5" t="b">
        <v>1</v>
      </c>
      <c r="B1373" s="5" t="s">
        <v>1426</v>
      </c>
      <c r="C1373" s="7" t="str">
        <f>IFERROR(__xludf.DUMMYFUNCTION("""COMPUTED_VALUE"""),"10.1109/SANER50967.2021.00016")</f>
        <v>10.1109/SANER50967.2021.00016</v>
      </c>
      <c r="D1373" s="7" t="str">
        <f>IFERROR(__xludf.DUMMYFUNCTION("""COMPUTED_VALUE"""),"He H.; Xu Y.; Ma Y.; Xu Y.; Liang G.; Zhou M.")</f>
        <v>He H.; Xu Y.; Ma Y.; Xu Y.; Liang G.; Zhou M.</v>
      </c>
      <c r="E1373" s="7" t="str">
        <f>IFERROR(__xludf.DUMMYFUNCTION("""COMPUTED_VALUE"""),"A Multi-Metric Ranking Approach for Library Migration Recommendations")</f>
        <v>A Multi-Metric Ranking Approach for Library Migration Recommendations</v>
      </c>
      <c r="F1373" s="7" t="str">
        <f>IFERROR(__xludf.DUMMYFUNCTION("""COMPUTED_VALUE"""),"SANER")</f>
        <v>SANER</v>
      </c>
      <c r="G1373" s="7" t="str">
        <f>IFERROR(__xludf.DUMMYFUNCTION("""COMPUTED_VALUE"""),"The wide adoption of third-party libraries in software projects is beneficial but also risky. An already-adopted third-party library may be abandoned by its maintainers, may have license incompatibilities, or may no longer align with current project requi"&amp;"rements. Under such circumstances, developers need to migrate the library to another library with similar functionalities, but the migration decisions are often opinion-based and sub-optimal with limited information at hand. Therefore, several filtering-b"&amp;"ased approaches have been proposed to mine library migrations from existing software data to leverage ""the wisdom of crowd, ""but they suffer from either low precision or low recall with different thresholds, which limits their usefulness in supporting m"&amp;"igration decisions.In this paper, we present a novel approach that utilizes multiple metrics to rank and therefore recommend library migrations. Given a library to migrate, our approach first generates candidate target libraries from a large corpus of sof"&amp;"tware repositories, and then ranks them by combining the following four metrics to capture different dimensions of evidence from development histories: Rule Support, Message Support, Distance Support, and API Support. We evaluate the performance of our ap"&amp;"proach with 773 migration rules (190 source libraries) that we borrow from previous work and recover from 21, 358 Java GitHub projects. The experiments show that our metrics are effective to help identify real migration targets, and our approach significa"&amp;"ntly outperforms existing works, with MRR of 0.8566, top-1 precision of 0.7947, top-10 NDCG of 0.7702, and top-20 recall of 0.8939. To demonstrate the generality of our approach, we manually verify the recommendation results of 480 popular libraries not i"&amp;"ncluded in prior work, and we confirm 661 new migration rules from 231 of the 480 libraries with comparable performance. The source code, data, and supplementary materials are provided at: https://github.com/hehao98/MigrationHelper. © 2021 IEEE.")</f>
        <v>The wide adoption of third-party libraries in software projects is beneficial but also risky. An already-adopted third-party library may be abandoned by its maintainers, may have license incompatibilities, or may no longer align with current project requirements. Under such circumstances, developers need to migrate the library to another library with similar functionalities, but the migration decisions are often opinion-based and sub-optimal with limited information at hand. Therefore, several filtering-based approaches have been proposed to mine library migrations from existing software data to leverage "the wisdom of crowd, "but they suffer from either low precision or low recall with different thresholds, which limits their usefulness in supporting migration decisions.In this paper, we present a novel approach that utilizes multiple metrics to rank and therefore recommend library migrations. Given a library to migrate, our approach first generates candidate target libraries from a large corpus of software repositories, and then ranks them by combining the following four metrics to capture different dimensions of evidence from development histories: Rule Support, Message Support, Distance Support, and API Support. We evaluate the performance of our approach with 773 migration rules (190 source libraries) that we borrow from previous work and recover from 21, 358 Java GitHub projects. The experiments show that our metrics are effective to help identify real migration targets, and our approach significantly outperforms existing works, with MRR of 0.8566, top-1 precision of 0.7947, top-10 NDCG of 0.7702, and top-20 recall of 0.8939. To demonstrate the generality of our approach, we manually verify the recommendation results of 480 popular libraries not included in prior work, and we confirm 661 new migration rules from 231 of the 480 libraries with comparable performance. The source code, data, and supplementary materials are provided at: https://github.com/hehao98/MigrationHelper. © 2021 IEEE.</v>
      </c>
      <c r="H1373" s="7" t="str">
        <f>IFERROR(__xludf.DUMMYFUNCTION("""COMPUTED_VALUE"""),"library migration; library recommendation; mining software repositories; multi-metric ranking")</f>
        <v>library migration; library recommendation; mining software repositories; multi-metric ranking</v>
      </c>
      <c r="I1373" s="10" t="b">
        <v>0</v>
      </c>
      <c r="J1373" s="10" t="b">
        <v>0</v>
      </c>
      <c r="K1373" s="10" t="b">
        <v>0</v>
      </c>
      <c r="L1373" s="10" t="b">
        <v>0</v>
      </c>
      <c r="M1373" s="10" t="b">
        <v>0</v>
      </c>
      <c r="N1373" s="10" t="b">
        <v>0</v>
      </c>
      <c r="O1373" s="11" t="b">
        <f t="shared" si="1"/>
        <v>0</v>
      </c>
      <c r="P1373" s="16" t="b">
        <v>0</v>
      </c>
      <c r="Q1373" s="7"/>
    </row>
    <row r="1374">
      <c r="A1374" s="5" t="b">
        <v>1</v>
      </c>
      <c r="B1374" s="5" t="s">
        <v>1427</v>
      </c>
      <c r="C1374" s="7" t="str">
        <f>IFERROR(__xludf.DUMMYFUNCTION("""COMPUTED_VALUE"""),"10.1145/3387939.3391599")</f>
        <v>10.1145/3387939.3391599</v>
      </c>
      <c r="D1374" s="7" t="str">
        <f>IFERROR(__xludf.DUMMYFUNCTION("""COMPUTED_VALUE"""),"Hnetynka P.; Bures T.; Gerostathopoulos I.; Pacovsky J.")</f>
        <v>Hnetynka P.; Bures T.; Gerostathopoulos I.; Pacovsky J.</v>
      </c>
      <c r="E1374" s="7" t="str">
        <f>IFERROR(__xludf.DUMMYFUNCTION("""COMPUTED_VALUE"""),"Using component ensembles for modeling autonomic component collaboration in smart farming")</f>
        <v>Using component ensembles for modeling autonomic component collaboration in smart farming</v>
      </c>
      <c r="F1374" s="7" t="str">
        <f>IFERROR(__xludf.DUMMYFUNCTION("""COMPUTED_VALUE"""),"SEAMS")</f>
        <v>SEAMS</v>
      </c>
      <c r="G1374" s="7" t="str">
        <f>IFERROR(__xludf.DUMMYFUNCTION("""COMPUTED_VALUE"""),"Smart systems have become key solutions for many application areas including autonomous farming. The trend we can see now in the smart systems is that they shift from single isolated autonomic and self-adaptive components to larger ecosystems of heavily c"&amp;"ooperating components. This increases the reliability and often the cost-effectiveness of the system by replacing one big costly device with a number of smaller and cheaper ones. In this paper, we demonstrate the effect of synergistic collaboration among "&amp;"autonomic components in the domain of smart farming - -in particular, the use-case we employ in the demonstration stems from the AFar-Cloud EU project. We exploit the concept of autonomic component ensembles to describe situation-dependent collaboration g"&amp;"roups (so called ensembles). The paper shows how the autonomic component ensembles can easily capture complex collaboration rules and how they can include both controllable autonomic components (i.e. drones) and non-controllable environment agents (flocks"&amp;" of birds in our case). As part of the demonstration, we provide an open-source implementation that covers both the specification of the autonomic components and ensembles of the use case, and the discrete event simulation and real-time visualization of t"&amp;"he use case. We believe this is useful not only to demonstrate the effectiveness of architectures of collaborative autonomic components for dealing with real-life tasks, but also to build further experiments in the domain.  © 2020 Owner/Author.")</f>
        <v>Smart systems have become key solutions for many application areas including autonomous farming. The trend we can see now in the smart systems is that they shift from single isolated autonomic and self-adaptive components to larger ecosystems of heavily cooperating components. This increases the reliability and often the cost-effectiveness of the system by replacing one big costly device with a number of smaller and cheaper ones. In this paper, we demonstrate the effect of synergistic collaboration among autonomic components in the domain of smart farming - -in particular, the use-case we employ in the demonstration stems from the AFar-Cloud EU project. We exploit the concept of autonomic component ensembles to describe situation-dependent collaboration groups (so called ensembles). The paper shows how the autonomic component ensembles can easily capture complex collaboration rules and how they can include both controllable autonomic components (i.e. drones) and non-controllable environment agents (flocks of birds in our case). As part of the demonstration, we provide an open-source implementation that covers both the specification of the autonomic components and ensembles of the use case, and the discrete event simulation and real-time visualization of the use case. We believe this is useful not only to demonstrate the effectiveness of architectures of collaborative autonomic components for dealing with real-life tasks, but also to build further experiments in the domain.  © 2020 Owner/Author.</v>
      </c>
      <c r="H1374" s="7" t="str">
        <f>IFERROR(__xludf.DUMMYFUNCTION("""COMPUTED_VALUE"""),"autonomic systems; dynamic adaptation; self-adaptive architecture; smart farming")</f>
        <v>autonomic systems; dynamic adaptation; self-adaptive architecture; smart farming</v>
      </c>
      <c r="I1374" s="10" t="b">
        <v>0</v>
      </c>
      <c r="J1374" s="10" t="b">
        <v>0</v>
      </c>
      <c r="K1374" s="10" t="b">
        <v>0</v>
      </c>
      <c r="L1374" s="10" t="b">
        <v>0</v>
      </c>
      <c r="M1374" s="10" t="b">
        <v>0</v>
      </c>
      <c r="N1374" s="10" t="b">
        <v>0</v>
      </c>
      <c r="O1374" s="11" t="b">
        <f t="shared" si="1"/>
        <v>0</v>
      </c>
      <c r="P1374" s="16" t="b">
        <v>0</v>
      </c>
      <c r="Q1374" s="7"/>
    </row>
    <row r="1375">
      <c r="A1375" s="5" t="b">
        <v>1</v>
      </c>
      <c r="B1375" s="5" t="s">
        <v>1428</v>
      </c>
      <c r="C1375" s="7" t="str">
        <f>IFERROR(__xludf.DUMMYFUNCTION("""COMPUTED_VALUE"""),"10.1145/3387939.3391610")</f>
        <v>10.1145/3387939.3391610</v>
      </c>
      <c r="D1375" s="7" t="str">
        <f>IFERROR(__xludf.DUMMYFUNCTION("""COMPUTED_VALUE"""),"Mori K.; Okubo N.; Ueda Y.; Katahira M.; Amagasa T.")</f>
        <v>Mori K.; Okubo N.; Ueda Y.; Katahira M.; Amagasa T.</v>
      </c>
      <c r="E1375" s="7" t="str">
        <f>IFERROR(__xludf.DUMMYFUNCTION("""COMPUTED_VALUE"""),"Supporting viewpoints to review the lack of requirements in space systems with machine learning")</f>
        <v>Supporting viewpoints to review the lack of requirements in space systems with machine learning</v>
      </c>
      <c r="F1375" s="7" t="str">
        <f>IFERROR(__xludf.DUMMYFUNCTION("""COMPUTED_VALUE"""),"SEAMS")</f>
        <v>SEAMS</v>
      </c>
      <c r="G1375" s="7" t="str">
        <f>IFERROR(__xludf.DUMMYFUNCTION("""COMPUTED_VALUE"""),"Identifying the insufficient requirements, such as missing or lacking requirements, is important to prevent serious accidents for CPSs (Cyber-Physical Systems), such as launch vehicles and spacecrafts which often required to be self-adaptive. In JAXA (Jap"&amp;"an Aerospace Exploration Agency), several review boards in place to verify the requirements toward space systems from various viewpoints which often derived from the reviewer's experience about anomalies. However, the impossibility of assigning a well-exp"&amp;"erienced reviewer to all review opportunities highlights the importance of sharing their viewpoints. In this paper, we aimed to extract and exploit associations between development documents and archived anomaly reports about space systems, thereby identi"&amp;"fying the lacking requirement in the review. An association between these two documents can be treated as a viewpoint of the review, which contributes to preventing previously experienced anomalies. To cope with this problem, we propose a CNN (Convolution"&amp;"al Neural Network) model that predicts the correlation of documents. A collection of judgments about meaningfully related pairs of text was prepared to train the proposed model to contribute to detect the lack of requirements. Experimental results have sh"&amp;"own that the performance of the proposed method is significantly better than that of baseline methods (i.e., 71.0% in F-measure). Also, further investigation has shown that not only the word similarity, but different attributes are necessary to solve our "&amp;"problem.  © 2020 ACM.")</f>
        <v>Identifying the insufficient requirements, such as missing or lacking requirements, is important to prevent serious accidents for CPSs (Cyber-Physical Systems), such as launch vehicles and spacecrafts which often required to be self-adaptive. In JAXA (Japan Aerospace Exploration Agency), several review boards in place to verify the requirements toward space systems from various viewpoints which often derived from the reviewer's experience about anomalies. However, the impossibility of assigning a well-experienced reviewer to all review opportunities highlights the importance of sharing their viewpoints. In this paper, we aimed to extract and exploit associations between development documents and archived anomaly reports about space systems, thereby identifying the lacking requirement in the review. An association between these two documents can be treated as a viewpoint of the review, which contributes to preventing previously experienced anomalies. To cope with this problem, we propose a CNN (Convolutional Neural Network) model that predicts the correlation of documents. A collection of judgments about meaningfully related pairs of text was prepared to train the proposed model to contribute to detect the lack of requirements. Experimental results have shown that the performance of the proposed method is significantly better than that of baseline methods (i.e., 71.0% in F-measure). Also, further investigation has shown that not only the word similarity, but different attributes are necessary to solve our problem.  © 2020 ACM.</v>
      </c>
      <c r="H1375" s="7" t="str">
        <f>IFERROR(__xludf.DUMMYFUNCTION("""COMPUTED_VALUE"""),"machine learning; neural networks; software requirement; verification; viewpoint")</f>
        <v>machine learning; neural networks; software requirement; verification; viewpoint</v>
      </c>
      <c r="I1375" s="10" t="b">
        <v>0</v>
      </c>
      <c r="J1375" s="10" t="b">
        <v>0</v>
      </c>
      <c r="K1375" s="10" t="b">
        <v>0</v>
      </c>
      <c r="L1375" s="10" t="b">
        <v>0</v>
      </c>
      <c r="M1375" s="10" t="b">
        <v>0</v>
      </c>
      <c r="N1375" s="10" t="b">
        <v>0</v>
      </c>
      <c r="O1375" s="11" t="b">
        <f t="shared" si="1"/>
        <v>0</v>
      </c>
      <c r="P1375" s="16" t="b">
        <v>0</v>
      </c>
      <c r="Q1375" s="7"/>
    </row>
    <row r="1376">
      <c r="A1376" s="5" t="b">
        <v>1</v>
      </c>
      <c r="B1376" s="5" t="s">
        <v>1429</v>
      </c>
      <c r="C1376" s="7" t="str">
        <f>IFERROR(__xludf.DUMMYFUNCTION("""COMPUTED_VALUE"""),"10.1145/3524844.3528063")</f>
        <v>10.1145/3524844.3528063</v>
      </c>
      <c r="D1376" s="7" t="str">
        <f>IFERROR(__xludf.DUMMYFUNCTION("""COMPUTED_VALUE"""),"Wohlrab R.; Meira-Goes R.; Vierhauser M.")</f>
        <v>Wohlrab R.; Meira-Goes R.; Vierhauser M.</v>
      </c>
      <c r="E1376" s="7" t="str">
        <f>IFERROR(__xludf.DUMMYFUNCTION("""COMPUTED_VALUE"""),"Run-Time Adaptation of Quality Attributes for Automated Planning")</f>
        <v>Run-Time Adaptation of Quality Attributes for Automated Planning</v>
      </c>
      <c r="F1376" s="7" t="str">
        <f>IFERROR(__xludf.DUMMYFUNCTION("""COMPUTED_VALUE"""),"SEAMS")</f>
        <v>SEAMS</v>
      </c>
      <c r="G1376" s="7" t="str">
        <f>IFERROR(__xludf.DUMMYFUNCTION("""COMPUTED_VALUE"""),"Self-Adaptive systems typically operate in heterogeneous environments and need to optimize their behavior based on a variety of quality attributes to meet stakeholders' needs. During adaptation planning, these quality attributes are considered in the form"&amp;" of constraints, describing requirements that must be fulfilled, and utility functions, which are used to select an optimal plan among several alternatives. Up until now, most automated planning approaches are not designed to adapt quality attributes, the"&amp;"ir priorities, and their trade-offs at run time. Instead, both utility functions and constraints are commonly defined at design time. There exists a clear lack of run-Time mechanisms that support their adaptation in response to changes in the environment "&amp;"or in stakeholders' preferences. In this paper, we present initial work that combines automated planning and adaptation of quality attributes to address this gap. The approach helps to semi-Automatically adjust utility functions and constraints based on c"&amp;"hanges at run time. We present a preliminary experimental evaluation that indicates that our approach can provide plans with higher utility values while fulfilling changed or added constraints. We conclude this paper with our envisioned research outlook a"&amp;"nd plans for future empirical studies. © 2022 ACM.")</f>
        <v>Self-Adaptive systems typically operate in heterogeneous environments and need to optimize their behavior based on a variety of quality attributes to meet stakeholders' needs. During adaptation planning, these quality attributes are considered in the form of constraints, describing requirements that must be fulfilled, and utility functions, which are used to select an optimal plan among several alternatives. Up until now, most automated planning approaches are not designed to adapt quality attributes, their priorities, and their trade-offs at run time. Instead, both utility functions and constraints are commonly defined at design time. There exists a clear lack of run-Time mechanisms that support their adaptation in response to changes in the environment or in stakeholders' preferences. In this paper, we present initial work that combines automated planning and adaptation of quality attributes to address this gap. The approach helps to semi-Automatically adjust utility functions and constraints based on changes at run time. We present a preliminary experimental evaluation that indicates that our approach can provide plans with higher utility values while fulfilling changed or added constraints. We conclude this paper with our envisioned research outlook and plans for future empirical studies. © 2022 ACM.</v>
      </c>
      <c r="H1376" s="7" t="str">
        <f>IFERROR(__xludf.DUMMYFUNCTION("""COMPUTED_VALUE"""),"automated planning; conflict resolution; constraints; non-functional requirements; quality attributes; self-Adaptation")</f>
        <v>automated planning; conflict resolution; constraints; non-functional requirements; quality attributes; self-Adaptation</v>
      </c>
      <c r="I1376" s="10" t="b">
        <v>0</v>
      </c>
      <c r="J1376" s="10" t="b">
        <v>0</v>
      </c>
      <c r="K1376" s="10" t="b">
        <v>0</v>
      </c>
      <c r="L1376" s="10" t="b">
        <v>0</v>
      </c>
      <c r="M1376" s="10" t="b">
        <v>0</v>
      </c>
      <c r="N1376" s="10" t="b">
        <v>0</v>
      </c>
      <c r="O1376" s="11" t="b">
        <f t="shared" si="1"/>
        <v>0</v>
      </c>
      <c r="P1376" s="16" t="b">
        <v>0</v>
      </c>
      <c r="Q1376" s="7"/>
    </row>
    <row r="1377">
      <c r="A1377" s="5" t="b">
        <v>1</v>
      </c>
      <c r="B1377" s="5" t="s">
        <v>1430</v>
      </c>
      <c r="C1377" s="7" t="str">
        <f>IFERROR(__xludf.DUMMYFUNCTION("""COMPUTED_VALUE"""),"10.1145/3524844.3528051")</f>
        <v>10.1145/3524844.3528051</v>
      </c>
      <c r="D1377" s="7" t="str">
        <f>IFERROR(__xludf.DUMMYFUNCTION("""COMPUTED_VALUE"""),"Baresi L.; Hu D.Y.X.; Quattrocchi G.; Terracciano L.")</f>
        <v>Baresi L.; Hu D.Y.X.; Quattrocchi G.; Terracciano L.</v>
      </c>
      <c r="E1377" s="7" t="str">
        <f>IFERROR(__xludf.DUMMYFUNCTION("""COMPUTED_VALUE"""),"NEPTUNE: Network-and GPU-Aware Management of Serverless Functions at the Edge")</f>
        <v>NEPTUNE: Network-and GPU-Aware Management of Serverless Functions at the Edge</v>
      </c>
      <c r="F1377" s="7" t="str">
        <f>IFERROR(__xludf.DUMMYFUNCTION("""COMPUTED_VALUE"""),"SEAMS")</f>
        <v>SEAMS</v>
      </c>
      <c r="G1377" s="7" t="str">
        <f>IFERROR(__xludf.DUMMYFUNCTION("""COMPUTED_VALUE"""),"Nowadays a wide range of applications is constrained by low-latency requirements that cloud infrastructures cannot meet. Multi-Access Edge Computing (MEC) has been proposed as the reference architecture for executing applications closer to users and reduc"&amp;"ing latency, but new challenges arise: edge nodes are resource-constrained, the workload can vary significantly since users are nomadic, and task complexity is increasing (e.g., machine learning inference). To overcome these problems, the paper presents N"&amp;"EPTUNE, a serverless-based framework for managing complex MEC solutions. NEPTUNE i) places functions on edge nodes according to user locations, ii) avoids the saturation of single nodes, iii) exploits GPUs when available, and iv) allocates resources (CPU "&amp;"cores) dynamically to meet foreseen execution times. A prototype, built on top of K3S, was used to evaluate NEPTUNE on a set of experiments that demonstrate a significant reduction in terms of response time, network overhead, and resource consumption comp"&amp;"ared to three well-known approaches. © 2022 ACM.")</f>
        <v>Nowadays a wide range of applications is constrained by low-latency requirements that cloud infrastructures cannot meet. Multi-Access Edge Computing (MEC) has been proposed as the reference architecture for executing applications closer to users and reducing latency, but new challenges arise: edge nodes are resource-constrained, the workload can vary significantly since users are nomadic, and task complexity is increasing (e.g., machine learning inference). To overcome these problems, the paper presents NEPTUNE, a serverless-based framework for managing complex MEC solutions. NEPTUNE i) places functions on edge nodes according to user locations, ii) avoids the saturation of single nodes, iii) exploits GPUs when available, and iv) allocates resources (CPU cores) dynamically to meet foreseen execution times. A prototype, built on top of K3S, was used to evaluate NEPTUNE on a set of experiments that demonstrate a significant reduction in terms of response time, network overhead, and resource consumption compared to three well-known approaches. © 2022 ACM.</v>
      </c>
      <c r="H1377" s="7" t="str">
        <f>IFERROR(__xludf.DUMMYFUNCTION("""COMPUTED_VALUE"""),"control theory; dynamic resource allocation; edge computing; gpu; placement; serverless")</f>
        <v>control theory; dynamic resource allocation; edge computing; gpu; placement; serverless</v>
      </c>
      <c r="I1377" s="10" t="b">
        <v>0</v>
      </c>
      <c r="J1377" s="10" t="b">
        <v>0</v>
      </c>
      <c r="K1377" s="10" t="b">
        <v>0</v>
      </c>
      <c r="L1377" s="10" t="b">
        <v>0</v>
      </c>
      <c r="M1377" s="10" t="b">
        <v>0</v>
      </c>
      <c r="N1377" s="10" t="b">
        <v>0</v>
      </c>
      <c r="O1377" s="11" t="b">
        <f t="shared" si="1"/>
        <v>0</v>
      </c>
      <c r="P1377" s="16" t="b">
        <v>0</v>
      </c>
      <c r="Q1377" s="7"/>
    </row>
    <row r="1378">
      <c r="A1378" s="5" t="b">
        <v>1</v>
      </c>
      <c r="B1378" s="5" t="s">
        <v>1431</v>
      </c>
      <c r="C1378" s="7" t="str">
        <f>IFERROR(__xludf.DUMMYFUNCTION("""COMPUTED_VALUE"""),"10.1145/2593929.2593940")</f>
        <v>10.1145/2593929.2593940</v>
      </c>
      <c r="D1378" s="7" t="str">
        <f>IFERROR(__xludf.DUMMYFUNCTION("""COMPUTED_VALUE"""),"Jamshidi P.; Ahmad A.; Pahl C.")</f>
        <v>Jamshidi P.; Ahmad A.; Pahl C.</v>
      </c>
      <c r="E1378" s="7" t="str">
        <f>IFERROR(__xludf.DUMMYFUNCTION("""COMPUTED_VALUE"""),"Autonomic resource provisioning for cloud-based software")</f>
        <v>Autonomic resource provisioning for cloud-based software</v>
      </c>
      <c r="F1378" s="7" t="str">
        <f>IFERROR(__xludf.DUMMYFUNCTION("""COMPUTED_VALUE"""),"SEAMS")</f>
        <v>SEAMS</v>
      </c>
      <c r="G1378" s="7" t="str">
        <f>IFERROR(__xludf.DUMMYFUNCTION("""COMPUTED_VALUE"""),"Cloud elasticity provides a software system with the ability to maintain optimal user experience by automatically acquiring and releasing resources, while paying only for what has been consumed. The mechanism for automatically adding or removing resources"&amp;" on the fly is referred to as auto-scaling. The state-of-thepractice with respect to auto-scaling involves specifying thresholdbased rules to implement elasticity policies for cloud-based applications. However, there are several shortcomings regarding thi"&amp;"s approach. Firstly, the elasticity rules must be specified precisely by quantitative values, which requires deep knowledge and expertise. Furthermore, existing approaches do not explicitly deal with uncertainty in cloud-based software, where noise and un"&amp;"expected events are common. This paper exploits fuzzy logic to enable qualitative specification of elasticity rules for cloud-based software. In addition, this paper discusses a control theoretical approach using type-2 fuzzy logic systems to reason about"&amp;" elasticity under uncertainties. We conduct several experiments to demonstrate that cloud-based software enhanced with such elasticity controller can robustly handle unexpected spikes in the workload and provide acceptable user experience. This translates"&amp;" into increased profit for the cloud application owner.")</f>
        <v>Cloud elasticity provides a software system with the ability to maintain optimal user experience by automatically acquiring and releasing resources, while paying only for what has been consumed. The mechanism for automatically adding or removing resources on the fly is referred to as auto-scaling. The state-of-thepractice with respect to auto-scaling involves specifying thresholdbased rules to implement elasticity policies for cloud-based applications. However, there are several shortcomings regarding this approach. Firstly, the elasticity rules must be specified precisely by quantitative values, which requires deep knowledge and expertise. Furthermore, existing approaches do not explicitly deal with uncertainty in cloud-based software, where noise and unexpected events are common. This paper exploits fuzzy logic to enable qualitative specification of elasticity rules for cloud-based software. In addition, this paper discusses a control theoretical approach using type-2 fuzzy logic systems to reason about elasticity under uncertainties. We conduct several experiments to demonstrate that cloud-based software enhanced with such elasticity controller can robustly handle unexpected spikes in the workload and provide acceptable user experience. This translates into increased profit for the cloud application owner.</v>
      </c>
      <c r="H1378" s="7" t="str">
        <f>IFERROR(__xludf.DUMMYFUNCTION("""COMPUTED_VALUE"""),"Auto-scaling; Cloud computing; Elasticity; Uncertainty")</f>
        <v>Auto-scaling; Cloud computing; Elasticity; Uncertainty</v>
      </c>
      <c r="I1378" s="10" t="b">
        <v>0</v>
      </c>
      <c r="J1378" s="10" t="b">
        <v>0</v>
      </c>
      <c r="K1378" s="10" t="b">
        <v>0</v>
      </c>
      <c r="L1378" s="10" t="b">
        <v>0</v>
      </c>
      <c r="M1378" s="10" t="b">
        <v>0</v>
      </c>
      <c r="N1378" s="10" t="b">
        <v>0</v>
      </c>
      <c r="O1378" s="11" t="b">
        <f t="shared" si="1"/>
        <v>0</v>
      </c>
      <c r="P1378" s="16" t="b">
        <v>0</v>
      </c>
      <c r="Q1378" s="7"/>
    </row>
    <row r="1379">
      <c r="A1379" s="5" t="b">
        <v>1</v>
      </c>
      <c r="B1379" s="5" t="s">
        <v>1432</v>
      </c>
      <c r="C1379" s="7" t="str">
        <f>IFERROR(__xludf.DUMMYFUNCTION("""COMPUTED_VALUE"""),"10.1145/2593929.2593932")</f>
        <v>10.1145/2593929.2593932</v>
      </c>
      <c r="D1379" s="7" t="str">
        <f>IFERROR(__xludf.DUMMYFUNCTION("""COMPUTED_VALUE"""),"Gerasimou S.; Calinescu R.; Banks A.")</f>
        <v>Gerasimou S.; Calinescu R.; Banks A.</v>
      </c>
      <c r="E1379" s="7" t="str">
        <f>IFERROR(__xludf.DUMMYFUNCTION("""COMPUTED_VALUE"""),"Efficient runtime quantitative verification using caching, lookahead, and nearly-optimal reconfiguration")</f>
        <v>Efficient runtime quantitative verification using caching, lookahead, and nearly-optimal reconfiguration</v>
      </c>
      <c r="F1379" s="7" t="str">
        <f>IFERROR(__xludf.DUMMYFUNCTION("""COMPUTED_VALUE"""),"SEAMS")</f>
        <v>SEAMS</v>
      </c>
      <c r="G1379" s="7" t="str">
        <f>IFERROR(__xludf.DUMMYFUNCTION("""COMPUTED_VALUE"""),"Self-adaptive systems used in safety-critical and businesscritical applications must continue to comply with strict non-functional requirements while evolving in order to adapt to changing workloads, environments, and goals. Runtime quantitative verificat"&amp;"ion (RQV) has been proposed as an effective means of enhancing self-adaptive systems with this capability. However, RQV frequently fails to provide the fast response times and low computation overheads required by real-world self-adaptive systems. In this"&amp;" paper, we investigate how three techniques, namely caching, lookahead and nearly-optimal reconfiguration, and combinations thereof, can help address this limitation. Extensive experiments in a case study involving the RQV-driven self-adaptation of an unm"&amp;"anned underwater vehicle indicate that these techniques can lead to significant reductions in RQV response times and computation overheads.")</f>
        <v>Self-adaptive systems used in safety-critical and businesscritical applications must continue to comply with strict non-functional requirements while evolving in order to adapt to changing workloads, environments, and goals. Runtime quantitative verification (RQV) has been proposed as an effective means of enhancing self-adaptive systems with this capability. However, RQV frequently fails to provide the fast response times and low computation overheads required by real-world self-adaptive systems. In this paper, we investigate how three techniques, namely caching, lookahead and nearly-optimal reconfiguration, and combinations thereof, can help address this limitation. Extensive experiments in a case study involving the RQV-driven self-adaptation of an unmanned underwater vehicle indicate that these techniques can lead to significant reductions in RQV response times and computation overheads.</v>
      </c>
      <c r="H1379" s="7" t="str">
        <f>IFERROR(__xludf.DUMMYFUNCTION("""COMPUTED_VALUE"""),"Continuous-time Markov chains; Probabilistic model checking; Quantitative verification; Self-adaptation")</f>
        <v>Continuous-time Markov chains; Probabilistic model checking; Quantitative verification; Self-adaptation</v>
      </c>
      <c r="I1379" s="10" t="b">
        <v>0</v>
      </c>
      <c r="J1379" s="10" t="b">
        <v>0</v>
      </c>
      <c r="K1379" s="10" t="b">
        <v>0</v>
      </c>
      <c r="L1379" s="10" t="b">
        <v>0</v>
      </c>
      <c r="M1379" s="10" t="b">
        <v>0</v>
      </c>
      <c r="N1379" s="10" t="b">
        <v>0</v>
      </c>
      <c r="O1379" s="11" t="b">
        <f t="shared" si="1"/>
        <v>0</v>
      </c>
      <c r="P1379" s="16" t="b">
        <v>0</v>
      </c>
      <c r="Q1379" s="7"/>
    </row>
    <row r="1380">
      <c r="A1380" s="5" t="b">
        <v>1</v>
      </c>
      <c r="B1380" s="5" t="s">
        <v>1433</v>
      </c>
      <c r="C1380" s="7" t="str">
        <f>IFERROR(__xludf.DUMMYFUNCTION("""COMPUTED_VALUE"""),"10.1109/SEAMS.2017.4")</f>
        <v>10.1109/SEAMS.2017.4</v>
      </c>
      <c r="D1380" s="7" t="str">
        <f>IFERROR(__xludf.DUMMYFUNCTION("""COMPUTED_VALUE"""),"Tahara Y.; Ohsuga A.; Honiden S.")</f>
        <v>Tahara Y.; Ohsuga A.; Honiden S.</v>
      </c>
      <c r="E1380" s="7" t="str">
        <f>IFERROR(__xludf.DUMMYFUNCTION("""COMPUTED_VALUE"""),"Formal Verification of Dynamic Evolution Processes of UML Models Using Aspects")</f>
        <v>Formal Verification of Dynamic Evolution Processes of UML Models Using Aspects</v>
      </c>
      <c r="F1380" s="7" t="str">
        <f>IFERROR(__xludf.DUMMYFUNCTION("""COMPUTED_VALUE"""),"SEAMS")</f>
        <v>SEAMS</v>
      </c>
      <c r="G1380" s="7" t="str">
        <f>IFERROR(__xludf.DUMMYFUNCTION("""COMPUTED_VALUE"""),"The rapidly changing requirements and environments of system operation demand dynamic changes to systems with as short downtimes as possible. System availability is a relevant feature for such dynamic changes, which we call dynamic evolution. One of the m"&amp;"ost promising approaches to highly available dynamic evolution is dynamic aspect weaving, a technique of aspect-oriented programming technology. It enables part of a program to dynamically change without stopping its execution. Another feature relevant to"&amp;" dynamic evolution is the assurance of correctness of evolution. However, this is not easy for dynamic evolution, mainly because the evolution process is rather complicated. Formal modeling and verification (specifically, model checking) are other promisi"&amp;"ng technologies. Many researchers have proposed various approaches to model and verify dynamic evolution. However, highly available dynamic evolution processes tend to be too complicated to verify with existing techniques because such processes need to be"&amp;" simultaneously controlled with system functionalities and the operations for evolution that include dynamic aspect weaving. We propose a formal verification tool called CAMPer that analyzes the unified modeling language (UML) models of dynamic evolution "&amp;"processes that consist of multiple steps with sophisticated control that includes dynamic aspect weaving. This tool is able to verify functional requirements for the processes that would be complicated to attain high availability. Our approach uses the Ma"&amp;"ude specification language to systematically express dynamic evolution and dynamic aspect weaving by using reflection. We also used a model checker for Maude to verify the evolution processes. We conducted experiments using an example Tele Assistance Syst"&amp;"em (TAS) to demonstrate the advantages of our approach and evaluate its feasibility. © 2017 IEEE.")</f>
        <v>The rapidly changing requirements and environments of system operation demand dynamic changes to systems with as short downtimes as possible. System availability is a relevant feature for such dynamic changes, which we call dynamic evolution. One of the most promising approaches to highly available dynamic evolution is dynamic aspect weaving, a technique of aspect-oriented programming technology. It enables part of a program to dynamically change without stopping its execution. Another feature relevant to dynamic evolution is the assurance of correctness of evolution. However, this is not easy for dynamic evolution, mainly because the evolution process is rather complicated. Formal modeling and verification (specifically, model checking) are other promising technologies. Many researchers have proposed various approaches to model and verify dynamic evolution. However, highly available dynamic evolution processes tend to be too complicated to verify with existing techniques because such processes need to be simultaneously controlled with system functionalities and the operations for evolution that include dynamic aspect weaving. We propose a formal verification tool called CAMPer that analyzes the unified modeling language (UML) models of dynamic evolution processes that consist of multiple steps with sophisticated control that includes dynamic aspect weaving. This tool is able to verify functional requirements for the processes that would be complicated to attain high availability. Our approach uses the Maude specification language to systematically express dynamic evolution and dynamic aspect weaving by using reflection. We also used a model checker for Maude to verify the evolution processes. We conducted experiments using an example Tele Assistance System (TAS) to demonstrate the advantages of our approach and evaluate its feasibility. © 2017 IEEE.</v>
      </c>
      <c r="H1380" s="7" t="str">
        <f>IFERROR(__xludf.DUMMYFUNCTION("""COMPUTED_VALUE"""),"algebraic specifications; aspect-oriented software development; CAM (Component Aspect Model); dynamic aspect weaving; dynamic evolution; formal verification; Maude; model checking; reflection; UML")</f>
        <v>algebraic specifications; aspect-oriented software development; CAM (Component Aspect Model); dynamic aspect weaving; dynamic evolution; formal verification; Maude; model checking; reflection; UML</v>
      </c>
      <c r="I1380" s="10" t="b">
        <v>0</v>
      </c>
      <c r="J1380" s="10" t="b">
        <v>0</v>
      </c>
      <c r="K1380" s="10" t="b">
        <v>0</v>
      </c>
      <c r="L1380" s="10" t="b">
        <v>0</v>
      </c>
      <c r="M1380" s="10" t="b">
        <v>0</v>
      </c>
      <c r="N1380" s="10" t="b">
        <v>0</v>
      </c>
      <c r="O1380" s="11" t="b">
        <f t="shared" si="1"/>
        <v>0</v>
      </c>
      <c r="P1380" s="16" t="b">
        <v>0</v>
      </c>
      <c r="Q1380" s="7"/>
    </row>
    <row r="1381">
      <c r="A1381" s="5" t="b">
        <v>1</v>
      </c>
      <c r="B1381" s="5" t="s">
        <v>1434</v>
      </c>
      <c r="C1381" s="7" t="str">
        <f>IFERROR(__xludf.DUMMYFUNCTION("""COMPUTED_VALUE"""),"10.1109/SEAMS.2015.15")</f>
        <v>10.1109/SEAMS.2015.15</v>
      </c>
      <c r="D1381" s="7" t="str">
        <f>IFERROR(__xludf.DUMMYFUNCTION("""COMPUTED_VALUE"""),"Fredericks E.M.; Cheng B.H.C.")</f>
        <v>Fredericks E.M.; Cheng B.H.C.</v>
      </c>
      <c r="E1381" s="7" t="str">
        <f>IFERROR(__xludf.DUMMYFUNCTION("""COMPUTED_VALUE"""),"Automated Generation of Adaptive Test Plans for Self-Adaptive Systems")</f>
        <v>Automated Generation of Adaptive Test Plans for Self-Adaptive Systems</v>
      </c>
      <c r="F1381" s="7" t="str">
        <f>IFERROR(__xludf.DUMMYFUNCTION("""COMPUTED_VALUE"""),"SEAMS")</f>
        <v>SEAMS</v>
      </c>
      <c r="G1381" s="7" t="str">
        <f>IFERROR(__xludf.DUMMYFUNCTION("""COMPUTED_VALUE"""),"Self-adaptive systems (SAS) can reconfigure at run-time to mitigate uncertainties posed by environments for which they may not have been explicitly designed. High-assurance SAS applications must continually deliver acceptable behavior for critical service"&amp;"s, enabling the need for run-time validation techniques. To this end, run-time testing can provide additional assurance that an SAS will continue to behave as expected while executing under unknown conditions. This paper introduces Proteus, a framework fo"&amp;"r adaptive run-time testing on an SAS. Proteus facilitates both execution and adaptation of run-time testing activities to ensure that the SAS continues to execute according to its requirements and that both test plans and test cases continually remain re"&amp;"levant to changing operating conditions. We demonstrate our approach by applying it to a simulated self-adaptive remote data mirroring network that must efficiently diffuse data while experiencing adverse operating conditions. Experimental results suggest"&amp;" that Proteus can reduce the number of executed irrelevant, false positive, and false negative test cases at run time to ensure that online testing activities remain relevant as the SAS encounters uncertainty. © 2015 IEEE.")</f>
        <v>Self-adaptive systems (SAS) can reconfigure at run-time to mitigate uncertainties posed by environments for which they may not have been explicitly designed. High-assurance SAS applications must continually deliver acceptable behavior for critical services, enabling the need for run-time validation techniques. To this end, run-time testing can provide additional assurance that an SAS will continue to behave as expected while executing under unknown conditions. This paper introduces Proteus, a framework for adaptive run-time testing on an SAS. Proteus facilitates both execution and adaptation of run-time testing activities to ensure that the SAS continues to execute according to its requirements and that both test plans and test cases continually remain relevant to changing operating conditions. We demonstrate our approach by applying it to a simulated self-adaptive remote data mirroring network that must efficiently diffuse data while experiencing adverse operating conditions. Experimental results suggest that Proteus can reduce the number of executed irrelevant, false positive, and false negative test cases at run time to ensure that online testing activities remain relevant as the SAS encounters uncertainty. © 2015 IEEE.</v>
      </c>
      <c r="H1381" s="7" t="str">
        <f>IFERROR(__xludf.DUMMYFUNCTION("""COMPUTED_VALUE"""),"Evolutionary computation; Online adaptation; Run-time testing; Self-adaptive systems")</f>
        <v>Evolutionary computation; Online adaptation; Run-time testing; Self-adaptive systems</v>
      </c>
      <c r="I1381" s="10" t="b">
        <v>0</v>
      </c>
      <c r="J1381" s="10" t="b">
        <v>0</v>
      </c>
      <c r="K1381" s="10" t="b">
        <v>0</v>
      </c>
      <c r="L1381" s="10" t="b">
        <v>0</v>
      </c>
      <c r="M1381" s="10" t="b">
        <v>0</v>
      </c>
      <c r="N1381" s="10" t="b">
        <v>0</v>
      </c>
      <c r="O1381" s="11" t="b">
        <f t="shared" si="1"/>
        <v>0</v>
      </c>
      <c r="P1381" s="16" t="b">
        <v>0</v>
      </c>
      <c r="Q1381" s="7"/>
    </row>
    <row r="1382">
      <c r="A1382" s="5" t="b">
        <v>1</v>
      </c>
      <c r="B1382" s="5" t="s">
        <v>1435</v>
      </c>
      <c r="C1382" s="7" t="str">
        <f>IFERROR(__xludf.DUMMYFUNCTION("""COMPUTED_VALUE"""),"10.1007/3-540-46419-0_10")</f>
        <v>10.1007/3-540-46419-0_10</v>
      </c>
      <c r="D1382" s="7" t="str">
        <f>IFERROR(__xludf.DUMMYFUNCTION("""COMPUTED_VALUE"""),"Larsson F,Pettersson P,Yi W")</f>
        <v>Larsson F,Pettersson P,Yi W</v>
      </c>
      <c r="E1382" s="7" t="str">
        <f>IFERROR(__xludf.DUMMYFUNCTION("""COMPUTED_VALUE"""),"On Memory-Block Traversal Problems in Model-Checking Timed-Systems")</f>
        <v>On Memory-Block Traversal Problems in Model-Checking Timed-Systems</v>
      </c>
      <c r="F1382" s="7" t="str">
        <f>IFERROR(__xludf.DUMMYFUNCTION("""COMPUTED_VALUE"""),"TACAS")</f>
        <v>TACAS</v>
      </c>
      <c r="G1382" s="7" t="str">
        <f>IFERROR(__xludf.DUMMYFUNCTION("""COMPUTED_VALUE"""),"A major problem in model-checking timed systems is the huge memory requirement. In this paper, we study the memory-block traversal problems of using standard operating systems in exploring the state-space of timed automata. We report a case study which de"&amp;"monstrates that deallocating memory blocks (i.e. memory-block traversal) using standard memory management routines is extremely time-consuming. The phenomenon is demonstrated in a number of experiments by installing the UPPAAL tool on Windows95, SunOS 5 a"&amp;"nd Linux. It seems that the problem should be solved by implementing a memory manager for the model-checker, which is a troublesome task as it is involved in the underlining hardware and operating system. We present an alternative technique that allows th"&amp;"e model-checker to control the memory-block traversal strategies of the operating systems without implementing an independent memory manager. The technique is implemented in the UPPAAL model-checker. Our experiments demonstrate that it results in signific"&amp;"ant improvement on the performance of UPPAAL. For example, it reduces the memory deallocation time in checking a start-up synchronisation protocol on Linux from 7 days to about 1 hour. We show that the technique can also be applied in speeding up re-trave"&amp;"rsals of explored state-space.")</f>
        <v>A major problem in model-checking timed systems is the huge memory requirement. In this paper, we study the memory-block traversal problems of using standard operating systems in exploring the state-space of timed automata. We report a case study which demonstrates that deallocating memory blocks (i.e. memory-block traversal) using standard memory management routines is extremely time-consuming. The phenomenon is demonstrated in a number of experiments by installing the UPPAAL tool on Windows95, SunOS 5 and Linux. It seems that the problem should be solved by implementing a memory manager for the model-checker, which is a troublesome task as it is involved in the underlining hardware and operating system. We present an alternative technique that allows the model-checker to control the memory-block traversal strategies of the operating systems without implementing an independent memory manager. The technique is implemented in the UPPAAL model-checker. Our experiments demonstrate that it results in significant improvement on the performance of UPPAAL. For example, it reduces the memory deallocation time in checking a start-up synchronisation protocol on Linux from 7 days to about 1 hour. We show that the technique can also be applied in speeding up re-traversals of explored state-space.</v>
      </c>
      <c r="H1382" s="7" t="str">
        <f>IFERROR(__xludf.DUMMYFUNCTION("""COMPUTED_VALUE"""),"Memory Block, Symbolic State, Memory Page, Time Automaton, Allocation Order")</f>
        <v>Memory Block, Symbolic State, Memory Page, Time Automaton, Allocation Order</v>
      </c>
      <c r="I1382" s="10" t="b">
        <v>0</v>
      </c>
      <c r="J1382" s="10" t="b">
        <v>0</v>
      </c>
      <c r="K1382" s="10" t="b">
        <v>0</v>
      </c>
      <c r="L1382" s="10" t="b">
        <v>0</v>
      </c>
      <c r="M1382" s="10" t="b">
        <v>0</v>
      </c>
      <c r="N1382" s="10" t="b">
        <v>0</v>
      </c>
      <c r="O1382" s="11" t="b">
        <f t="shared" si="1"/>
        <v>0</v>
      </c>
      <c r="P1382" s="16" t="b">
        <v>0</v>
      </c>
      <c r="Q1382" s="7"/>
    </row>
    <row r="1383">
      <c r="A1383" s="5" t="b">
        <v>1</v>
      </c>
      <c r="B1383" s="5" t="s">
        <v>1436</v>
      </c>
      <c r="C1383" s="7" t="str">
        <f>IFERROR(__xludf.DUMMYFUNCTION("""COMPUTED_VALUE"""),"10.1007/978-3-030-44429-7_3")</f>
        <v>10.1007/978-3-030-44429-7_3</v>
      </c>
      <c r="D1383" s="7" t="str">
        <f>IFERROR(__xludf.DUMMYFUNCTION("""COMPUTED_VALUE"""),"Ahrens M,Schneider K")</f>
        <v>Ahrens M,Schneider K</v>
      </c>
      <c r="E1383" s="7" t="str">
        <f>IFERROR(__xludf.DUMMYFUNCTION("""COMPUTED_VALUE"""),"Using Eye Tracking Data to Improve Requirements Specification Use")</f>
        <v>Using Eye Tracking Data to Improve Requirements Specification Use</v>
      </c>
      <c r="F1383" s="7" t="str">
        <f>IFERROR(__xludf.DUMMYFUNCTION("""COMPUTED_VALUE"""),"REFSQ")</f>
        <v>REFSQ</v>
      </c>
      <c r="G1383" s="7" t="str">
        <f>IFERROR(__xludf.DUMMYFUNCTION("""COMPUTED_VALUE"""),"[Context and motivation] Software requirements specifications are the main point of reference in traditional software projects. Especially in large projects, these documents get read by multiple people, multiple times. [Question/problem] Several guideline"&amp;"s and templates already exist to support writing a good specification. However, not much research has been done in investigating how to support the use of specifications and help readers to find relevant information and navigate in the document more effic"&amp;"iently. [Principal ideas/results] We used eye tracking data obtained from observing readers when using specifications to create three different attention transfer features to support them in this process. In a student experiment, we evaluated if these att"&amp;"ention visualizations positively affect the roles software architect, UI-designer and tester when reading a specification for the first time. The results show that the attention visualizations did not decrease navigation effort, but helped to draw the rea"&amp;"ders’ attention towards highlighted parts and decreased the average time spent on pages. [Contribution] We explored and evaluated the approach of visualizing other readers’ attention focus to help support new readers. Our results include interesting findi"&amp;"ngs on what works well, what does not and what could be enhanced. We present improvement suggestions and ideas on where to focus follow-up research on.")</f>
        <v>[Context and motivation] Software requirements specifications are the main point of reference in traditional software projects. Especially in large projects, these documents get read by multiple people, multiple times. [Question/problem] Several guidelines and templates already exist to support writing a good specification. However, not much research has been done in investigating how to support the use of specifications and help readers to find relevant information and navigate in the document more efficiently. [Principal ideas/results] We used eye tracking data obtained from observing readers when using specifications to create three different attention transfer features to support them in this process. In a student experiment, we evaluated if these attention visualizations positively affect the roles software architect, UI-designer and tester when reading a specification for the first time. The results show that the attention visualizations did not decrease navigation effort, but helped to draw the readers’ attention towards highlighted parts and decreased the average time spent on pages. [Contribution] We explored and evaluated the approach of visualizing other readers’ attention focus to help support new readers. Our results include interesting findings on what works well, what does not and what could be enhanced. We present improvement suggestions and ideas on where to focus follow-up research on.</v>
      </c>
      <c r="H1383" s="7" t="str">
        <f>IFERROR(__xludf.DUMMYFUNCTION("""COMPUTED_VALUE"""),"Empirical study, Visualization, Eye tracking, Software requirements specification, Requirements document, Attention transfer")</f>
        <v>Empirical study, Visualization, Eye tracking, Software requirements specification, Requirements document, Attention transfer</v>
      </c>
      <c r="I1383" s="9" t="b">
        <v>1</v>
      </c>
      <c r="J1383" s="9" t="b">
        <v>1</v>
      </c>
      <c r="K1383" s="9" t="b">
        <v>1</v>
      </c>
      <c r="L1383" s="10" t="b">
        <v>0</v>
      </c>
      <c r="M1383" s="10" t="b">
        <v>0</v>
      </c>
      <c r="N1383" s="10" t="b">
        <v>0</v>
      </c>
      <c r="O1383" s="11" t="b">
        <f t="shared" si="1"/>
        <v>1</v>
      </c>
      <c r="P1383" s="16" t="b">
        <v>0</v>
      </c>
      <c r="Q1383" s="7"/>
    </row>
    <row r="1384">
      <c r="A1384" s="5" t="b">
        <v>1</v>
      </c>
      <c r="B1384" s="5" t="s">
        <v>1437</v>
      </c>
      <c r="C1384" s="7" t="str">
        <f>IFERROR(__xludf.DUMMYFUNCTION("""COMPUTED_VALUE"""),"10.1007/978-3-030-44429-7_16")</f>
        <v>10.1007/978-3-030-44429-7_16</v>
      </c>
      <c r="D1384" s="7" t="str">
        <f>IFERROR(__xludf.DUMMYFUNCTION("""COMPUTED_VALUE"""),"Dalpiaz F,Sturm A")</f>
        <v>Dalpiaz F,Sturm A</v>
      </c>
      <c r="E1384" s="7" t="str">
        <f>IFERROR(__xludf.DUMMYFUNCTION("""COMPUTED_VALUE"""),"Conceptualizing Requirements Using User Stories and Use Cases: A Controlled Experiment")</f>
        <v>Conceptualizing Requirements Using User Stories and Use Cases: A Controlled Experiment</v>
      </c>
      <c r="F1384" s="7" t="str">
        <f>IFERROR(__xludf.DUMMYFUNCTION("""COMPUTED_VALUE"""),"REFSQ")</f>
        <v>REFSQ</v>
      </c>
      <c r="G1384" s="7" t="str">
        <f>IFERROR(__xludf.DUMMYFUNCTION("""COMPUTED_VALUE"""),"[Context and motivation] Notations for expressing requirements are often proposed without explicit consideration of their suitability for specific tasks. Consequently, practitioners may choose a sub-optimal notation, thereby affecting task performance. [Q"&amp;"uestion/problem] We investigate the adequacy of two well-known notations: use cases and user stories, as a starting point for the manual derivation of a static conceptual model. In particular, we examine the completeness and correctness of the derived con"&amp;"ceptual model. [Principal ideas/results] We conducted a two-factor, two-treatment controlled experiment with 118 subjects. The results indicate that for deriving conceptual models, user stories fit better than use cases. It seems that the repetitions in u"&amp;"ser stories and their conciseness contribute to these results. [Contribution] The paper calls for evaluating requirements notations in the context of various requirements engineering tasks and for providing evidence regarding the aspects that need to be t"&amp;"aken into account when selecting a requirement notation.")</f>
        <v>[Context and motivation] Notations for expressing requirements are often proposed without explicit consideration of their suitability for specific tasks. Consequently, practitioners may choose a sub-optimal notation, thereby affecting task performance. [Question/problem] We investigate the adequacy of two well-known notations: use cases and user stories, as a starting point for the manual derivation of a static conceptual model. In particular, we examine the completeness and correctness of the derived conceptual model. [Principal ideas/results] We conducted a two-factor, two-treatment controlled experiment with 118 subjects. The results indicate that for deriving conceptual models, user stories fit better than use cases. It seems that the repetitions in user stories and their conciseness contribute to these results. [Contribution] The paper calls for evaluating requirements notations in the context of various requirements engineering tasks and for providing evidence regarding the aspects that need to be taken into account when selecting a requirement notation.</v>
      </c>
      <c r="H1384" s="7" t="str">
        <f>IFERROR(__xludf.DUMMYFUNCTION("""COMPUTED_VALUE"""),"Conceptual modeling, Controlled experiment, Use cases, Requirements engineering, User stories")</f>
        <v>Conceptual modeling, Controlled experiment, Use cases, Requirements engineering, User stories</v>
      </c>
      <c r="I1384" s="9" t="b">
        <v>1</v>
      </c>
      <c r="J1384" s="9" t="b">
        <v>1</v>
      </c>
      <c r="K1384" s="9" t="b">
        <v>1</v>
      </c>
      <c r="L1384" s="10" t="b">
        <v>0</v>
      </c>
      <c r="M1384" s="10" t="b">
        <v>0</v>
      </c>
      <c r="N1384" s="10" t="b">
        <v>0</v>
      </c>
      <c r="O1384" s="11" t="b">
        <f t="shared" si="1"/>
        <v>1</v>
      </c>
      <c r="P1384" s="16" t="b">
        <v>0</v>
      </c>
      <c r="Q1384" s="7"/>
    </row>
    <row r="1385">
      <c r="A1385" s="5" t="b">
        <v>1</v>
      </c>
      <c r="B1385" s="5" t="s">
        <v>1438</v>
      </c>
      <c r="C1385" s="7" t="str">
        <f>IFERROR(__xludf.DUMMYFUNCTION("""COMPUTED_VALUE"""),"10.1007/978-3-031-29786-1_8")</f>
        <v>10.1007/978-3-031-29786-1_8</v>
      </c>
      <c r="D1385" s="7" t="str">
        <f>IFERROR(__xludf.DUMMYFUNCTION("""COMPUTED_VALUE"""),"Bashir S,Abbas M,Saadatmand M,Enoiu EP,Bohlin M,Lindberg P")</f>
        <v>Bashir S,Abbas M,Saadatmand M,Enoiu EP,Bohlin M,Lindberg P</v>
      </c>
      <c r="E1385" s="7" t="str">
        <f>IFERROR(__xludf.DUMMYFUNCTION("""COMPUTED_VALUE"""),"Requirement or Not, That is the Question: A Case from the Railway Industry")</f>
        <v>Requirement or Not, That is the Question: A Case from the Railway Industry</v>
      </c>
      <c r="F1385" s="7" t="str">
        <f>IFERROR(__xludf.DUMMYFUNCTION("""COMPUTED_VALUE"""),"REFSQ")</f>
        <v>REFSQ</v>
      </c>
      <c r="G1385" s="7" t="str">
        <f>IFERROR(__xludf.DUMMYFUNCTION("""COMPUTED_VALUE"""),"[Context and Motivation] Requirements in tender documents are often mixed with other supporting information. Identifying requirements in large tender documents could aid the bidding process and help estimate the risk associated with the project. [Question"&amp;"/problem] Manual identification of requirements in large documents is a resource-intensive activity that is prone to human error and limits scalability. This study compares various state-of-the-art approaches for requirements identification in an industri"&amp;"al context. For generalizability, we also present an evaluation on a real-world public dataset. [Principal ideas/results] We formulate the requirement identification problem as a binary text classification problem. Various state-of-the-art classifiers bas"&amp;"ed on traditional machine learning, deep learning, and few-shot learning are evaluated for requirements identification based on accuracy, precision, recall, and F1 score. Results from the evaluation show that the transformer-based BERT classifier performs"&amp;" the best, with an average F1 score of 0.82 and 0.87 on industrial and public datasets, respectively. Our results also confirm that few-shot classifiers can achieve comparable results with an average F1 score of 0.76 on significantly lower samples, i.e., "&amp;"only 20% of the data. [Contribution] There is little empirical evidence on the use of large language models and few-shots classifiers for requirements identification. This paper fills this gap by presenting an industrial empirical evaluation of the state-"&amp;"of-the-art approaches for requirements identification in large tender documents. We also provide a running tool and a replication package for further experimentation to support future research in this area.")</f>
        <v>[Context and Motivation] Requirements in tender documents are often mixed with other supporting information. Identifying requirements in large tender documents could aid the bidding process and help estimate the risk associated with the project. [Question/problem] Manual identification of requirements in large documents is a resource-intensive activity that is prone to human error and limits scalability. This study compares various state-of-the-art approaches for requirements identification in an industrial context. For generalizability, we also present an evaluation on a real-world public dataset. [Principal ideas/results] We formulate the requirement identification problem as a binary text classification problem. Various state-of-the-art classifiers based on traditional machine learning, deep learning, and few-shot learning are evaluated for requirements identification based on accuracy, precision, recall, and F1 score. Results from the evaluation show that the transformer-based BERT classifier performs the best, with an average F1 score of 0.82 and 0.87 on industrial and public datasets, respectively. Our results also confirm that few-shot classifiers can achieve comparable results with an average F1 score of 0.76 on significantly lower samples, i.e., only 20% of the data. [Contribution] There is little empirical evidence on the use of large language models and few-shots classifiers for requirements identification. This paper fills this gap by presenting an industrial empirical evaluation of the state-of-the-art approaches for requirements identification in large tender documents. We also provide a running tool and a replication package for further experimentation to support future research in this area.</v>
      </c>
      <c r="H1385" s="7" t="str">
        <f>IFERROR(__xludf.DUMMYFUNCTION("""COMPUTED_VALUE"""),"Requirements identification, Requirements classification, NLP, tender documents")</f>
        <v>Requirements identification, Requirements classification, NLP, tender documents</v>
      </c>
      <c r="I1385" s="10" t="b">
        <v>0</v>
      </c>
      <c r="J1385" s="10" t="b">
        <v>0</v>
      </c>
      <c r="K1385" s="10" t="b">
        <v>0</v>
      </c>
      <c r="L1385" s="10" t="b">
        <v>0</v>
      </c>
      <c r="M1385" s="10" t="b">
        <v>0</v>
      </c>
      <c r="N1385" s="10" t="b">
        <v>0</v>
      </c>
      <c r="O1385" s="11" t="b">
        <f t="shared" si="1"/>
        <v>0</v>
      </c>
      <c r="P1385" s="16" t="b">
        <v>0</v>
      </c>
      <c r="Q1385" s="7"/>
    </row>
    <row r="1386">
      <c r="A1386" s="5" t="b">
        <v>1</v>
      </c>
      <c r="B1386" s="5" t="s">
        <v>1439</v>
      </c>
      <c r="C1386" s="7" t="str">
        <f>IFERROR(__xludf.DUMMYFUNCTION("""COMPUTED_VALUE"""),"10.1007/978-3-030-73128-1_13")</f>
        <v>10.1007/978-3-030-73128-1_13</v>
      </c>
      <c r="D1386" s="7" t="str">
        <f>IFERROR(__xludf.DUMMYFUNCTION("""COMPUTED_VALUE"""),"Astegher M,Busetta P,Perini A,Susi A")</f>
        <v>Astegher M,Busetta P,Perini A,Susi A</v>
      </c>
      <c r="E1386" s="7" t="str">
        <f>IFERROR(__xludf.DUMMYFUNCTION("""COMPUTED_VALUE"""),"Specifying Requirements for Data Collection and Analysis in Data-Driven RE. A Research Preview")</f>
        <v>Specifying Requirements for Data Collection and Analysis in Data-Driven RE. A Research Preview</v>
      </c>
      <c r="F1386" s="7" t="str">
        <f>IFERROR(__xludf.DUMMYFUNCTION("""COMPUTED_VALUE"""),"REFSQ")</f>
        <v>REFSQ</v>
      </c>
      <c r="G1386" s="7" t="str">
        <f>IFERROR(__xludf.DUMMYFUNCTION("""COMPUTED_VALUE"""),"[Context and motivation] According to Data-Driven Requirements Engineering (RE), explicit and implicit user feedback can be considered a relevant source of requirements, thus supporting requirements elicitation. [Question/problem] Less attention has been "&amp;"paid so far to the role of implicit feedback in RE tasks, such as requirements validation, and on how to specify what implicit feedback to collect and analyse. [Principal idea/results] We propose an approach that leverages on goal-oriented requirements mo"&amp;"delling combined with Goal-Question-Metric. We explore the applicability of the approach on an industrial project in which a platform for online training has been adapted to realise a citizen information service that has been used by hundreds of people du"&amp;"ring the COVID-19 pandemic. [Contributions] Our contribution is twofold: (i) we present our approach towards a systematic definition of requirements for data collection and analysis, at support of software requirements validation and evolution; (ii) we di"&amp;"scuss our ideas using concrete examples from an industrial case study and formulate a research question that will be addressed by conducting experiments as part of our research.")</f>
        <v>[Context and motivation] According to Data-Driven Requirements Engineering (RE), explicit and implicit user feedback can be considered a relevant source of requirements, thus supporting requirements elicitation. [Question/problem] Less attention has been paid so far to the role of implicit feedback in RE tasks, such as requirements validation, and on how to specify what implicit feedback to collect and analyse. [Principal idea/results] We propose an approach that leverages on goal-oriented requirements modelling combined with Goal-Question-Metric. We explore the applicability of the approach on an industrial project in which a platform for online training has been adapted to realise a citizen information service that has been used by hundreds of people during the COVID-19 pandemic. [Contributions] Our contribution is twofold: (i) we present our approach towards a systematic definition of requirements for data collection and analysis, at support of software requirements validation and evolution; (ii) we discuss our ideas using concrete examples from an industrial case study and formulate a research question that will be addressed by conducting experiments as part of our research.</v>
      </c>
      <c r="H1386" s="7" t="str">
        <f>IFERROR(__xludf.DUMMYFUNCTION("""COMPUTED_VALUE"""),"Goal-Oriented Requirements Analysis, Data-Driven Requirements Engineering, User feedback, Goal-Question-Metric")</f>
        <v>Goal-Oriented Requirements Analysis, Data-Driven Requirements Engineering, User feedback, Goal-Question-Metric</v>
      </c>
      <c r="I1386" s="10" t="b">
        <v>0</v>
      </c>
      <c r="J1386" s="10" t="b">
        <v>0</v>
      </c>
      <c r="K1386" s="10" t="b">
        <v>0</v>
      </c>
      <c r="L1386" s="10" t="b">
        <v>0</v>
      </c>
      <c r="M1386" s="10" t="b">
        <v>0</v>
      </c>
      <c r="N1386" s="10" t="b">
        <v>0</v>
      </c>
      <c r="O1386" s="11" t="b">
        <f t="shared" si="1"/>
        <v>0</v>
      </c>
      <c r="P1386" s="16" t="b">
        <v>0</v>
      </c>
      <c r="Q1386" s="7"/>
    </row>
    <row r="1387">
      <c r="A1387" s="5" t="b">
        <v>1</v>
      </c>
      <c r="B1387" s="5" t="s">
        <v>1440</v>
      </c>
      <c r="C1387" s="7" t="str">
        <f>IFERROR(__xludf.DUMMYFUNCTION("""COMPUTED_VALUE"""),"10.1007/978-3-030-44429-7_18")</f>
        <v>10.1007/978-3-030-44429-7_18</v>
      </c>
      <c r="D1387" s="7" t="str">
        <f>IFERROR(__xludf.DUMMYFUNCTION("""COMPUTED_VALUE"""),"de Oliveira Neto FG,Horkoff J,Svensson R,Mattos D,Knauss A")</f>
        <v>de Oliveira Neto FG,Horkoff J,Svensson R,Mattos D,Knauss A</v>
      </c>
      <c r="E1387" s="7" t="str">
        <f>IFERROR(__xludf.DUMMYFUNCTION("""COMPUTED_VALUE"""),"Evaluating the Effects of Different Requirements Representations on Writing Test Cases")</f>
        <v>Evaluating the Effects of Different Requirements Representations on Writing Test Cases</v>
      </c>
      <c r="F1387" s="7" t="str">
        <f>IFERROR(__xludf.DUMMYFUNCTION("""COMPUTED_VALUE"""),"REFSQ")</f>
        <v>REFSQ</v>
      </c>
      <c r="G1387" s="7" t="str">
        <f>IFERROR(__xludf.DUMMYFUNCTION("""COMPUTED_VALUE"""),"[Context and Motivation] One must test a system to ensure that the requirements are met, thus, tests are often derived manually from requirements. However, requirements representations are diverse; from traditional IEEE-style text, to models, to agile use"&amp;"r stories, the RE community of research and practice has explored various ways to capture requirements. [Question/problem] But, do these different representations influence the quality or coverage of test suites? The state-of-the-art does not provide insi"&amp;"ghts on whether or not the representation of requirements has an impact on the coverage, quality, or size of the resulting test suite. [Results] In this paper, we report on a family of three experiment replications conducted with 148 students which examin"&amp;"es the effect of different requirements representations on test creation. We find that, in general, the different requirements representations have no statistically significant impact on the number of derived tests, but specific affordances of the represe"&amp;"ntation effect test quality, e.g., traditional textual requirements make it easier to derive less abstract tests, whereas goal models yield less inconsistent test purpose descriptions. [Contribution] Our findings give insights on the effects of requiremen"&amp;"ts representation on test derivation for novice testers. Our work is limited in the use of students.")</f>
        <v>[Context and Motivation] One must test a system to ensure that the requirements are met, thus, tests are often derived manually from requirements. However, requirements representations are diverse; from traditional IEEE-style text, to models, to agile user stories, the RE community of research and practice has explored various ways to capture requirements. [Question/problem] But, do these different representations influence the quality or coverage of test suites? The state-of-the-art does not provide insights on whether or not the representation of requirements has an impact on the coverage, quality, or size of the resulting test suite. [Results] In this paper, we report on a family of three experiment replications conducted with 148 students which examines the effect of different requirements representations on test creation. We find that, in general, the different requirements representations have no statistically significant impact on the number of derived tests, but specific affordances of the representation effect test quality, e.g., traditional textual requirements make it easier to derive less abstract tests, whereas goal models yield less inconsistent test purpose descriptions. [Contribution] Our findings give insights on the effects of requirements representation on test derivation for novice testers. Our work is limited in the use of students.</v>
      </c>
      <c r="H1387" s="7" t="str">
        <f>IFERROR(__xludf.DUMMYFUNCTION("""COMPUTED_VALUE"""),"Test design, Experiment, Requirements representation")</f>
        <v>Test design, Experiment, Requirements representation</v>
      </c>
      <c r="I1387" s="9" t="b">
        <v>1</v>
      </c>
      <c r="J1387" s="9" t="b">
        <v>1</v>
      </c>
      <c r="K1387" s="9" t="b">
        <v>1</v>
      </c>
      <c r="L1387" s="10" t="b">
        <v>0</v>
      </c>
      <c r="M1387" s="10" t="b">
        <v>0</v>
      </c>
      <c r="N1387" s="10" t="b">
        <v>0</v>
      </c>
      <c r="O1387" s="11" t="b">
        <f t="shared" si="1"/>
        <v>1</v>
      </c>
      <c r="P1387" s="16" t="b">
        <v>0</v>
      </c>
      <c r="Q1387" s="7"/>
    </row>
    <row r="1388">
      <c r="A1388" s="5" t="b">
        <v>1</v>
      </c>
      <c r="B1388" s="5" t="s">
        <v>1441</v>
      </c>
      <c r="C1388" s="7" t="str">
        <f>IFERROR(__xludf.DUMMYFUNCTION("""COMPUTED_VALUE"""),"10.1007/978-3-030-98464-9_11")</f>
        <v>10.1007/978-3-030-98464-9_11</v>
      </c>
      <c r="D1388" s="7" t="str">
        <f>IFERROR(__xludf.DUMMYFUNCTION("""COMPUTED_VALUE"""),"Bragilovski M,Dalpiaz F,Sturm A")</f>
        <v>Bragilovski M,Dalpiaz F,Sturm A</v>
      </c>
      <c r="E1388" s="7" t="str">
        <f>IFERROR(__xludf.DUMMYFUNCTION("""COMPUTED_VALUE"""),"Guided Derivation of Conceptual Models from User Stories: A Controlled Experiment")</f>
        <v>Guided Derivation of Conceptual Models from User Stories: A Controlled Experiment</v>
      </c>
      <c r="F1388" s="7" t="str">
        <f>IFERROR(__xludf.DUMMYFUNCTION("""COMPUTED_VALUE"""),"REFSQ")</f>
        <v>REFSQ</v>
      </c>
      <c r="G1388" s="7" t="str">
        <f>IFERROR(__xludf.DUMMYFUNCTION("""COMPUTED_VALUE"""),"[Context and Motivation] User stories are a popular notation for representing requirements, especially in agile development. Although they represent a cornerstone for developing systems, limited research exists on how user stories are refined into concept"&amp;"ual design. [Question/Problem] We study the process of deriving conceptual models from user stories, which is at the basis of information systems development. We focus our attention on the derivation of a holistic view of structural and interaction aspect"&amp;"s, represented via class diagrams and use case diagrams, respectively. In this paper, we examine whether providing guidelines has an effect on the ability of humans to derive complete and valid conceptual models. [Principal Ideas/Results] We design exampl"&amp;"e-based guidelines for the derivation of class and use case diagrams from user stories. Then, we conduct a two-factor, two-treatment controlled experiment with 77 undergraduate students serving as subjects. The results indicate that the guidelines improve"&amp;" the completeness and validity of the conceptual models in cases of medium complexity, although the subjects were neutral on the usefulness of the guidelines. [Contribution] The guidelines may assist analysts in the refinement of user stories. Our initial"&amp;" evidence, besides showing how the guidelines can help junior analysts derive high-quality conceptual models, opens the doors for further studies on the refinement of user stories, and to the investigation of alternative guidelines.")</f>
        <v>[Context and Motivation] User stories are a popular notation for representing requirements, especially in agile development. Although they represent a cornerstone for developing systems, limited research exists on how user stories are refined into conceptual design. [Question/Problem] We study the process of deriving conceptual models from user stories, which is at the basis of information systems development. We focus our attention on the derivation of a holistic view of structural and interaction aspects, represented via class diagrams and use case diagrams, respectively. In this paper, we examine whether providing guidelines has an effect on the ability of humans to derive complete and valid conceptual models. [Principal Ideas/Results] We design example-based guidelines for the derivation of class and use case diagrams from user stories. Then, we conduct a two-factor, two-treatment controlled experiment with 77 undergraduate students serving as subjects. The results indicate that the guidelines improve the completeness and validity of the conceptual models in cases of medium complexity, although the subjects were neutral on the usefulness of the guidelines. [Contribution] The guidelines may assist analysts in the refinement of user stories. Our initial evidence, besides showing how the guidelines can help junior analysts derive high-quality conceptual models, opens the doors for further studies on the refinement of user stories, and to the investigation of alternative guidelines.</v>
      </c>
      <c r="H1388" s="7" t="str">
        <f>IFERROR(__xludf.DUMMYFUNCTION("""COMPUTED_VALUE"""),"Use cases, Conceptual modeling, Derivation process, Class diagram, Guidelines, User stories, Controlled experiment, Requirements engineering")</f>
        <v>Use cases, Conceptual modeling, Derivation process, Class diagram, Guidelines, User stories, Controlled experiment, Requirements engineering</v>
      </c>
      <c r="I1388" s="9" t="b">
        <v>1</v>
      </c>
      <c r="J1388" s="9" t="b">
        <v>1</v>
      </c>
      <c r="K1388" s="9" t="b">
        <v>1</v>
      </c>
      <c r="L1388" s="10" t="b">
        <v>0</v>
      </c>
      <c r="M1388" s="10" t="b">
        <v>0</v>
      </c>
      <c r="N1388" s="10" t="b">
        <v>0</v>
      </c>
      <c r="O1388" s="11" t="b">
        <f t="shared" si="1"/>
        <v>1</v>
      </c>
      <c r="P1388" s="16" t="b">
        <v>0</v>
      </c>
      <c r="Q1388" s="7"/>
    </row>
    <row r="1389">
      <c r="A1389" s="5" t="b">
        <v>1</v>
      </c>
      <c r="B1389" s="5" t="s">
        <v>1442</v>
      </c>
      <c r="C1389" s="7" t="str">
        <f>IFERROR(__xludf.DUMMYFUNCTION("""COMPUTED_VALUE"""),"10.1007/978-3-031-29786-1_9")</f>
        <v>10.1007/978-3-031-29786-1_9</v>
      </c>
      <c r="D1389" s="7" t="str">
        <f>IFERROR(__xludf.DUMMYFUNCTION("""COMPUTED_VALUE"""),"Spijkman T,de Bondt X,Dalpiaz F,Brinkkemper S")</f>
        <v>Spijkman T,de Bondt X,Dalpiaz F,Brinkkemper S</v>
      </c>
      <c r="E1389" s="7" t="str">
        <f>IFERROR(__xludf.DUMMYFUNCTION("""COMPUTED_VALUE"""),"Summarization of Elicitation Conversations to Locate Requirements-Relevant Information")</f>
        <v>Summarization of Elicitation Conversations to Locate Requirements-Relevant Information</v>
      </c>
      <c r="F1389" s="7" t="str">
        <f>IFERROR(__xludf.DUMMYFUNCTION("""COMPUTED_VALUE"""),"REFSQ")</f>
        <v>REFSQ</v>
      </c>
      <c r="G1389" s="7" t="str">
        <f>IFERROR(__xludf.DUMMYFUNCTION("""COMPUTED_VALUE"""),"[Context and motivation] Conversations around requirements, such as interviews and workshops, are a key activity of requirements elicitation, and play a significant role in the creation of requirements specifications. [Question/problem] While these conver"&amp;"sations contain a wealth of knowledge, requirements engineers use them mainly through note-taking during the conversation and by recalling the information from their memory. There is potential for supporting practitioners by retrieving important informati"&amp;"on from the recordings of these conversations. [Principal ideas/results] Although transcriptions can be automatically generated with good accuracy, they often contain excessive text to be efficiently used for processing requirements elicitation sessions. "&amp;"Thus, we observed a need to transform these datasets into a useful format for requirements engineers to analyze. [Contribution] We present REConSum, a prototype that utilizes Natural Language Processing (NLP) to summarize requirements conversations. RECon"&amp;"Sum takes as input a transcribed conversation, and it filters the speaker turns by keeping only those that include a question and that are expected to contain, or to be answered with, requirements-relevant information. In addition to presenting REConSum, "&amp;"we experiment with different algorithms to assess the most effective combination.")</f>
        <v>[Context and motivation] Conversations around requirements, such as interviews and workshops, are a key activity of requirements elicitation, and play a significant role in the creation of requirements specifications. [Question/problem] While these conversations contain a wealth of knowledge, requirements engineers use them mainly through note-taking during the conversation and by recalling the information from their memory. There is potential for supporting practitioners by retrieving important information from the recordings of these conversations. [Principal ideas/results] Although transcriptions can be automatically generated with good accuracy, they often contain excessive text to be efficiently used for processing requirements elicitation sessions. Thus, we observed a need to transform these datasets into a useful format for requirements engineers to analyze. [Contribution] We present REConSum, a prototype that utilizes Natural Language Processing (NLP) to summarize requirements conversations. REConSum takes as input a transcribed conversation, and it filters the speaker turns by keeping only those that include a question and that are expected to contain, or to be answered with, requirements-relevant information. In addition to presenting REConSum, we experiment with different algorithms to assess the most effective combination.</v>
      </c>
      <c r="H1389" s="7" t="str">
        <f>IFERROR(__xludf.DUMMYFUNCTION("""COMPUTED_VALUE"""),"Requirements-Relevant Information, Natural Language Processing, Requirements Elicitation, Conversational RE")</f>
        <v>Requirements-Relevant Information, Natural Language Processing, Requirements Elicitation, Conversational RE</v>
      </c>
      <c r="I1389" s="10" t="b">
        <v>0</v>
      </c>
      <c r="J1389" s="10" t="b">
        <v>0</v>
      </c>
      <c r="K1389" s="10" t="b">
        <v>0</v>
      </c>
      <c r="L1389" s="10" t="b">
        <v>0</v>
      </c>
      <c r="M1389" s="10" t="b">
        <v>0</v>
      </c>
      <c r="N1389" s="10" t="b">
        <v>0</v>
      </c>
      <c r="O1389" s="11" t="b">
        <f t="shared" si="1"/>
        <v>0</v>
      </c>
      <c r="P1389" s="16" t="b">
        <v>0</v>
      </c>
      <c r="Q1389" s="7"/>
    </row>
    <row r="1390">
      <c r="A1390" s="5" t="b">
        <v>1</v>
      </c>
      <c r="B1390" s="5" t="s">
        <v>1443</v>
      </c>
      <c r="C1390" s="7" t="str">
        <f>IFERROR(__xludf.DUMMYFUNCTION("""COMPUTED_VALUE"""),"10.1007/978-3-030-44429-7_1")</f>
        <v>10.1007/978-3-030-44429-7_1</v>
      </c>
      <c r="D1390" s="7" t="str">
        <f>IFERROR(__xludf.DUMMYFUNCTION("""COMPUTED_VALUE"""),"Winter K,Femmer H,Vogelsang A")</f>
        <v>Winter K,Femmer H,Vogelsang A</v>
      </c>
      <c r="E1390" s="7" t="str">
        <f>IFERROR(__xludf.DUMMYFUNCTION("""COMPUTED_VALUE"""),"How Do Quantifiers Affect the Quality of Requirements?")</f>
        <v>How Do Quantifiers Affect the Quality of Requirements?</v>
      </c>
      <c r="F1390" s="7" t="str">
        <f>IFERROR(__xludf.DUMMYFUNCTION("""COMPUTED_VALUE"""),"REFSQ")</f>
        <v>REFSQ</v>
      </c>
      <c r="G1390" s="7" t="str">
        <f>IFERROR(__xludf.DUMMYFUNCTION("""COMPUTED_VALUE"""),"[Context] Requirements quality can have a substantial impact on the effectiveness and efficiency of using requirements artifacts in a development process. Quantifiers such as “at least”, “all”, or “exactly” are common language constructs used to express r"&amp;"equirements. Quantifiers can be formulated by affirmative phrases (“At least”) or negative phrases (“Not less than”). [Problem] It is long assumed that negation in quantification negatively affects the readability of requirements, however, empirical resea"&amp;"rch on these topics remains sparse. [Principal Idea] In a web-based experiment with 51 participants, we compare the impact of negations and quantifiers on readability in terms of reading effort, reading error rate and perceived reading difficulty of requi"&amp;"rements. [Results] For 5 out of 9 quantifiers, our participants performed better on the affirmative phrase compared to the negative phrase. Only for one quantifier, the negative phrase was more effective. [Contribution] This research focuses on creating a"&amp;"n empirical understanding of the effect of language in Requirements Engineering. It furthermore provides concrete advice on how to phrase requirements.")</f>
        <v>[Context] Requirements quality can have a substantial impact on the effectiveness and efficiency of using requirements artifacts in a development process. Quantifiers such as “at least”, “all”, or “exactly” are common language constructs used to express requirements. Quantifiers can be formulated by affirmative phrases (“At least”) or negative phrases (“Not less than”). [Problem] It is long assumed that negation in quantification negatively affects the readability of requirements, however, empirical research on these topics remains sparse. [Principal Idea] In a web-based experiment with 51 participants, we compare the impact of negations and quantifiers on readability in terms of reading effort, reading error rate and perceived reading difficulty of requirements. [Results] For 5 out of 9 quantifiers, our participants performed better on the affirmative phrase compared to the negative phrase. Only for one quantifier, the negative phrase was more effective. [Contribution] This research focuses on creating an empirical understanding of the effect of language in Requirements Engineering. It furthermore provides concrete advice on how to phrase requirements.</v>
      </c>
      <c r="H1390" s="7" t="str">
        <f>IFERROR(__xludf.DUMMYFUNCTION("""COMPUTED_VALUE"""),"Requirements syntax, Natural language, Reqs. quality")</f>
        <v>Requirements syntax, Natural language, Reqs. quality</v>
      </c>
      <c r="I1390" s="9" t="b">
        <v>1</v>
      </c>
      <c r="J1390" s="9" t="b">
        <v>1</v>
      </c>
      <c r="K1390" s="9" t="b">
        <v>1</v>
      </c>
      <c r="L1390" s="10" t="b">
        <v>0</v>
      </c>
      <c r="M1390" s="10" t="b">
        <v>0</v>
      </c>
      <c r="N1390" s="10" t="b">
        <v>0</v>
      </c>
      <c r="O1390" s="11" t="b">
        <f t="shared" si="1"/>
        <v>1</v>
      </c>
      <c r="P1390" s="16" t="b">
        <v>0</v>
      </c>
      <c r="Q1390" s="7"/>
    </row>
    <row r="1391">
      <c r="A1391" s="5" t="b">
        <v>1</v>
      </c>
      <c r="B1391" s="5" t="s">
        <v>1444</v>
      </c>
      <c r="C1391" s="7" t="str">
        <f>IFERROR(__xludf.DUMMYFUNCTION("""COMPUTED_VALUE"""),"10.1007/978-3-030-98464-9_5")</f>
        <v>10.1007/978-3-030-98464-9_5</v>
      </c>
      <c r="D1391" s="7" t="str">
        <f>IFERROR(__xludf.DUMMYFUNCTION("""COMPUTED_VALUE"""),"Alhoshan W,Zhao L,Ferrari A,Letsholo KJ")</f>
        <v>Alhoshan W,Zhao L,Ferrari A,Letsholo KJ</v>
      </c>
      <c r="E1391" s="7" t="str">
        <f>IFERROR(__xludf.DUMMYFUNCTION("""COMPUTED_VALUE"""),"A Zero-Shot Learning Approach to Classifying Requirements: A Preliminary Study")</f>
        <v>A Zero-Shot Learning Approach to Classifying Requirements: A Preliminary Study</v>
      </c>
      <c r="F1391" s="7" t="str">
        <f>IFERROR(__xludf.DUMMYFUNCTION("""COMPUTED_VALUE"""),"REFSQ")</f>
        <v>REFSQ</v>
      </c>
      <c r="G1391" s="7" t="str">
        <f>IFERROR(__xludf.DUMMYFUNCTION("""COMPUTED_VALUE"""),"Context and motivation: Advances in Machine Learning (ML) and Deep Learning (DL) technologies have transformed the field of Natural Language Processing (NLP), making NLP more practical and accessible. Motivated by these exciting developments, Requirements"&amp;" Engineering (RE) researchers have been experimenting ML/DL based approaches for a range of RE tasks, such as requirements classification, requirements tracing, ambiguity detection, and modelling. Question/problem: Most of today’s ML/DL approaches are bas"&amp;"ed on supervised learning techniques, meaning that they need to be trained using annotated datasets to learn how to assign a class label to examples from an application domain. This requirement poses an enormous challenge to RE researchers, as the lack of"&amp;" requirements datasets in general and annotated datasets in particular, makes it difficult for them to fully exploit the benefit of the advanced ML/DL technologies. Principal ideas/results: To address this challenge, this paper proposes a novel approach t"&amp;"hat employs the Zero-Shot Learning (ZSL) technique to perform requirements classification. We build several classification models using ZSL. We focus on the classification task because many RE tasks can be solved as classification problems by a large numb"&amp;"er of available ML/DL methods. In this preliminary study, we demonstrate our approach by classifying non-functional requirements (NFRs) into two categories: Usability and Security. ZSL supports learning without domain-specific training data, thus solving "&amp;"the lack of annotated datasets typical of RE. The study shows that our approach achieves an average of 82% recall and F-score. Contribution: This study demonstrates the potential of ZSL for requirements classification. The promising results of this study "&amp;"pave the way for further investigations and large-scale studies. An important implication is that it is possible to have very little or no training data to perform requirements classification. The proposed approach thus contributes to the solution of the "&amp;"long-standing problem of data shortage in RE.")</f>
        <v>Context and motivation: Advances in Machine Learning (ML) and Deep Learning (DL) technologies have transformed the field of Natural Language Processing (NLP), making NLP more practical and accessible. Motivated by these exciting developments, Requirements Engineering (RE) researchers have been experimenting ML/DL based approaches for a range of RE tasks, such as requirements classification, requirements tracing, ambiguity detection, and modelling. Question/problem: Most of today’s ML/DL approaches are based on supervised learning techniques, meaning that they need to be trained using annotated datasets to learn how to assign a class label to examples from an application domain. This requirement poses an enormous challenge to RE researchers, as the lack of requirements datasets in general and annotated datasets in particular, makes it difficult for them to fully exploit the benefit of the advanced ML/DL technologies. Principal ideas/results: To address this challenge, this paper proposes a novel approach that employs the Zero-Shot Learning (ZSL) technique to perform requirements classification. We build several classification models using ZSL. We focus on the classification task because many RE tasks can be solved as classification problems by a large number of available ML/DL methods. In this preliminary study, we demonstrate our approach by classifying non-functional requirements (NFRs) into two categories: Usability and Security. ZSL supports learning without domain-specific training data, thus solving the lack of annotated datasets typical of RE. The study shows that our approach achieves an average of 82% recall and F-score. Contribution: This study demonstrates the potential of ZSL for requirements classification. The promising results of this study pave the way for further investigations and large-scale studies. An important implication is that it is possible to have very little or no training data to perform requirements classification. The proposed approach thus contributes to the solution of the long-standing problem of data shortage in RE.</v>
      </c>
      <c r="H1391" s="7" t="str">
        <f>IFERROR(__xludf.DUMMYFUNCTION("""COMPUTED_VALUE"""),"Transfer Learning, Requirements Engineering, Deep Learning, Natural Language Processing, Machine Learning, Zero-Shot Learning, Language models")</f>
        <v>Transfer Learning, Requirements Engineering, Deep Learning, Natural Language Processing, Machine Learning, Zero-Shot Learning, Language models</v>
      </c>
      <c r="I1391" s="10" t="b">
        <v>0</v>
      </c>
      <c r="J1391" s="10" t="b">
        <v>0</v>
      </c>
      <c r="K1391" s="10" t="b">
        <v>0</v>
      </c>
      <c r="L1391" s="10" t="b">
        <v>0</v>
      </c>
      <c r="M1391" s="10" t="b">
        <v>0</v>
      </c>
      <c r="N1391" s="10" t="b">
        <v>0</v>
      </c>
      <c r="O1391" s="11" t="b">
        <f t="shared" si="1"/>
        <v>0</v>
      </c>
      <c r="P1391" s="16" t="b">
        <v>0</v>
      </c>
      <c r="Q1391" s="7"/>
    </row>
    <row r="1392">
      <c r="A1392" s="5" t="b">
        <v>1</v>
      </c>
      <c r="B1392" s="5" t="s">
        <v>1445</v>
      </c>
      <c r="C1392" s="7" t="str">
        <f>IFERROR(__xludf.DUMMYFUNCTION("""COMPUTED_VALUE"""),"10.1007/978-3-031-29786-1_10")</f>
        <v>10.1007/978-3-031-29786-1_10</v>
      </c>
      <c r="D1392" s="7" t="str">
        <f>IFERROR(__xludf.DUMMYFUNCTION("""COMPUTED_VALUE"""),"Mosquera D,Ruiz M,Pastor O,Spielberger J")</f>
        <v>Mosquera D,Ruiz M,Pastor O,Spielberger J</v>
      </c>
      <c r="E1392" s="7" t="str">
        <f>IFERROR(__xludf.DUMMYFUNCTION("""COMPUTED_VALUE"""),"Ontology-Based Automatic Reasoning and NLP for Tracing Software Requirements into Models with the OntoTrace Tool")</f>
        <v>Ontology-Based Automatic Reasoning and NLP for Tracing Software Requirements into Models with the OntoTrace Tool</v>
      </c>
      <c r="F1392" s="7" t="str">
        <f>IFERROR(__xludf.DUMMYFUNCTION("""COMPUTED_VALUE"""),"REFSQ")</f>
        <v>REFSQ</v>
      </c>
      <c r="G1392" s="7" t="str">
        <f>IFERROR(__xludf.DUMMYFUNCTION("""COMPUTED_VALUE"""),"Context and motivation. Traceability is an essential part of quality assurance tasks for software maintainability, validation, and verification. However, the effort required to create and maintain traces is still high compared to their benefits. Problem. "&amp;"Some authors have proposed traceability tools to address this challenge, yet some of those tools require historical traceability data to generate traces, representing an entry barrier to software development teams that do not do traceability. Another comm"&amp;"on requirement of existing traceability tools is the scope of artefacts to be traced, hindering the adaptability of traceability tools in practice. Principal ideas. Motivated by the mentioned challenges, in this paper we propose OntoTraceV2.0: a tool for "&amp;"supporting trace generation of arbitrary software artefacts without depending on historical traceability data. The architecture of OntoTraceV2.0 integrates ontology-based automatic reasoning to facilitate adaptability for tracing arbitrary artefacts and n"&amp;"atural language processing for discovering traces based on text-based similarity between artefacts. We conducted a quasi-experiment with 36 subjects to validate OntoTraceV2.0 in terms of efficiency, effectiveness, and satisfaction. Contribution. We found "&amp;"that OntoTraceV2.0 positively affects the subjects’ efficiency and satisfaction during trace generation compared to a manual approach. Although the subjects’ average effectiveness is higher using OntoTraceV2.0, we observe no statistical difference with th"&amp;"e manual trace generation approach. Even though such results are promising, further replications are needed to avoid certain threats to validity. We conclude the paper by analysing the experimental results and limitations we found, drawing on future chall"&amp;"enges, and proposing the next research endeavours.")</f>
        <v>Context and motivation. Traceability is an essential part of quality assurance tasks for software maintainability, validation, and verification. However, the effort required to create and maintain traces is still high compared to their benefits. Problem. Some authors have proposed traceability tools to address this challenge, yet some of those tools require historical traceability data to generate traces, representing an entry barrier to software development teams that do not do traceability. Another common requirement of existing traceability tools is the scope of artefacts to be traced, hindering the adaptability of traceability tools in practice. Principal ideas. Motivated by the mentioned challenges, in this paper we propose OntoTraceV2.0: a tool for supporting trace generation of arbitrary software artefacts without depending on historical traceability data. The architecture of OntoTraceV2.0 integrates ontology-based automatic reasoning to facilitate adaptability for tracing arbitrary artefacts and natural language processing for discovering traces based on text-based similarity between artefacts. We conducted a quasi-experiment with 36 subjects to validate OntoTraceV2.0 in terms of efficiency, effectiveness, and satisfaction. Contribution. We found that OntoTraceV2.0 positively affects the subjects’ efficiency and satisfaction during trace generation compared to a manual approach. Although the subjects’ average effectiveness is higher using OntoTraceV2.0, we observe no statistical difference with the manual trace generation approach. Even though such results are promising, further replications are needed to avoid certain threats to validity. We conclude the paper by analysing the experimental results and limitations we found, drawing on future challenges, and proposing the next research endeavours.</v>
      </c>
      <c r="H1392" s="7" t="str">
        <f>IFERROR(__xludf.DUMMYFUNCTION("""COMPUTED_VALUE"""),"NLP, Traceability, Ontology, Automatic reasoning, OntoTrace")</f>
        <v>NLP, Traceability, Ontology, Automatic reasoning, OntoTrace</v>
      </c>
      <c r="I1392" s="9" t="b">
        <v>1</v>
      </c>
      <c r="J1392" s="9" t="b">
        <v>1</v>
      </c>
      <c r="K1392" s="9" t="b">
        <v>1</v>
      </c>
      <c r="L1392" s="10" t="b">
        <v>0</v>
      </c>
      <c r="M1392" s="10" t="b">
        <v>0</v>
      </c>
      <c r="N1392" s="10" t="b">
        <v>0</v>
      </c>
      <c r="O1392" s="11" t="b">
        <f t="shared" si="1"/>
        <v>1</v>
      </c>
      <c r="P1392" s="16" t="b">
        <v>0</v>
      </c>
      <c r="Q1392" s="7"/>
    </row>
    <row r="1393">
      <c r="A1393" s="5" t="b">
        <v>1</v>
      </c>
      <c r="B1393" s="5" t="s">
        <v>1446</v>
      </c>
      <c r="C1393" s="7" t="str">
        <f>IFERROR(__xludf.DUMMYFUNCTION("""COMPUTED_VALUE"""),"10.1007/978-3-030-44429-7_15")</f>
        <v>10.1007/978-3-030-44429-7_15</v>
      </c>
      <c r="D1393" s="7" t="str">
        <f>IFERROR(__xludf.DUMMYFUNCTION("""COMPUTED_VALUE"""),"Mishra S,Sharma A")</f>
        <v>Mishra S,Sharma A</v>
      </c>
      <c r="E1393" s="7" t="str">
        <f>IFERROR(__xludf.DUMMYFUNCTION("""COMPUTED_VALUE"""),"Automatic Word Embeddings-Based Glossary Term Extraction from Large-Sized Software Requirements")</f>
        <v>Automatic Word Embeddings-Based Glossary Term Extraction from Large-Sized Software Requirements</v>
      </c>
      <c r="F1393" s="7" t="str">
        <f>IFERROR(__xludf.DUMMYFUNCTION("""COMPUTED_VALUE"""),"REFSQ")</f>
        <v>REFSQ</v>
      </c>
      <c r="G1393" s="7" t="str">
        <f>IFERROR(__xludf.DUMMYFUNCTION("""COMPUTED_VALUE"""),"[Context and Motivation] Requirements glossary defines specialized and technical terms used in a requirements document. A requirements glossary helps in improving the quality and understandability of requirements documents. [Question/Problem] Manual extra"&amp;"ction of glossary terms from a large body of requirements is an expensive and time-consuming task. This paper proposes a fundamentally new approach for automated extraction of glossary terms from large-sized requirements documents. [Principal Ideas/Result"&amp;"] Firstly, our technique extracts the candidate glossary terms by applying text chunking. Next, we apply a novel word embeddings based semantic filter for reducing the number of candidate glossary terms. Since word embeddings are very effective in identif"&amp;"ying terms that are semantically very similar, this filter ensures that only domain-specific terms are present in the final set of glossary terms. We create a domain-specific reference corpus for home automation by Wikipedia crawling and use it for comput"&amp;"ing the semantic similarity scores of candidate glossary terms. We apply our technique to a large-sized requirements document, i.e., a CrowdRE dataset with around 3000 crowd-generated requirements for smart home applications. Semantic filtering reduces th"&amp;"e number of glossary terms by 92.7%. To evaluate the quality of our extracted glossary terms we manually create the ground truth data from CrowdRE dataset and use it for computing precision and recall. Additionally, we also compute the requirements covera"&amp;"ge of these extracted glossary terms. [Contributions] Our detailed experiments show that word embeddings based semantic filtering can be very useful for extracting glossary terms from a large body of requirements.")</f>
        <v>[Context and Motivation] Requirements glossary defines specialized and technical terms used in a requirements document. A requirements glossary helps in improving the quality and understandability of requirements documents. [Question/Problem] Manual extraction of glossary terms from a large body of requirements is an expensive and time-consuming task. This paper proposes a fundamentally new approach for automated extraction of glossary terms from large-sized requirements documents. [Principal Ideas/Result] Firstly, our technique extracts the candidate glossary terms by applying text chunking. Next, we apply a novel word embeddings based semantic filter for reducing the number of candidate glossary terms. Since word embeddings are very effective in identifying terms that are semantically very similar, this filter ensures that only domain-specific terms are present in the final set of glossary terms. We create a domain-specific reference corpus for home automation by Wikipedia crawling and use it for computing the semantic similarity scores of candidate glossary terms. We apply our technique to a large-sized requirements document, i.e., a CrowdRE dataset with around 3000 crowd-generated requirements for smart home applications. Semantic filtering reduces the number of glossary terms by 92.7%. To evaluate the quality of our extracted glossary terms we manually create the ground truth data from CrowdRE dataset and use it for computing precision and recall. Additionally, we also compute the requirements coverage of these extracted glossary terms. [Contributions] Our detailed experiments show that word embeddings based semantic filtering can be very useful for extracting glossary terms from a large body of requirements.</v>
      </c>
      <c r="H1393" s="7" t="str">
        <f>IFERROR(__xludf.DUMMYFUNCTION("""COMPUTED_VALUE"""),"Requirements engineering, Word embeddings, Term extraction, Natural language processing, Semantic filter")</f>
        <v>Requirements engineering, Word embeddings, Term extraction, Natural language processing, Semantic filter</v>
      </c>
      <c r="I1393" s="10" t="b">
        <v>0</v>
      </c>
      <c r="J1393" s="10" t="b">
        <v>0</v>
      </c>
      <c r="K1393" s="10" t="b">
        <v>0</v>
      </c>
      <c r="L1393" s="10" t="b">
        <v>0</v>
      </c>
      <c r="M1393" s="10" t="b">
        <v>0</v>
      </c>
      <c r="N1393" s="10" t="b">
        <v>0</v>
      </c>
      <c r="O1393" s="11" t="b">
        <f t="shared" si="1"/>
        <v>0</v>
      </c>
      <c r="P1393" s="16" t="b">
        <v>0</v>
      </c>
      <c r="Q1393" s="7"/>
    </row>
    <row r="1394">
      <c r="A1394" s="5" t="b">
        <v>1</v>
      </c>
      <c r="B1394" s="5" t="s">
        <v>1447</v>
      </c>
      <c r="C1394" s="7" t="str">
        <f>IFERROR(__xludf.DUMMYFUNCTION("""COMPUTED_VALUE"""),"10.1007/978-3-642-02050-6_3")</f>
        <v>10.1007/978-3-642-02050-6_3</v>
      </c>
      <c r="D1394" s="7" t="str">
        <f>IFERROR(__xludf.DUMMYFUNCTION("""COMPUTED_VALUE"""),"Khurum M,Gorschek T,Angelis L,Feldt R")</f>
        <v>Khurum M,Gorschek T,Angelis L,Feldt R</v>
      </c>
      <c r="E1394" s="7" t="str">
        <f>IFERROR(__xludf.DUMMYFUNCTION("""COMPUTED_VALUE"""),"A Controlled Experiment of a Method for Early Requirements Triage Utilizing Product Strategies")</f>
        <v>A Controlled Experiment of a Method for Early Requirements Triage Utilizing Product Strategies</v>
      </c>
      <c r="F1394" s="7" t="str">
        <f>IFERROR(__xludf.DUMMYFUNCTION("""COMPUTED_VALUE"""),"REFSQ")</f>
        <v>REFSQ</v>
      </c>
      <c r="G1394" s="7" t="str">
        <f>IFERROR(__xludf.DUMMYFUNCTION("""COMPUTED_VALUE"""),"[Context and motivation] In market-driven product development of software intensive products large numbers of requirements threaten to overload the development organization. It is critical for product management to select the requirements aligned with the"&amp;" overall business goals, product strategies and discard others as early as possible. Thus, there is a need for an effective and efficient method that deals with this challenge and supports product managers in the continuous effort of early requirements tr"&amp;"iage [1, 2] based on product strategies. This paper evaluates such a method --- A Method for Early Requirements Triage Utilizing Product Strategies (MERTS), which is built based on the needs identified in literature and industry. [Question/problem] The re"&amp;"search question answered in this paper is ""If two groups of subjects have a product strategy, one group in NL format and one in MERTS format, will there be a difference between the two groups with regards to effectiveness and efficiency of requirements t"&amp;"riage?"" The effectiveness and efficiency of the MERTS were evaluated through controlled experiment in a lab environment with 50 software engineering graduate students as subjects. [Principal ideas/results] It was found through results that MERTS method i"&amp;"s highly effective and efficient. [Contribution] The contribution of this paper is validation of effectiveness and efficiency of the product strategies created through MERTS method for requirements triage, prior to industry trials. A major limitation of t"&amp;"he results is that the experiment was performed with the graduate students and not the product managers. However, the results showed that MERTS is ready for industry trials.")</f>
        <v>[Context and motivation] In market-driven product development of software intensive products large numbers of requirements threaten to overload the development organization. It is critical for product management to select the requirements aligned with the overall business goals, product strategies and discard others as early as possible. Thus, there is a need for an effective and efficient method that deals with this challenge and supports product managers in the continuous effort of early requirements triage [1, 2] based on product strategies. This paper evaluates such a method --- A Method for Early Requirements Triage Utilizing Product Strategies (MERTS), which is built based on the needs identified in literature and industry. [Question/problem] The research question answered in this paper is "If two groups of subjects have a product strategy, one group in NL format and one in MERTS format, will there be a difference between the two groups with regards to effectiveness and efficiency of requirements triage?" The effectiveness and efficiency of the MERTS were evaluated through controlled experiment in a lab environment with 50 software engineering graduate students as subjects. [Principal ideas/results] It was found through results that MERTS method is highly effective and efficient. [Contribution] The contribution of this paper is validation of effectiveness and efficiency of the product strategies created through MERTS method for requirements triage, prior to industry trials. A major limitation of the results is that the experiment was performed with the graduate students and not the product managers. However, the results showed that MERTS is ready for industry trials.</v>
      </c>
      <c r="H1394" s="7" t="str">
        <f>IFERROR(__xludf.DUMMYFUNCTION("""COMPUTED_VALUE"""),"effectiveness and efficiency, requirements triage, experiment, product strategies, MERTS, Market driven requirements engineering")</f>
        <v>effectiveness and efficiency, requirements triage, experiment, product strategies, MERTS, Market driven requirements engineering</v>
      </c>
      <c r="I1394" s="9" t="b">
        <v>1</v>
      </c>
      <c r="J1394" s="9" t="b">
        <v>1</v>
      </c>
      <c r="K1394" s="9" t="b">
        <v>1</v>
      </c>
      <c r="L1394" s="10" t="b">
        <v>0</v>
      </c>
      <c r="M1394" s="10" t="b">
        <v>0</v>
      </c>
      <c r="N1394" s="10" t="b">
        <v>0</v>
      </c>
      <c r="O1394" s="11" t="b">
        <f t="shared" si="1"/>
        <v>1</v>
      </c>
      <c r="P1394" s="12" t="b">
        <v>0</v>
      </c>
      <c r="Q1394" s="13"/>
    </row>
    <row r="1395">
      <c r="A1395" s="5" t="b">
        <v>1</v>
      </c>
      <c r="B1395" s="5" t="s">
        <v>1448</v>
      </c>
      <c r="C1395" s="7" t="str">
        <f>IFERROR(__xludf.DUMMYFUNCTION("""COMPUTED_VALUE"""),"10.1007/978-3-030-44429-7_19")</f>
        <v>10.1007/978-3-030-44429-7_19</v>
      </c>
      <c r="D1395" s="7" t="str">
        <f>IFERROR(__xludf.DUMMYFUNCTION("""COMPUTED_VALUE"""),"Busch M,Karras O,Schneider K,Ahrens M")</f>
        <v>Busch M,Karras O,Schneider K,Ahrens M</v>
      </c>
      <c r="E1395" s="7" t="str">
        <f>IFERROR(__xludf.DUMMYFUNCTION("""COMPUTED_VALUE"""),"Vision Meets Visualization: Are Animated Videos an Alternative?")</f>
        <v>Vision Meets Visualization: Are Animated Videos an Alternative?</v>
      </c>
      <c r="F1395" s="7" t="str">
        <f>IFERROR(__xludf.DUMMYFUNCTION("""COMPUTED_VALUE"""),"REFSQ")</f>
        <v>REFSQ</v>
      </c>
      <c r="G1395" s="7" t="str">
        <f>IFERROR(__xludf.DUMMYFUNCTION("""COMPUTED_VALUE"""),"[Context and motivation] Creating a shared understanding of requirements between all parties involved about a future software system is difficult. Imprecise communication can lead to misunderstanding of requirements. Vision videos demonstrate and visualiz"&amp;"e the functionality, use and impact of a software system before the actual development process starts. They stimulate discussions about the software system and its associated requirements. [Question/problem] Vision videos should be produced with as little"&amp;" effort as possible, in terms of resources and time consumption, yet with sufficient quality. This raises the questions: Does the presentation of a vision video influence its perception by the audience? Do animated vision videos offer an alternative to re"&amp;"al videos to communicate a vision? [Principal ideas/results] We conducted an experiment with 20 participants comparing animated and real videos showing the same content. The videos illustrate the population decrease in rural areas and envision a possible "&amp;"solution to counteract the consequences of grocery store closings. The participants suggested own solutions for the problem of grocery store closings, rated the videos and chose their preferred type of video representation. The results of the experiment s"&amp;"how no difference in neither the amount of solutions proposed nor the rating of the videos. Likewise, the results show no difference in the preferred type of video representation. [Contribution] Our study indicates that animated vision videos offer an ade"&amp;"quate alternative to real videos. Thus, vision video producers have another viable option to choose for achieving a shared understanding of a future software system.")</f>
        <v>[Context and motivation] Creating a shared understanding of requirements between all parties involved about a future software system is difficult. Imprecise communication can lead to misunderstanding of requirements. Vision videos demonstrate and visualize the functionality, use and impact of a software system before the actual development process starts. They stimulate discussions about the software system and its associated requirements. [Question/problem] Vision videos should be produced with as little effort as possible, in terms of resources and time consumption, yet with sufficient quality. This raises the questions: Does the presentation of a vision video influence its perception by the audience? Do animated vision videos offer an alternative to real videos to communicate a vision? [Principal ideas/results] We conducted an experiment with 20 participants comparing animated and real videos showing the same content. The videos illustrate the population decrease in rural areas and envision a possible solution to counteract the consequences of grocery store closings. The participants suggested own solutions for the problem of grocery store closings, rated the videos and chose their preferred type of video representation. The results of the experiment show no difference in neither the amount of solutions proposed nor the rating of the videos. Likewise, the results show no difference in the preferred type of video representation. [Contribution] Our study indicates that animated vision videos offer an adequate alternative to real videos. Thus, vision video producers have another viable option to choose for achieving a shared understanding of a future software system.</v>
      </c>
      <c r="H1395" s="7" t="str">
        <f>IFERROR(__xludf.DUMMYFUNCTION("""COMPUTED_VALUE"""),"Video, Vision, Animation, Requirements engineering")</f>
        <v>Video, Vision, Animation, Requirements engineering</v>
      </c>
      <c r="I1395" s="9" t="b">
        <v>1</v>
      </c>
      <c r="J1395" s="9" t="b">
        <v>1</v>
      </c>
      <c r="K1395" s="9" t="b">
        <v>1</v>
      </c>
      <c r="L1395" s="10" t="b">
        <v>0</v>
      </c>
      <c r="M1395" s="10" t="b">
        <v>0</v>
      </c>
      <c r="N1395" s="10" t="b">
        <v>0</v>
      </c>
      <c r="O1395" s="11" t="b">
        <f t="shared" si="1"/>
        <v>1</v>
      </c>
      <c r="P1395" s="16" t="b">
        <v>0</v>
      </c>
      <c r="Q1395" s="7"/>
    </row>
    <row r="1396">
      <c r="A1396" s="5" t="b">
        <v>1</v>
      </c>
      <c r="B1396" s="5" t="s">
        <v>1449</v>
      </c>
      <c r="C1396" s="7" t="str">
        <f>IFERROR(__xludf.DUMMYFUNCTION("""COMPUTED_VALUE"""),"10.1007/978-3-031-29786-1_3")</f>
        <v>10.1007/978-3-031-29786-1_3</v>
      </c>
      <c r="D1396" s="7" t="str">
        <f>IFERROR(__xludf.DUMMYFUNCTION("""COMPUTED_VALUE"""),"Nagel L,Karras O,Amiri SM,Schneider K")</f>
        <v>Nagel L,Karras O,Amiri SM,Schneider K</v>
      </c>
      <c r="E1396" s="7" t="str">
        <f>IFERROR(__xludf.DUMMYFUNCTION("""COMPUTED_VALUE"""),"Supporting Shared Understanding in Asynchronous Communication Contexts")</f>
        <v>Supporting Shared Understanding in Asynchronous Communication Contexts</v>
      </c>
      <c r="F1396" s="7" t="str">
        <f>IFERROR(__xludf.DUMMYFUNCTION("""COMPUTED_VALUE"""),"REFSQ")</f>
        <v>REFSQ</v>
      </c>
      <c r="G1396" s="7" t="str">
        <f>IFERROR(__xludf.DUMMYFUNCTION("""COMPUTED_VALUE"""),"[Context and motivation] The success of software projects depends on developing a system that satisfies the stakeholders’ wishes and needs according to their mental models of the intended system. However, stakeholders may have different or misaligned ment"&amp;"al models of the same system, resulting in conflicting requirements. For this reason, aligned mental models and thus a shared understanding of the project vision is essential for the success of software projects. [Question/problem] While it is already cha"&amp;"llenging to achieve shared understanding in synchronous contexts, such as meetings, it is even more challenging when only asynchronous contexts, like messaging services, are possible. When multiple stakeholders are involved from different locations and ti"&amp;"me zones, primarily asynchronous communication occurs. Despite the frequent use of software tools, like Confluence, to support asynchronous contexts, their use for the development of a shared understanding has hardly been analyzed. [Principal ideas/result"&amp;"s] In this paper, we propose five concepts to help stakeholders develop a shared understanding in asynchronous communication contexts. We assess the adaptability of three existing software tools to our concepts, adapt these software tools accordingly, and"&amp;" develop our own prototype that implements all five concepts. In an experiment with 30 participants, we evaluate these four software tools and compare them to a control group that had no support in developing a shared understanding. [Contribution] Our res"&amp;"ults show the suitability of our concepts, as the participants using our concepts were able to achieve a higher level of shared understanding compared to the control group.")</f>
        <v>[Context and motivation] The success of software projects depends on developing a system that satisfies the stakeholders’ wishes and needs according to their mental models of the intended system. However, stakeholders may have different or misaligned mental models of the same system, resulting in conflicting requirements. For this reason, aligned mental models and thus a shared understanding of the project vision is essential for the success of software projects. [Question/problem] While it is already challenging to achieve shared understanding in synchronous contexts, such as meetings, it is even more challenging when only asynchronous contexts, like messaging services, are possible. When multiple stakeholders are involved from different locations and time zones, primarily asynchronous communication occurs. Despite the frequent use of software tools, like Confluence, to support asynchronous contexts, their use for the development of a shared understanding has hardly been analyzed. [Principal ideas/results] In this paper, we propose five concepts to help stakeholders develop a shared understanding in asynchronous communication contexts. We assess the adaptability of three existing software tools to our concepts, adapt these software tools accordingly, and develop our own prototype that implements all five concepts. In an experiment with 30 participants, we evaluate these four software tools and compare them to a control group that had no support in developing a shared understanding. [Contribution] Our results show the suitability of our concepts, as the participants using our concepts were able to achieve a higher level of shared understanding compared to the control group.</v>
      </c>
      <c r="H1396" s="7" t="str">
        <f>IFERROR(__xludf.DUMMYFUNCTION("""COMPUTED_VALUE"""),"shared understanding, requirements engineering, asynchronous communication")</f>
        <v>shared understanding, requirements engineering, asynchronous communication</v>
      </c>
      <c r="I1396" s="9" t="b">
        <v>1</v>
      </c>
      <c r="J1396" s="9" t="b">
        <v>1</v>
      </c>
      <c r="K1396" s="9" t="b">
        <v>1</v>
      </c>
      <c r="L1396" s="10" t="b">
        <v>0</v>
      </c>
      <c r="M1396" s="10" t="b">
        <v>0</v>
      </c>
      <c r="N1396" s="10" t="b">
        <v>0</v>
      </c>
      <c r="O1396" s="11" t="b">
        <f t="shared" si="1"/>
        <v>1</v>
      </c>
      <c r="P1396" s="16" t="b">
        <v>0</v>
      </c>
      <c r="Q1396" s="7"/>
    </row>
    <row r="1397">
      <c r="A1397" s="5" t="b">
        <v>1</v>
      </c>
      <c r="B1397" s="5" t="s">
        <v>1450</v>
      </c>
      <c r="C1397" s="7" t="str">
        <f>IFERROR(__xludf.DUMMYFUNCTION("""COMPUTED_VALUE"""),"10.1007/978-3-030-98464-9_6")</f>
        <v>10.1007/978-3-030-98464-9_6</v>
      </c>
      <c r="D1397" s="7" t="str">
        <f>IFERROR(__xludf.DUMMYFUNCTION("""COMPUTED_VALUE"""),"Hasso H,Großer K,Aymaz I,Geppert H,Jürjens J")</f>
        <v>Hasso H,Großer K,Aymaz I,Geppert H,Jürjens J</v>
      </c>
      <c r="E1397" s="7" t="str">
        <f>IFERROR(__xludf.DUMMYFUNCTION("""COMPUTED_VALUE"""),"Abbreviation-Expansion Pair Detection for Glossary Term Extraction")</f>
        <v>Abbreviation-Expansion Pair Detection for Glossary Term Extraction</v>
      </c>
      <c r="F1397" s="7" t="str">
        <f>IFERROR(__xludf.DUMMYFUNCTION("""COMPUTED_VALUE"""),"REFSQ")</f>
        <v>REFSQ</v>
      </c>
      <c r="G1397" s="7" t="str">
        <f>IFERROR(__xludf.DUMMYFUNCTION("""COMPUTED_VALUE"""),"Context and motivation: Providing precise definitions of all project specific terms is a crucial task in requirements engineering. In order to support the glossary building process, many previous tools rely on the assumption that the requirements set has "&amp;"a certain level of quality. Question/problem: Yet, the parallel detection and correction of quality weaknesses in the context of glossary terms is beneficial to requirements definition. In this paper, we focus on detection of uncontrolled usage of abbrevi"&amp;"ations by identification of abbreviation-expansion pair (AEP) candidates. Principal ideas/results: We compare our feature-based approach (ILLOD) to other similarity measures to detect AEPs. It shows that feature-based methods are more accurate than syntac"&amp;"tic and semantic similarity measures. The goal is to extend the glossary term extraction (GTE) and synonym clustering with AEP-specific methods. First experiments with a PROMISE data-set extended with uncontrolled abbreviations show that ILLOD is able to "&amp;"extract abbreviations as well as match their expansions viably in a real-world setting and is well suited to augment previous term clusters with clusters that combine AEP candidates. Contribution: In this paper, we present ILLOD, a novel feature-based app"&amp;"roach to AEP detection and propose a workflow for its integration to clustering of glossary term candidates.")</f>
        <v>Context and motivation: Providing precise definitions of all project specific terms is a crucial task in requirements engineering. In order to support the glossary building process, many previous tools rely on the assumption that the requirements set has a certain level of quality. Question/problem: Yet, the parallel detection and correction of quality weaknesses in the context of glossary terms is beneficial to requirements definition. In this paper, we focus on detection of uncontrolled usage of abbreviations by identification of abbreviation-expansion pair (AEP) candidates. Principal ideas/results: We compare our feature-based approach (ILLOD) to other similarity measures to detect AEPs. It shows that feature-based methods are more accurate than syntactic and semantic similarity measures. The goal is to extend the glossary term extraction (GTE) and synonym clustering with AEP-specific methods. First experiments with a PROMISE data-set extended with uncontrolled abbreviations show that ILLOD is able to extract abbreviations as well as match their expansions viably in a real-world setting and is well suited to augment previous term clusters with clusters that combine AEP candidates. Contribution: In this paper, we present ILLOD, a novel feature-based approach to AEP detection and propose a workflow for its integration to clustering of glossary term candidates.</v>
      </c>
      <c r="H1397" s="7" t="str">
        <f>IFERROR(__xludf.DUMMYFUNCTION("""COMPUTED_VALUE"""),"Requirements engineering, Synonym detection, Abbreviation-expansion pair detection, Glossary term extraction")</f>
        <v>Requirements engineering, Synonym detection, Abbreviation-expansion pair detection, Glossary term extraction</v>
      </c>
      <c r="I1397" s="10" t="b">
        <v>0</v>
      </c>
      <c r="J1397" s="10" t="b">
        <v>0</v>
      </c>
      <c r="K1397" s="10" t="b">
        <v>0</v>
      </c>
      <c r="L1397" s="10" t="b">
        <v>0</v>
      </c>
      <c r="M1397" s="10" t="b">
        <v>0</v>
      </c>
      <c r="N1397" s="10" t="b">
        <v>0</v>
      </c>
      <c r="O1397" s="11" t="b">
        <f t="shared" si="1"/>
        <v>0</v>
      </c>
      <c r="P1397" s="16" t="b">
        <v>0</v>
      </c>
      <c r="Q1397" s="7"/>
    </row>
    <row r="1398">
      <c r="A1398" s="5" t="b">
        <v>1</v>
      </c>
      <c r="B1398" s="5" t="s">
        <v>1451</v>
      </c>
      <c r="C1398" s="7" t="str">
        <f>IFERROR(__xludf.DUMMYFUNCTION("""COMPUTED_VALUE"""),"10.1007/978-3-642-37422-7_26")</f>
        <v>10.1007/978-3-642-37422-7_26</v>
      </c>
      <c r="D1398" s="7" t="str">
        <f>IFERROR(__xludf.DUMMYFUNCTION("""COMPUTED_VALUE"""),"Adam S,Schmid K")</f>
        <v>Adam S,Schmid K</v>
      </c>
      <c r="E1398" s="7" t="str">
        <f>IFERROR(__xludf.DUMMYFUNCTION("""COMPUTED_VALUE"""),"Effective Requirements Elicitation in Product Line Application Engineering: An Experiment")</f>
        <v>Effective Requirements Elicitation in Product Line Application Engineering: An Experiment</v>
      </c>
      <c r="F1398" s="7" t="str">
        <f>IFERROR(__xludf.DUMMYFUNCTION("""COMPUTED_VALUE"""),"REFSQ")</f>
        <v>REFSQ</v>
      </c>
      <c r="G1398" s="7" t="str">
        <f>IFERROR(__xludf.DUMMYFUNCTION("""COMPUTED_VALUE"""),"[Context &amp; Motivation] Developing new software systems based on a software product line (SPL) is still a time-consuming task and the benefits of using such an approach are often smaller than expected. One important reason for this are difficulties in syst"&amp;"ematically mapping customer requirements to characteristics of the SPL. [Question/problem] Even though it has been recognized that the success of reuse strongly depends on how requirements are treated, it remains unclear how to perform this in an optimal "&amp;"way. [Principal ideas/results] In this paper, we present a controlled experiment performed with 26 students that compared two requirements elicitation approaches when instantiating a given SPL. [Contribution] Our findings indicate that a novel, problem-or"&amp;"iented requirements approach that explicitly integrates the reuse of SPL requirements into the elicitation of customer-specific requirements is more effective than a traditional SPL requirements approach, which distinguishes requirements reuse and additio"&amp;"nal elicitation customer-specific requirements.")</f>
        <v>[Context &amp; Motivation] Developing new software systems based on a software product line (SPL) is still a time-consuming task and the benefits of using such an approach are often smaller than expected. One important reason for this are difficulties in systematically mapping customer requirements to characteristics of the SPL. [Question/problem] Even though it has been recognized that the success of reuse strongly depends on how requirements are treated, it remains unclear how to perform this in an optimal way. [Principal ideas/results] In this paper, we present a controlled experiment performed with 26 students that compared two requirements elicitation approaches when instantiating a given SPL. [Contribution] Our findings indicate that a novel, problem-oriented requirements approach that explicitly integrates the reuse of SPL requirements into the elicitation of customer-specific requirements is more effective than a traditional SPL requirements approach, which distinguishes requirements reuse and additional elicitation customer-specific requirements.</v>
      </c>
      <c r="H1398" s="7"/>
      <c r="I1398" s="9" t="b">
        <v>1</v>
      </c>
      <c r="J1398" s="9" t="b">
        <v>1</v>
      </c>
      <c r="K1398" s="10" t="b">
        <v>0</v>
      </c>
      <c r="L1398" s="10" t="b">
        <v>0</v>
      </c>
      <c r="M1398" s="10" t="b">
        <v>0</v>
      </c>
      <c r="N1398" s="10" t="b">
        <v>0</v>
      </c>
      <c r="O1398" s="11" t="b">
        <f t="shared" si="1"/>
        <v>0</v>
      </c>
      <c r="P1398" s="16" t="b">
        <v>0</v>
      </c>
      <c r="Q1398" s="7"/>
    </row>
    <row r="1399">
      <c r="A1399" s="5" t="b">
        <v>1</v>
      </c>
      <c r="B1399" s="5" t="s">
        <v>1452</v>
      </c>
      <c r="C1399" s="7" t="str">
        <f>IFERROR(__xludf.DUMMYFUNCTION("""COMPUTED_VALUE"""),"10.1007/978-3-642-19858-8_10")</f>
        <v>10.1007/978-3-642-19858-8_10</v>
      </c>
      <c r="D1399" s="7" t="str">
        <f>IFERROR(__xludf.DUMMYFUNCTION("""COMPUTED_VALUE"""),"El-Sharkawy S,Schmid K")</f>
        <v>El-Sharkawy S,Schmid K</v>
      </c>
      <c r="E1399" s="7" t="str">
        <f>IFERROR(__xludf.DUMMYFUNCTION("""COMPUTED_VALUE"""),"A Heuristic Approach for Supporting Product Innovation in Requirements Engineering: A Controlled Experiment")</f>
        <v>A Heuristic Approach for Supporting Product Innovation in Requirements Engineering: A Controlled Experiment</v>
      </c>
      <c r="F1399" s="7" t="str">
        <f>IFERROR(__xludf.DUMMYFUNCTION("""COMPUTED_VALUE"""),"REFSQ")</f>
        <v>REFSQ</v>
      </c>
      <c r="G1399" s="7" t="str">
        <f>IFERROR(__xludf.DUMMYFUNCTION("""COMPUTED_VALUE"""),"[Context and motivation] While requirements engineering earlier focused on gathering requirements, it has been recognized today that creativity and innovation are required as a basis for novel products. [Question/problem] We described earlier an approach "&amp;"to support creativity in requirements engineering. Here, we focus on a thorough validation of the approach. [Principal ideas/results] Our approach uses semantic-based technologies to derive new idea triggers. Here, we show an evaluation of this approach. "&amp;"We find that the approach provides better results than other existing creativity techniques like random triggers. [Contribution] The paper provides evidence for creativity enhancement using our approach. It also shows how a controlled experiment to analyz"&amp;"e creativity in requirements engineering can be performed.")</f>
        <v>[Context and motivation] While requirements engineering earlier focused on gathering requirements, it has been recognized today that creativity and innovation are required as a basis for novel products. [Question/problem] We described earlier an approach to support creativity in requirements engineering. Here, we focus on a thorough validation of the approach. [Principal ideas/results] Our approach uses semantic-based technologies to derive new idea triggers. Here, we show an evaluation of this approach. We find that the approach provides better results than other existing creativity techniques like random triggers. [Contribution] The paper provides evidence for creativity enhancement using our approach. It also shows how a controlled experiment to analyze creativity in requirements engineering can be performed.</v>
      </c>
      <c r="H1399" s="7" t="str">
        <f>IFERROR(__xludf.DUMMYFUNCTION("""COMPUTED_VALUE"""),"product innovation, modelbased assistance, elicitation support, creativity support, experimentation")</f>
        <v>product innovation, modelbased assistance, elicitation support, creativity support, experimentation</v>
      </c>
      <c r="I1399" s="9" t="b">
        <v>1</v>
      </c>
      <c r="J1399" s="9" t="b">
        <v>1</v>
      </c>
      <c r="K1399" s="9" t="b">
        <v>1</v>
      </c>
      <c r="L1399" s="10" t="b">
        <v>0</v>
      </c>
      <c r="M1399" s="10" t="b">
        <v>0</v>
      </c>
      <c r="N1399" s="10" t="b">
        <v>0</v>
      </c>
      <c r="O1399" s="11" t="b">
        <f t="shared" si="1"/>
        <v>1</v>
      </c>
      <c r="P1399" s="12" t="b">
        <v>0</v>
      </c>
      <c r="Q1399" s="7"/>
    </row>
    <row r="1400">
      <c r="A1400" s="5" t="b">
        <v>1</v>
      </c>
      <c r="B1400" s="5" t="s">
        <v>1453</v>
      </c>
      <c r="C1400" s="7" t="str">
        <f>IFERROR(__xludf.DUMMYFUNCTION("""COMPUTED_VALUE"""),"10.1007/978-3-319-30282-9_19")</f>
        <v>10.1007/978-3-319-30282-9_19</v>
      </c>
      <c r="D1400" s="7" t="str">
        <f>IFERROR(__xludf.DUMMYFUNCTION("""COMPUTED_VALUE"""),"Daun M,Salmon A,Bandyszak T,Weyer T")</f>
        <v>Daun M,Salmon A,Bandyszak T,Weyer T</v>
      </c>
      <c r="E1400" s="7" t="str">
        <f>IFERROR(__xludf.DUMMYFUNCTION("""COMPUTED_VALUE"""),"Common Threats and Mitigation Strategies in Requirements Engineering Experiments with Student Participants")</f>
        <v>Common Threats and Mitigation Strategies in Requirements Engineering Experiments with Student Participants</v>
      </c>
      <c r="F1400" s="7" t="str">
        <f>IFERROR(__xludf.DUMMYFUNCTION("""COMPUTED_VALUE"""),"REFSQ")</f>
        <v>REFSQ</v>
      </c>
      <c r="G1400" s="7" t="str">
        <f>IFERROR(__xludf.DUMMYFUNCTION("""COMPUTED_VALUE"""),"[Context and motivation] Experiments are an important means to evaluate research results in the field of requirements engineering. Researchers often conduct such experiments with student participants. [Question/problem] The use of student participants evo"&amp;"kes a multitude of potential threats to validity, which must be properly addressed by the chosen experiment design. In practice, attention is mostly given to threats to the generalizability of the findings. However, current experiment reports often lack a"&amp;" proper discussion of further threats, for example, which are caused by the recruitment of student participants. [Principle ideas/results] To provide mitigation strategies for student specific threats to validity, these threats must be known. We analyzed "&amp;"student experiments from published experiment reports to identify student specific threats and to analyze adequate mitigation strategies. [Contribution] This paper contributes a detailed analysis of the threats to validity to be considered in student expe"&amp;"riments, and possible mitigation strategies to avoid these threats. In addition, we report on an experiment conducted in a university requirements engineering course, where we considered student specific threats and applied the proposed mitigation strateg"&amp;"ies.")</f>
        <v>[Context and motivation] Experiments are an important means to evaluate research results in the field of requirements engineering. Researchers often conduct such experiments with student participants. [Question/problem] The use of student participants evokes a multitude of potential threats to validity, which must be properly addressed by the chosen experiment design. In practice, attention is mostly given to threats to the generalizability of the findings. However, current experiment reports often lack a proper discussion of further threats, for example, which are caused by the recruitment of student participants. [Principle ideas/results] To provide mitigation strategies for student specific threats to validity, these threats must be known. We analyzed student experiments from published experiment reports to identify student specific threats and to analyze adequate mitigation strategies. [Contribution] This paper contributes a detailed analysis of the threats to validity to be considered in student experiments, and possible mitigation strategies to avoid these threats. In addition, we report on an experiment conducted in a university requirements engineering course, where we considered student specific threats and applied the proposed mitigation strategies.</v>
      </c>
      <c r="H1400" s="7" t="str">
        <f>IFERROR(__xludf.DUMMYFUNCTION("""COMPUTED_VALUE"""),"Experience report, Mitigation strategies, Student experiments, Threats to validity")</f>
        <v>Experience report, Mitigation strategies, Student experiments, Threats to validity</v>
      </c>
      <c r="I1400" s="10" t="b">
        <v>0</v>
      </c>
      <c r="J1400" s="10" t="b">
        <v>0</v>
      </c>
      <c r="K1400" s="10" t="b">
        <v>0</v>
      </c>
      <c r="L1400" s="10" t="b">
        <v>0</v>
      </c>
      <c r="M1400" s="10" t="b">
        <v>0</v>
      </c>
      <c r="N1400" s="10" t="b">
        <v>0</v>
      </c>
      <c r="O1400" s="11" t="b">
        <f t="shared" si="1"/>
        <v>0</v>
      </c>
      <c r="P1400" s="16" t="b">
        <v>0</v>
      </c>
      <c r="Q1400" s="7"/>
    </row>
    <row r="1401">
      <c r="A1401" s="5" t="b">
        <v>1</v>
      </c>
      <c r="B1401" s="5" t="s">
        <v>1454</v>
      </c>
      <c r="C1401" s="7" t="str">
        <f>IFERROR(__xludf.DUMMYFUNCTION("""COMPUTED_VALUE"""),"10.1007/978-3-642-02050-6_12")</f>
        <v>10.1007/978-3-642-02050-6_12</v>
      </c>
      <c r="D1401" s="7" t="str">
        <f>IFERROR(__xludf.DUMMYFUNCTION("""COMPUTED_VALUE"""),"Marhold C,Rohleder C,Salinesi C,Doerr J")</f>
        <v>Marhold C,Rohleder C,Salinesi C,Doerr J</v>
      </c>
      <c r="E1401" s="7" t="str">
        <f>IFERROR(__xludf.DUMMYFUNCTION("""COMPUTED_VALUE"""),"Clarifying Non-Functional Requirements to Improve User Acceptance --- Experience at Siemens")</f>
        <v>Clarifying Non-Functional Requirements to Improve User Acceptance --- Experience at Siemens</v>
      </c>
      <c r="F1401" s="7" t="str">
        <f>IFERROR(__xludf.DUMMYFUNCTION("""COMPUTED_VALUE"""),"REFSQ")</f>
        <v>REFSQ</v>
      </c>
      <c r="G1401" s="7" t="str">
        <f>IFERROR(__xludf.DUMMYFUNCTION("""COMPUTED_VALUE"""),"[Context and motivation] The starting point for software development is usually the system requirements. The requirements, especially nonfunctional requirements specified in a document are often incomplete and inconsistent with the initial user needs and "&amp;"expectations. [Question/problem] Experience at Siemens showed us that programmers working on software development often have trouble interpreting under-specified non-functional requirements, resulting in code that does not meet the users' quality expectat"&amp;"ions and contains ""quality faults"" that can only be detected later through expensive user acceptance testing activities. [Principal ideas/results] In this problem statement paper, we investigate the need for clarifying non-functional requirements in sof"&amp;"tware specifications to improve user acceptance. In particular we focus on establishing the role of non-functional requirements on user acceptance. [Contribution] Our contribution is that we emphasize the need for a systematic empirical study in this area"&amp;". We propose a possible set-up where a number of hypotheses have been developed that a systematic experiment will help to validate. Our work is based on industrial experiments at Siemens, in the particular context of the installation of a Product Lifecycl"&amp;"e Management (PLM) system.")</f>
        <v>[Context and motivation] The starting point for software development is usually the system requirements. The requirements, especially nonfunctional requirements specified in a document are often incomplete and inconsistent with the initial user needs and expectations. [Question/problem] Experience at Siemens showed us that programmers working on software development often have trouble interpreting under-specified non-functional requirements, resulting in code that does not meet the users' quality expectations and contains "quality faults" that can only be detected later through expensive user acceptance testing activities. [Principal ideas/results] In this problem statement paper, we investigate the need for clarifying non-functional requirements in software specifications to improve user acceptance. In particular we focus on establishing the role of non-functional requirements on user acceptance. [Contribution] Our contribution is that we emphasize the need for a systematic empirical study in this area. We propose a possible set-up where a number of hypotheses have been developed that a systematic experiment will help to validate. Our work is based on industrial experiments at Siemens, in the particular context of the installation of a Product Lifecycle Management (PLM) system.</v>
      </c>
      <c r="H1401" s="7" t="str">
        <f>IFERROR(__xludf.DUMMYFUNCTION("""COMPUTED_VALUE"""),"User Acceptance, Non-Functional Requirements")</f>
        <v>User Acceptance, Non-Functional Requirements</v>
      </c>
      <c r="I1401" s="10" t="b">
        <v>0</v>
      </c>
      <c r="J1401" s="10" t="b">
        <v>0</v>
      </c>
      <c r="K1401" s="10" t="b">
        <v>0</v>
      </c>
      <c r="L1401" s="10" t="b">
        <v>0</v>
      </c>
      <c r="M1401" s="10" t="b">
        <v>0</v>
      </c>
      <c r="N1401" s="10" t="b">
        <v>0</v>
      </c>
      <c r="O1401" s="11" t="b">
        <f t="shared" si="1"/>
        <v>0</v>
      </c>
      <c r="P1401" s="16" t="b">
        <v>0</v>
      </c>
      <c r="Q1401" s="7"/>
    </row>
    <row r="1402">
      <c r="A1402" s="5" t="b">
        <v>1</v>
      </c>
      <c r="B1402" s="5" t="s">
        <v>1455</v>
      </c>
      <c r="C1402" s="7" t="str">
        <f>IFERROR(__xludf.DUMMYFUNCTION("""COMPUTED_VALUE"""),"10.1007/978-3-642-02050-6_1")</f>
        <v>10.1007/978-3-642-02050-6_1</v>
      </c>
      <c r="D1402" s="7" t="str">
        <f>IFERROR(__xludf.DUMMYFUNCTION("""COMPUTED_VALUE"""),"Fogelström ND,Barney S,Aurum A,Hederstierna A")</f>
        <v>Fogelström ND,Barney S,Aurum A,Hederstierna A</v>
      </c>
      <c r="E1402" s="7" t="str">
        <f>IFERROR(__xludf.DUMMYFUNCTION("""COMPUTED_VALUE"""),"When Product Managers Gamble with Requirements: Attitudes to Value and Risk")</f>
        <v>When Product Managers Gamble with Requirements: Attitudes to Value and Risk</v>
      </c>
      <c r="F1402" s="7" t="str">
        <f>IFERROR(__xludf.DUMMYFUNCTION("""COMPUTED_VALUE"""),"REFSQ")</f>
        <v>REFSQ</v>
      </c>
      <c r="G1402" s="7" t="str">
        <f>IFERROR(__xludf.DUMMYFUNCTION("""COMPUTED_VALUE"""),"[Context and motivation] Finding a balance between commercial (customer specific, market pull and external quality requirements) and internal quality requirements is a recognized challenge in market driven software product development (MDSPD). In order to"&amp;" address this challenge it is important to understand the preferences and biases influencing decision makers selecting requirements for software releases. [Question/problem] Prospect theory has been successfully applied to many disciplines. Applying it to"&amp;" MDSPD suggests decision makers will avoid risk when selecting between commercial requirements, take risk with internal quality requirements, and prefer commercial requirements over internal quality requirements in order to maximize their perceived value."&amp;" This paper seeks to investigate this claim. [Principal ideas/results] This paper presents an experiment investigating whether the biases proposed by prospect theory can be seen operating in MDSPD requirements engineering (RE). The results indicate risk a"&amp;"voidance when dealing commercial requirements, while greater risk is taken when dealing with internal quality requirements. [Contribution] As this is the first paper to use prospect theory to explain requirements selection decisions, it presents opportuni"&amp;"ty to educate people in the biases they bring to the RE process, and facilitate the creation of strategies for balancing the different requirements types.")</f>
        <v>[Context and motivation] Finding a balance between commercial (customer specific, market pull and external quality requirements) and internal quality requirements is a recognized challenge in market driven software product development (MDSPD). In order to address this challenge it is important to understand the preferences and biases influencing decision makers selecting requirements for software releases. [Question/problem] Prospect theory has been successfully applied to many disciplines. Applying it to MDSPD suggests decision makers will avoid risk when selecting between commercial requirements, take risk with internal quality requirements, and prefer commercial requirements over internal quality requirements in order to maximize their perceived value. This paper seeks to investigate this claim. [Principal ideas/results] This paper presents an experiment investigating whether the biases proposed by prospect theory can be seen operating in MDSPD requirements engineering (RE). The results indicate risk avoidance when dealing commercial requirements, while greater risk is taken when dealing with internal quality requirements. [Contribution] As this is the first paper to use prospect theory to explain requirements selection decisions, it presents opportunity to educate people in the biases they bring to the RE process, and facilitate the creation of strategies for balancing the different requirements types.</v>
      </c>
      <c r="H1402" s="7" t="str">
        <f>IFERROR(__xludf.DUMMYFUNCTION("""COMPUTED_VALUE"""),"requirements selection, prospect theory, value, risk")</f>
        <v>requirements selection, prospect theory, value, risk</v>
      </c>
      <c r="I1402" s="10" t="b">
        <v>0</v>
      </c>
      <c r="J1402" s="10" t="b">
        <v>0</v>
      </c>
      <c r="K1402" s="10" t="b">
        <v>0</v>
      </c>
      <c r="L1402" s="10" t="b">
        <v>0</v>
      </c>
      <c r="M1402" s="10" t="b">
        <v>0</v>
      </c>
      <c r="N1402" s="10" t="b">
        <v>0</v>
      </c>
      <c r="O1402" s="11" t="b">
        <f t="shared" si="1"/>
        <v>0</v>
      </c>
      <c r="P1402" s="16" t="b">
        <v>0</v>
      </c>
      <c r="Q1402" s="7"/>
    </row>
    <row r="1403">
      <c r="A1403" s="5" t="b">
        <v>1</v>
      </c>
      <c r="B1403" s="5" t="s">
        <v>1456</v>
      </c>
      <c r="C1403" s="7" t="str">
        <f>IFERROR(__xludf.DUMMYFUNCTION("""COMPUTED_VALUE"""),"10.1007/978-3-030-91452-3_8")</f>
        <v>10.1007/978-3-030-91452-3_8</v>
      </c>
      <c r="D1403" s="7" t="str">
        <f>IFERROR(__xludf.DUMMYFUNCTION("""COMPUTED_VALUE"""),"Falcão R,Trapp M,Vieira V,Vianna Dias da Silva A")</f>
        <v>Falcão R,Trapp M,Vieira V,Vianna Dias da Silva A</v>
      </c>
      <c r="E1403" s="7" t="str">
        <f>IFERROR(__xludf.DUMMYFUNCTION("""COMPUTED_VALUE"""),"Using a Data-Driven Context Model to Support the Elicitation of Context-Aware Functionalities – A Controlled Experiment")</f>
        <v>Using a Data-Driven Context Model to Support the Elicitation of Context-Aware Functionalities – A Controlled Experiment</v>
      </c>
      <c r="F1403" s="7" t="str">
        <f>IFERROR(__xludf.DUMMYFUNCTION("""COMPUTED_VALUE"""),"PROFES")</f>
        <v>PROFES</v>
      </c>
      <c r="G1403" s="7" t="str">
        <f>IFERROR(__xludf.DUMMYFUNCTION("""COMPUTED_VALUE"""),"Background: Context modeling to support the elicitation of context-aware functionalities has been overlooked due to its high complexity. To help overcome this, we have implemented a data-driven process that analyzes contextual data and generates data-driv"&amp;"en context models. Objective: We aim at investigating to which extent a data-driven context model supports the identification of more complex contexts (i.e., contexts that combine several contextual elements) and unexpected context-aware functionalities. "&amp;"Method: We used a one factor with two treatments randomized design with 13 experienced software engineers. Given a specific system-supported user task, the participants were asked to come up with requirements that describe context-aware functionalities to"&amp;" improve the user task. Results: Use of the data-driven context model increased the average number of contextual elements used to describe requirements from 1.77 to 4.23. No participant from the control group was able to identify by themselves any of the "&amp;"contexts included in the model. All comparisons between groups had sufficient effect size and power. The participants regarded the data-driven context model as a useful tool to support the elicitation of context-aware functionalities. Conclusion: The data"&amp;"-driven context model has shown potential to support the identification of relevant contexts for given user tasks.")</f>
        <v>Background: Context modeling to support the elicitation of context-aware functionalities has been overlooked due to its high complexity. To help overcome this, we have implemented a data-driven process that analyzes contextual data and generates data-driven context models. Objective: We aim at investigating to which extent a data-driven context model supports the identification of more complex contexts (i.e., contexts that combine several contextual elements) and unexpected context-aware functionalities. Method: We used a one factor with two treatments randomized design with 13 experienced software engineers. Given a specific system-supported user task, the participants were asked to come up with requirements that describe context-aware functionalities to improve the user task. Results: Use of the data-driven context model increased the average number of contextual elements used to describe requirements from 1.77 to 4.23. No participant from the control group was able to identify by themselves any of the contexts included in the model. All comparisons between groups had sufficient effect size and power. The participants regarded the data-driven context model as a useful tool to support the elicitation of context-aware functionalities. Conclusion: The data-driven context model has shown potential to support the identification of relevant contexts for given user tasks.</v>
      </c>
      <c r="H1403" s="7" t="str">
        <f>IFERROR(__xludf.DUMMYFUNCTION("""COMPUTED_VALUE"""),"Data-driven, Experiment, Context awareness, Requirements, Model")</f>
        <v>Data-driven, Experiment, Context awareness, Requirements, Model</v>
      </c>
      <c r="I1403" s="9" t="b">
        <v>1</v>
      </c>
      <c r="J1403" s="9" t="b">
        <v>1</v>
      </c>
      <c r="K1403" s="10" t="b">
        <v>0</v>
      </c>
      <c r="L1403" s="10" t="b">
        <v>0</v>
      </c>
      <c r="M1403" s="10" t="b">
        <v>0</v>
      </c>
      <c r="N1403" s="10" t="b">
        <v>0</v>
      </c>
      <c r="O1403" s="11" t="b">
        <f t="shared" si="1"/>
        <v>0</v>
      </c>
      <c r="P1403" s="16" t="b">
        <v>0</v>
      </c>
      <c r="Q1403" s="7"/>
    </row>
    <row r="1404">
      <c r="A1404" s="5" t="b">
        <v>1</v>
      </c>
      <c r="B1404" s="5" t="s">
        <v>1457</v>
      </c>
      <c r="C1404" s="7" t="str">
        <f>IFERROR(__xludf.DUMMYFUNCTION("""COMPUTED_VALUE"""),"10.1007/978-3-642-13792-1_26")</f>
        <v>10.1007/978-3-642-13792-1_26</v>
      </c>
      <c r="D1404" s="7" t="str">
        <f>IFERROR(__xludf.DUMMYFUNCTION("""COMPUTED_VALUE"""),"Melleg\rard N,Staron M")</f>
        <v>Melleg\rard N,Staron M</v>
      </c>
      <c r="E1404" s="7" t="str">
        <f>IFERROR(__xludf.DUMMYFUNCTION("""COMPUTED_VALUE"""),"Improving Efficiency of Change Impact Assessment Using Graphical Requirement Specifications: An Experiment")</f>
        <v>Improving Efficiency of Change Impact Assessment Using Graphical Requirement Specifications: An Experiment</v>
      </c>
      <c r="F1404" s="7" t="str">
        <f>IFERROR(__xludf.DUMMYFUNCTION("""COMPUTED_VALUE"""),"PROFES")</f>
        <v>PROFES</v>
      </c>
      <c r="G1404" s="7" t="str">
        <f>IFERROR(__xludf.DUMMYFUNCTION("""COMPUTED_VALUE"""),"Objective: Graphical requirements representation is often considered needed to advance model-driven development. Dedicated modelling languages include formalisms for graphically representing requirements, and together with new methods for structuring requ"&amp;"irements, graphical modelling promises improvements such as more efficient change management. This paper examines whether the use of a graphical notation of a requirements affects the task of assessing the impact of a proposed change to a requirements spe"&amp;"cification.Method: The efficiency of using a graphical requirements representation was examined through an experiment – using 18 student subjects. Time, perceived confidence and accuracy were measured as dependent variables.Result: The results showed that"&amp;" using a graphical representation decreased the time required and increased the perceived confidence, but the accuracy decreased. However, the statistical analysis of the results showed that only the difference in time was significant. Furthermore, there "&amp;"was a large difference in variance within the dependent variables between the groups.")</f>
        <v>Objective: Graphical requirements representation is often considered needed to advance model-driven development. Dedicated modelling languages include formalisms for graphically representing requirements, and together with new methods for structuring requirements, graphical modelling promises improvements such as more efficient change management. This paper examines whether the use of a graphical notation of a requirements affects the task of assessing the impact of a proposed change to a requirements specification.Method: The efficiency of using a graphical requirements representation was examined through an experiment – using 18 student subjects. Time, perceived confidence and accuracy were measured as dependent variables.Result: The results showed that using a graphical representation decreased the time required and increased the perceived confidence, but the accuracy decreased. However, the statistical analysis of the results showed that only the difference in time was significant. Furthermore, there was a large difference in variance within the dependent variables between the groups.</v>
      </c>
      <c r="H1404" s="7" t="str">
        <f>IFERROR(__xludf.DUMMYFUNCTION("""COMPUTED_VALUE"""),"requirements engineering, experiment, efficiency, visualization")</f>
        <v>requirements engineering, experiment, efficiency, visualization</v>
      </c>
      <c r="I1404" s="9" t="b">
        <v>1</v>
      </c>
      <c r="J1404" s="9" t="b">
        <v>1</v>
      </c>
      <c r="K1404" s="9" t="b">
        <v>1</v>
      </c>
      <c r="L1404" s="10" t="b">
        <v>0</v>
      </c>
      <c r="M1404" s="10" t="b">
        <v>0</v>
      </c>
      <c r="N1404" s="10" t="b">
        <v>0</v>
      </c>
      <c r="O1404" s="11" t="b">
        <f t="shared" si="1"/>
        <v>1</v>
      </c>
      <c r="P1404" s="16" t="b">
        <v>0</v>
      </c>
      <c r="Q1404" s="7"/>
    </row>
    <row r="1405">
      <c r="A1405" s="5" t="b">
        <v>1</v>
      </c>
      <c r="B1405" s="5" t="s">
        <v>1458</v>
      </c>
      <c r="C1405" s="7" t="str">
        <f>IFERROR(__xludf.DUMMYFUNCTION("""COMPUTED_VALUE"""),"10.1007/978-3-031-21388-5_31")</f>
        <v>10.1007/978-3-031-21388-5_31</v>
      </c>
      <c r="D1405" s="7" t="str">
        <f>IFERROR(__xludf.DUMMYFUNCTION("""COMPUTED_VALUE"""),"Paulsson A,Runeson P,Ros R")</f>
        <v>Paulsson A,Runeson P,Ros R</v>
      </c>
      <c r="E1405" s="7" t="str">
        <f>IFERROR(__xludf.DUMMYFUNCTION("""COMPUTED_VALUE"""),"A/B Testing in the Small: An Empirical Exploration of Controlled Experimentation on Internal Tools")</f>
        <v>A/B Testing in the Small: An Empirical Exploration of Controlled Experimentation on Internal Tools</v>
      </c>
      <c r="F1405" s="7" t="str">
        <f>IFERROR(__xludf.DUMMYFUNCTION("""COMPUTED_VALUE"""),"PROFES")</f>
        <v>PROFES</v>
      </c>
      <c r="G1405" s="7" t="str">
        <f>IFERROR(__xludf.DUMMYFUNCTION("""COMPUTED_VALUE"""),"Previous research on A/B testing and continuous experimentation has mostly focused on large-scale settings with company-external customers. However, work efficiency and satisfaction for company co-workers may be highly related to internal tools and their "&amp;"fit-for-use. In this study, we therefore explore A/B testing for online services exclusively used by company co-workers. We A/B tested two versions of Customer Admin, a tool that helps 34 500 IKEA co-workers to interact with customer data. The study compr"&amp;"ised i) stakeholder interviews to understand objectives and phrase the experimentation goals, and ii) A/B test execution where data was collected and processed from approximately 350 users for 33 days. While the user base is relatively large for this inte"&amp;"rnal system, the primary metric data collected was too scarce to allow distinction between the two versions. However, secondary metrics and a user questionnaire suggest that the users are more efficient in the new menu design and that the users prefer it "&amp;"to the old. We conclude that A/B testing requires lots of data, making it less feasible for internal users, also for large, global organizations. Thus, we propose combining quantitative and qualitative evaluation of internal tools and propose further rese"&amp;"arch on how to adapt A/B testing for smaller-scale settings.")</f>
        <v>Previous research on A/B testing and continuous experimentation has mostly focused on large-scale settings with company-external customers. However, work efficiency and satisfaction for company co-workers may be highly related to internal tools and their fit-for-use. In this study, we therefore explore A/B testing for online services exclusively used by company co-workers. We A/B tested two versions of Customer Admin, a tool that helps 34 500 IKEA co-workers to interact with customer data. The study comprised i) stakeholder interviews to understand objectives and phrase the experimentation goals, and ii) A/B test execution where data was collected and processed from approximately 350 users for 33 days. While the user base is relatively large for this internal system, the primary metric data collected was too scarce to allow distinction between the two versions. However, secondary metrics and a user questionnaire suggest that the users are more efficient in the new menu design and that the users prefer it to the old. We conclude that A/B testing requires lots of data, making it less feasible for internal users, also for large, global organizations. Thus, we propose combining quantitative and qualitative evaluation of internal tools and propose further research on how to adapt A/B testing for smaller-scale settings.</v>
      </c>
      <c r="H1405" s="7"/>
      <c r="I1405" s="9" t="b">
        <v>0</v>
      </c>
      <c r="J1405" s="10" t="b">
        <v>0</v>
      </c>
      <c r="K1405" s="10" t="b">
        <v>0</v>
      </c>
      <c r="L1405" s="10" t="b">
        <v>0</v>
      </c>
      <c r="M1405" s="10" t="b">
        <v>0</v>
      </c>
      <c r="N1405" s="10" t="b">
        <v>0</v>
      </c>
      <c r="O1405" s="11" t="b">
        <f t="shared" si="1"/>
        <v>0</v>
      </c>
      <c r="P1405" s="16" t="b">
        <v>0</v>
      </c>
      <c r="Q1405" s="7"/>
    </row>
    <row r="1406">
      <c r="A1406" s="5" t="b">
        <v>1</v>
      </c>
      <c r="B1406" s="5" t="s">
        <v>1459</v>
      </c>
      <c r="C1406" s="7" t="str">
        <f>IFERROR(__xludf.DUMMYFUNCTION("""COMPUTED_VALUE"""),"10.1007/978-3-031-21388-5_29")</f>
        <v>10.1007/978-3-031-21388-5_29</v>
      </c>
      <c r="D1406" s="7" t="str">
        <f>IFERROR(__xludf.DUMMYFUNCTION("""COMPUTED_VALUE"""),"Duque-Torres A,Pfahl D")</f>
        <v>Duque-Torres A,Pfahl D</v>
      </c>
      <c r="E1406" s="7" t="str">
        <f>IFERROR(__xludf.DUMMYFUNCTION("""COMPUTED_VALUE"""),"Inferring Metamorphic Relations from JavaDocs: A Deep Dive into the MeMo Approach")</f>
        <v>Inferring Metamorphic Relations from JavaDocs: A Deep Dive into the MeMo Approach</v>
      </c>
      <c r="F1406" s="7" t="str">
        <f>IFERROR(__xludf.DUMMYFUNCTION("""COMPUTED_VALUE"""),"PROFES")</f>
        <v>PROFES</v>
      </c>
      <c r="G1406" s="7" t="str">
        <f>IFERROR(__xludf.DUMMYFUNCTION("""COMPUTED_VALUE"""),"Identifying and selecting suitable Metamorphic Relations is a complex process since it necessitates a thorough grasp of the system under test and its problem domain. Recently, an approach supporting unit testing at the method level called MeMo was propose"&amp;"d. Through a module called MR-Finder, MeMo infers Equivalent Metamorphic Relations (EMRs) by identifying sentences in Javadoc’s comments that describe equivalent behaviours between different methods of the same class. MR-Finder has three main components: "&amp;"(i) a predefined set of 10 words that express an equivalence (S10W). (ii) A mechanism that measures the semantic similarity between two sentences by using Word Move Distance (WDM). (iii) A binary classifier that decides whether a given sentence points to "&amp;"an EMR. The goal of our research is to determine if MeMo’s MR-Finder module can be improved. For that purpose, we first re-build the MR-Finder module and use the same dataset provided by MeMo’s authors to verify the reported results in the original study "&amp;"and establish the basis for further experiments. Second, we explore two strategies, STRTG No.1 and STRTG No.2, to improve the MR-Finder. In STRTG No.1, we increase the set S10W. In STRTG No.2, we keep S10W unchanged but add a second template sentence to t"&amp;"he MR-Finder module. We successfully re-implemented the MR-Finder module and achieved comparable results using the same S10W. Our results indicate that the overall performance of MR-Finder is very likely to improve when the initial set of equivalent words"&amp;" increases, i.e., with STRTG No.1.")</f>
        <v>Identifying and selecting suitable Metamorphic Relations is a complex process since it necessitates a thorough grasp of the system under test and its problem domain. Recently, an approach supporting unit testing at the method level called MeMo was proposed. Through a module called MR-Finder, MeMo infers Equivalent Metamorphic Relations (EMRs) by identifying sentences in Javadoc’s comments that describe equivalent behaviours between different methods of the same class. MR-Finder has three main components: (i) a predefined set of 10 words that express an equivalence (S10W). (ii) A mechanism that measures the semantic similarity between two sentences by using Word Move Distance (WDM). (iii) A binary classifier that decides whether a given sentence points to an EMR. The goal of our research is to determine if MeMo’s MR-Finder module can be improved. For that purpose, we first re-build the MR-Finder module and use the same dataset provided by MeMo’s authors to verify the reported results in the original study and establish the basis for further experiments. Second, we explore two strategies, STRTG No.1 and STRTG No.2, to improve the MR-Finder. In STRTG No.1, we increase the set S10W. In STRTG No.2, we keep S10W unchanged but add a second template sentence to the MR-Finder module. We successfully re-implemented the MR-Finder module and achieved comparable results using the same S10W. Our results indicate that the overall performance of MR-Finder is very likely to improve when the initial set of equivalent words increases, i.e., with STRTG No.1.</v>
      </c>
      <c r="H1406" s="7" t="str">
        <f>IFERROR(__xludf.DUMMYFUNCTION("""COMPUTED_VALUE"""),"Metamorphic relations, Metamorphic testing, Software testing")</f>
        <v>Metamorphic relations, Metamorphic testing, Software testing</v>
      </c>
      <c r="I1406" s="10" t="b">
        <v>0</v>
      </c>
      <c r="J1406" s="10" t="b">
        <v>0</v>
      </c>
      <c r="K1406" s="10" t="b">
        <v>0</v>
      </c>
      <c r="L1406" s="10" t="b">
        <v>0</v>
      </c>
      <c r="M1406" s="10" t="b">
        <v>0</v>
      </c>
      <c r="N1406" s="10" t="b">
        <v>0</v>
      </c>
      <c r="O1406" s="11" t="b">
        <f t="shared" si="1"/>
        <v>0</v>
      </c>
      <c r="P1406" s="16" t="b">
        <v>0</v>
      </c>
      <c r="Q1406" s="7"/>
    </row>
    <row r="1407">
      <c r="A1407" s="5" t="b">
        <v>1</v>
      </c>
      <c r="B1407" s="5" t="s">
        <v>1460</v>
      </c>
      <c r="C1407" s="7" t="str">
        <f>IFERROR(__xludf.DUMMYFUNCTION("""COMPUTED_VALUE"""),"10.1007/978-3-030-64148-1_7")</f>
        <v>10.1007/978-3-030-64148-1_7</v>
      </c>
      <c r="D1407" s="7" t="str">
        <f>IFERROR(__xludf.DUMMYFUNCTION("""COMPUTED_VALUE"""),"Kalinowski M,Lopes H,Teixeira AF,da Silva Cardoso G,Kuramoto A,Itagyba B,Batista ST,Pereira JA,Silva T,Warrak JA,da Costa M,Fischer M,Salgado C,Teixeira B,Chueke J,Ferreira B,Lima R,Villamizar H,Brandão A,Barbosa S,Poggi M,Pelizaro C,Lemes D,Waltemberg M,"&amp;"Lopes O,Goulart W")</f>
        <v>Kalinowski M,Lopes H,Teixeira AF,da Silva Cardoso G,Kuramoto A,Itagyba B,Batista ST,Pereira JA,Silva T,Warrak JA,da Costa M,Fischer M,Salgado C,Teixeira B,Chueke J,Ferreira B,Lima R,Villamizar H,Brandão A,Barbosa S,Poggi M,Pelizaro C,Lemes D,Waltemberg M,Lopes O,Goulart W</v>
      </c>
      <c r="E1407" s="7" t="str">
        <f>IFERROR(__xludf.DUMMYFUNCTION("""COMPUTED_VALUE"""),"Lean R&amp;D: An Agile Research and Development Approach for Digital Transformation")</f>
        <v>Lean R&amp;D: An Agile Research and Development Approach for Digital Transformation</v>
      </c>
      <c r="F1407" s="7" t="str">
        <f>IFERROR(__xludf.DUMMYFUNCTION("""COMPUTED_VALUE"""),"PROFES")</f>
        <v>PROFES</v>
      </c>
      <c r="G1407" s="7" t="str">
        <f>IFERROR(__xludf.DUMMYFUNCTION("""COMPUTED_VALUE"""),"Petrobras is a large publicly-held company that operates in the oil, gas and energy industry. Recently, they conducted internal dynamics to identify several Digital Transformation (DT) opportunities to leverage their operational excellence. Addressing suc"&amp;"h opportunities typically requires Research and Development (R&amp;D) uncertainties that could lead traditional R&amp;D cooperation terms to be negotiated in years. However, there are time-to-market constraints for fast-paced deliveries to experiment solution opt"&amp;"ions. With this in mind, they partnered up with PUC-Rio to establish a new DT initiative. The goal of this paper is to present the Lean R&amp;D approach, tailored within this new initiative, and results of two case studies regarding its application in practic"&amp;"e. We designed Lean R&amp;D integrating the following building blocks: (i) Lean Inceptions, to allow stakeholders to jointly outline a Minimal Viable Product (MVP); (ii) early parallel technical feasibility assessment and conception phases, allowing to ‘fail "&amp;"fast’; (iii) scrum-based development management; and (iv) strategically aligned continuous experimentation to test business hypotheses. In the two reported case studies, Lean R&amp;D enabled addressing research-related uncertainties early and to efficiently d"&amp;"eliver valuable MVPs within four months, showing itself suitable for supporting the DT initiative. Key success factors were the business strategy alignment, the defined roles and co-creation philosophy with strong integration between Petrobras and PUC-Rio"&amp;"’s teams, and continuous support of a highly qualified research team. Main opportunities for improvement, based on our lessons learned, rely on better adapting Lean Inceptions to the DT context and on scaling the approach to a project portfolio level of a"&amp;"bstraction.")</f>
        <v>Petrobras is a large publicly-held company that operates in the oil, gas and energy industry. Recently, they conducted internal dynamics to identify several Digital Transformation (DT) opportunities to leverage their operational excellence. Addressing such opportunities typically requires Research and Development (R&amp;D) uncertainties that could lead traditional R&amp;D cooperation terms to be negotiated in years. However, there are time-to-market constraints for fast-paced deliveries to experiment solution options. With this in mind, they partnered up with PUC-Rio to establish a new DT initiative. The goal of this paper is to present the Lean R&amp;D approach, tailored within this new initiative, and results of two case studies regarding its application in practice. We designed Lean R&amp;D integrating the following building blocks: (i) Lean Inceptions, to allow stakeholders to jointly outline a Minimal Viable Product (MVP); (ii) early parallel technical feasibility assessment and conception phases, allowing to ‘fail fast’; (iii) scrum-based development management; and (iv) strategically aligned continuous experimentation to test business hypotheses. In the two reported case studies, Lean R&amp;D enabled addressing research-related uncertainties early and to efficiently deliver valuable MVPs within four months, showing itself suitable for supporting the DT initiative. Key success factors were the business strategy alignment, the defined roles and co-creation philosophy with strong integration between Petrobras and PUC-Rio’s teams, and continuous support of a highly qualified research team. Main opportunities for improvement, based on our lessons learned, rely on better adapting Lean Inceptions to the DT context and on scaling the approach to a project portfolio level of abstraction.</v>
      </c>
      <c r="H1407" s="7" t="str">
        <f>IFERROR(__xludf.DUMMYFUNCTION("""COMPUTED_VALUE"""),"Research and development, Lean, Continuous experimentation, Agile methods, Digital transformation")</f>
        <v>Research and development, Lean, Continuous experimentation, Agile methods, Digital transformation</v>
      </c>
      <c r="I1407" s="10" t="b">
        <v>0</v>
      </c>
      <c r="J1407" s="10" t="b">
        <v>0</v>
      </c>
      <c r="K1407" s="10" t="b">
        <v>0</v>
      </c>
      <c r="L1407" s="10" t="b">
        <v>0</v>
      </c>
      <c r="M1407" s="10" t="b">
        <v>0</v>
      </c>
      <c r="N1407" s="10" t="b">
        <v>0</v>
      </c>
      <c r="O1407" s="11" t="b">
        <f t="shared" si="1"/>
        <v>0</v>
      </c>
      <c r="P1407" s="16" t="b">
        <v>0</v>
      </c>
      <c r="Q1407" s="7"/>
    </row>
    <row r="1408">
      <c r="A1408" s="5" t="b">
        <v>1</v>
      </c>
      <c r="B1408" s="5" t="s">
        <v>1461</v>
      </c>
      <c r="C1408" s="7" t="str">
        <f>IFERROR(__xludf.DUMMYFUNCTION("""COMPUTED_VALUE"""),"10.1007/978-3-030-64148-1_23")</f>
        <v>10.1007/978-3-030-64148-1_23</v>
      </c>
      <c r="D1408" s="7" t="str">
        <f>IFERROR(__xludf.DUMMYFUNCTION("""COMPUTED_VALUE"""),"Banijamali A,Kuvaja P,Oivo M,Jamshidi P")</f>
        <v>Banijamali A,Kuvaja P,Oivo M,Jamshidi P</v>
      </c>
      <c r="E1408" s="7" t="str">
        <f>IFERROR(__xludf.DUMMYFUNCTION("""COMPUTED_VALUE"""),"Kuksa∗: Self-Adaptive Microservices in Automotive Systems")</f>
        <v>Kuksa∗: Self-Adaptive Microservices in Automotive Systems</v>
      </c>
      <c r="F1408" s="7" t="str">
        <f>IFERROR(__xludf.DUMMYFUNCTION("""COMPUTED_VALUE"""),"PROFES")</f>
        <v>PROFES</v>
      </c>
      <c r="G1408" s="7" t="str">
        <f>IFERROR(__xludf.DUMMYFUNCTION("""COMPUTED_VALUE"""),"In pervasive dynamic environments, vehicles connect to other objects to send operational data and receive updates so that vehicular applications can provide services to users on demand. Automotive systems should be self-adaptive, thereby they can make rea"&amp;"l-time decisions based on changing operating conditions. Emerging modern solutions, such as microservices could improve self-adaptation capabilities and ensure higher levels of quality performance in many domains. We employed a real-world automotive platf"&amp;"orm called Eclipse Kuksa to propose a framework based on microservices architecture to enhance the self-adaptation capabilities of automotive systems for runtime data analysis. To evaluate the designed solution, we conducted an experiment in an automotive"&amp;" laboratory setting where our solution was implemented as a microservice-based adaptation engine and integrated with other Eclipse Kuksa components. The results of our study indicate the importance of design trade-offs for quality requirements’ satisfacti"&amp;"on levels of each microservices and the whole system for the optimal performance of an adaptive system at runtime.")</f>
        <v>In pervasive dynamic environments, vehicles connect to other objects to send operational data and receive updates so that vehicular applications can provide services to users on demand. Automotive systems should be self-adaptive, thereby they can make real-time decisions based on changing operating conditions. Emerging modern solutions, such as microservices could improve self-adaptation capabilities and ensure higher levels of quality performance in many domains. We employed a real-world automotive platform called Eclipse Kuksa to propose a framework based on microservices architecture to enhance the self-adaptation capabilities of automotive systems for runtime data analysis. To evaluate the designed solution, we conducted an experiment in an automotive laboratory setting where our solution was implemented as a microservice-based adaptation engine and integrated with other Eclipse Kuksa components. The results of our study indicate the importance of design trade-offs for quality requirements’ satisfaction levels of each microservices and the whole system for the optimal performance of an adaptive system at runtime.</v>
      </c>
      <c r="H1408" s="7" t="str">
        <f>IFERROR(__xludf.DUMMYFUNCTION("""COMPUTED_VALUE"""),"Automotive, Self-adaptive systems, Microservices, Cloud")</f>
        <v>Automotive, Self-adaptive systems, Microservices, Cloud</v>
      </c>
      <c r="I1408" s="10" t="b">
        <v>0</v>
      </c>
      <c r="J1408" s="10" t="b">
        <v>0</v>
      </c>
      <c r="K1408" s="10" t="b">
        <v>0</v>
      </c>
      <c r="L1408" s="10" t="b">
        <v>0</v>
      </c>
      <c r="M1408" s="10" t="b">
        <v>0</v>
      </c>
      <c r="N1408" s="10" t="b">
        <v>0</v>
      </c>
      <c r="O1408" s="11" t="b">
        <f t="shared" si="1"/>
        <v>0</v>
      </c>
      <c r="P1408" s="16" t="b">
        <v>0</v>
      </c>
      <c r="Q1408" s="7"/>
    </row>
    <row r="1409">
      <c r="A1409" s="5" t="b">
        <v>1</v>
      </c>
      <c r="B1409" s="5" t="s">
        <v>1462</v>
      </c>
      <c r="C1409" s="7" t="str">
        <f>IFERROR(__xludf.DUMMYFUNCTION("""COMPUTED_VALUE"""),"10.1007/978-3-031-21388-5_27")</f>
        <v>10.1007/978-3-031-21388-5_27</v>
      </c>
      <c r="D1409" s="7" t="str">
        <f>IFERROR(__xludf.DUMMYFUNCTION("""COMPUTED_VALUE"""),"Rafiq U,Filippo C,Wang X")</f>
        <v>Rafiq U,Filippo C,Wang X</v>
      </c>
      <c r="E1409" s="7" t="str">
        <f>IFERROR(__xludf.DUMMYFUNCTION("""COMPUTED_VALUE"""),"Understanding Low-Code or No-Code Adoption in Software Startups: Preliminary Results from a Comparative Case Study")</f>
        <v>Understanding Low-Code or No-Code Adoption in Software Startups: Preliminary Results from a Comparative Case Study</v>
      </c>
      <c r="F1409" s="7" t="str">
        <f>IFERROR(__xludf.DUMMYFUNCTION("""COMPUTED_VALUE"""),"PROFES")</f>
        <v>PROFES</v>
      </c>
      <c r="G1409" s="7" t="str">
        <f>IFERROR(__xludf.DUMMYFUNCTION("""COMPUTED_VALUE"""),"Low-code or no-code application development is a new jargon in the software development community. In response, large and medium-sized companies, are seen triggered to join the bandwagon. Existing research on why small and innovative companies, like softw"&amp;"are startups, apply this paradigm is limited. The current literature shows that software startups are different from established software companies in terms of their focus on innovation, market-driven context, limited resources, and uncertainty. Therefore"&amp;", in this paper, we study and report our initial understanding of why software startups apply low-code or no-code. We studied two cases, in the first phase, to address the research question. Our preliminary results show that software startups apply this p"&amp;"aradigm in an ad-hoc manner and use it for experimentation, prototyping, and idea validation. On the flip side, large companies enjoy a stable workflow of low-code or no-code development. The motivations include achieving rapid product development, fast f"&amp;"eedback, and empowering business users. These results provide a good starting point for discussion and demand for further research. Including additional data, particularly, more cases, therefore, is our essential next step to get a deeper understanding an"&amp;"d report final results.")</f>
        <v>Low-code or no-code application development is a new jargon in the software development community. In response, large and medium-sized companies, are seen triggered to join the bandwagon. Existing research on why small and innovative companies, like software startups, apply this paradigm is limited. The current literature shows that software startups are different from established software companies in terms of their focus on innovation, market-driven context, limited resources, and uncertainty. Therefore, in this paper, we study and report our initial understanding of why software startups apply low-code or no-code. We studied two cases, in the first phase, to address the research question. Our preliminary results show that software startups apply this paradigm in an ad-hoc manner and use it for experimentation, prototyping, and idea validation. On the flip side, large companies enjoy a stable workflow of low-code or no-code development. The motivations include achieving rapid product development, fast feedback, and empowering business users. These results provide a good starting point for discussion and demand for further research. Including additional data, particularly, more cases, therefore, is our essential next step to get a deeper understanding and report final results.</v>
      </c>
      <c r="H1409" s="7" t="str">
        <f>IFERROR(__xludf.DUMMYFUNCTION("""COMPUTED_VALUE"""),"Startup, LCNC, Digital transformation, Low code, LCAP, No code")</f>
        <v>Startup, LCNC, Digital transformation, Low code, LCAP, No code</v>
      </c>
      <c r="I1409" s="10" t="b">
        <v>0</v>
      </c>
      <c r="J1409" s="10" t="b">
        <v>0</v>
      </c>
      <c r="K1409" s="10" t="b">
        <v>0</v>
      </c>
      <c r="L1409" s="10" t="b">
        <v>0</v>
      </c>
      <c r="M1409" s="10" t="b">
        <v>0</v>
      </c>
      <c r="N1409" s="10" t="b">
        <v>0</v>
      </c>
      <c r="O1409" s="11" t="b">
        <f t="shared" si="1"/>
        <v>0</v>
      </c>
      <c r="P1409" s="16" t="b">
        <v>0</v>
      </c>
      <c r="Q1409" s="7"/>
    </row>
    <row r="1410">
      <c r="A1410" s="5" t="b">
        <v>1</v>
      </c>
      <c r="B1410" s="5" t="s">
        <v>1463</v>
      </c>
      <c r="C1410" s="7" t="str">
        <f>IFERROR(__xludf.DUMMYFUNCTION("""COMPUTED_VALUE"""),"10.1007/978-3-319-26844-6_8")</f>
        <v>10.1007/978-3-319-26844-6_8</v>
      </c>
      <c r="D1410" s="7" t="str">
        <f>IFERROR(__xludf.DUMMYFUNCTION("""COMPUTED_VALUE"""),"Reggio G,Leotta M,Ricca F")</f>
        <v>Reggio G,Leotta M,Ricca F</v>
      </c>
      <c r="E1410" s="7" t="str">
        <f>IFERROR(__xludf.DUMMYFUNCTION("""COMPUTED_VALUE"""),"A Method for Requirements Capture and Specification Based on Disciplined Use Cases and Screen Mockups")</f>
        <v>A Method for Requirements Capture and Specification Based on Disciplined Use Cases and Screen Mockups</v>
      </c>
      <c r="F1410" s="7" t="str">
        <f>IFERROR(__xludf.DUMMYFUNCTION("""COMPUTED_VALUE"""),"PROFES")</f>
        <v>PROFES</v>
      </c>
      <c r="G1410" s="7" t="str">
        <f>IFERROR(__xludf.DUMMYFUNCTION("""COMPUTED_VALUE"""),"We present a novel method for capturing and writing requirements specifications that enriches disciplined use cases with screen mockups. Disciplined use cases are characterized by a quite stringent template, which allows to impose a large number of constr"&amp;"aints helping to prevent common mistakes and to increase the quality of the specifications. Disciplined use cases are expressed using natural language, but the strong structuring allows to reach a good level of precision without having to introduce new an"&amp;"d more complex notations. Screen mockups associated with the steps of the scenarios present the corresponding GUIs as seen by the human actors before/after the step executions, improving the comprehension of the requirements, and allowing also to precisel"&amp;"y present non-functional requirements of the user interface. The method has been successfully applied in an industrial project and the effectiveness of the screen mockups has been validated by means of controlled experiments.")</f>
        <v>We present a novel method for capturing and writing requirements specifications that enriches disciplined use cases with screen mockups. Disciplined use cases are characterized by a quite stringent template, which allows to impose a large number of constraints helping to prevent common mistakes and to increase the quality of the specifications. Disciplined use cases are expressed using natural language, but the strong structuring allows to reach a good level of precision without having to introduce new and more complex notations. Screen mockups associated with the steps of the scenarios present the corresponding GUIs as seen by the human actors before/after the step executions, improving the comprehension of the requirements, and allowing also to precisely present non-functional requirements of the user interface. The method has been successfully applied in an industrial project and the effectiveness of the screen mockups has been validated by means of controlled experiments.</v>
      </c>
      <c r="H1410" s="7"/>
      <c r="I1410" s="10" t="b">
        <v>0</v>
      </c>
      <c r="J1410" s="9" t="b">
        <v>0</v>
      </c>
      <c r="K1410" s="9" t="b">
        <v>0</v>
      </c>
      <c r="L1410" s="10" t="b">
        <v>0</v>
      </c>
      <c r="M1410" s="10" t="b">
        <v>0</v>
      </c>
      <c r="N1410" s="10" t="b">
        <v>0</v>
      </c>
      <c r="O1410" s="11" t="b">
        <f t="shared" si="1"/>
        <v>0</v>
      </c>
      <c r="P1410" s="12" t="b">
        <v>0</v>
      </c>
      <c r="Q1410" s="13"/>
    </row>
    <row r="1411">
      <c r="A1411" s="5" t="b">
        <v>1</v>
      </c>
      <c r="B1411" s="5" t="s">
        <v>1464</v>
      </c>
      <c r="C1411" s="7" t="str">
        <f>IFERROR(__xludf.DUMMYFUNCTION("""COMPUTED_VALUE"""),"10.1007/11767718_40")</f>
        <v>10.1007/11767718_40</v>
      </c>
      <c r="D1411" s="7" t="str">
        <f>IFERROR(__xludf.DUMMYFUNCTION("""COMPUTED_VALUE"""),"Du G,McElroy J,Ruhe G")</f>
        <v>Du G,McElroy J,Ruhe G</v>
      </c>
      <c r="E1411" s="7" t="str">
        <f>IFERROR(__xludf.DUMMYFUNCTION("""COMPUTED_VALUE"""),"Ad Hoc versus Systematic Planning of Software Releases – a Three-Staged Experiment")</f>
        <v>Ad Hoc versus Systematic Planning of Software Releases – a Three-Staged Experiment</v>
      </c>
      <c r="F1411" s="7" t="str">
        <f>IFERROR(__xludf.DUMMYFUNCTION("""COMPUTED_VALUE"""),"PROFES")</f>
        <v>PROFES</v>
      </c>
      <c r="G1411" s="7" t="str">
        <f>IFERROR(__xludf.DUMMYFUNCTION("""COMPUTED_VALUE"""),"Release planning addresses the process of deciding which requirement of an evolving software system should be assigned to which release. We study two fundamentally different software release planning approaches: (i) ad hoc planning and (ii) systematic pla"&amp;"nning. Ad hoc planning is mainly based on human intuition, experience and communication. Systematic planning, based on formalization, assumes a quantitative description of the problem, and application of optimization algorithms for its solution.We have pe"&amp;"rformed a controlled experiment intended to investigate hypotheses related to confidence, understanding, and trust related to the two approaches. The stated hypotheses were based on an explorative pre-study and prior industrial release planning projects. "&amp;"Although limited in scope and size, the experiment provided interesting insight into the performance of the stated approaches. Overall, systematic planning based on tool support increased confidence into the solutions and was trusted more than ad hoc plan"&amp;"ning.")</f>
        <v>Release planning addresses the process of deciding which requirement of an evolving software system should be assigned to which release. We study two fundamentally different software release planning approaches: (i) ad hoc planning and (ii) systematic planning. Ad hoc planning is mainly based on human intuition, experience and communication. Systematic planning, based on formalization, assumes a quantitative description of the problem, and application of optimization algorithms for its solution.We have performed a controlled experiment intended to investigate hypotheses related to confidence, understanding, and trust related to the two approaches. The stated hypotheses were based on an explorative pre-study and prior industrial release planning projects. Although limited in scope and size, the experiment provided interesting insight into the performance of the stated approaches. Overall, systematic planning based on tool support increased confidence into the solutions and was trusted more than ad hoc planning.</v>
      </c>
      <c r="H1411" s="7" t="str">
        <f>IFERROR(__xludf.DUMMYFUNCTION("""COMPUTED_VALUE"""),"confidence, understanding, trust, decision support tool, release planning process, controlled experiment")</f>
        <v>confidence, understanding, trust, decision support tool, release planning process, controlled experiment</v>
      </c>
      <c r="I1411" s="9" t="b">
        <v>1</v>
      </c>
      <c r="J1411" s="9" t="b">
        <v>1</v>
      </c>
      <c r="K1411" s="9" t="b">
        <v>1</v>
      </c>
      <c r="L1411" s="10" t="b">
        <v>0</v>
      </c>
      <c r="M1411" s="10" t="b">
        <v>0</v>
      </c>
      <c r="N1411" s="10" t="b">
        <v>0</v>
      </c>
      <c r="O1411" s="11" t="b">
        <f t="shared" si="1"/>
        <v>1</v>
      </c>
      <c r="P1411" s="16" t="b">
        <v>0</v>
      </c>
      <c r="Q1411" s="7"/>
    </row>
    <row r="1412">
      <c r="A1412" s="5" t="b">
        <v>1</v>
      </c>
      <c r="B1412" s="5" t="s">
        <v>1465</v>
      </c>
      <c r="C1412" s="7" t="str">
        <f>IFERROR(__xludf.DUMMYFUNCTION("""COMPUTED_VALUE"""),"10.1007/11497455_37")</f>
        <v>10.1007/11497455_37</v>
      </c>
      <c r="D1412" s="7" t="str">
        <f>IFERROR(__xludf.DUMMYFUNCTION("""COMPUTED_VALUE"""),"Flohr T,Schneider T")</f>
        <v>Flohr T,Schneider T</v>
      </c>
      <c r="E1412" s="7" t="str">
        <f>IFERROR(__xludf.DUMMYFUNCTION("""COMPUTED_VALUE"""),"An XP Experiment with Students: Setup and Problems")</f>
        <v>An XP Experiment with Students: Setup and Problems</v>
      </c>
      <c r="F1412" s="7" t="str">
        <f>IFERROR(__xludf.DUMMYFUNCTION("""COMPUTED_VALUE"""),"PROFES")</f>
        <v>PROFES</v>
      </c>
      <c r="G1412" s="7" t="str">
        <f>IFERROR(__xludf.DUMMYFUNCTION("""COMPUTED_VALUE"""),"Designing experiments to be carried out with students as subjects in an XP setup is a difficult task: Students lack experiences with XP, there are limited resources, the experiment might not be taken seriously and other effects interfere. This paper prese"&amp;"nts an experiment using student subjects examining test-first in comparison to classical-testing. We proved several hypotheses about test coverage, number of test-cases, contacts with customer, acceptance for test-first, development speed and not required"&amp;" features. While designing the experiment we noticed that it is useful to include some additional XP techniques on top of test first, because of our special setup and the demands we had. Despite careful planning and conduction of the experiment we still f"&amp;"aced a number of problems. In this paper we also discuss the problems with our experimental setup.")</f>
        <v>Designing experiments to be carried out with students as subjects in an XP setup is a difficult task: Students lack experiences with XP, there are limited resources, the experiment might not be taken seriously and other effects interfere. This paper presents an experiment using student subjects examining test-first in comparison to classical-testing. We proved several hypotheses about test coverage, number of test-cases, contacts with customer, acceptance for test-first, development speed and not required features. While designing the experiment we noticed that it is useful to include some additional XP techniques on top of test first, because of our special setup and the demands we had. Despite careful planning and conduction of the experiment we still faced a number of problems. In this paper we also discuss the problems with our experimental setup.</v>
      </c>
      <c r="H1412" s="7"/>
      <c r="I1412" s="9" t="b">
        <v>1</v>
      </c>
      <c r="J1412" s="10" t="b">
        <v>0</v>
      </c>
      <c r="K1412" s="9" t="b">
        <v>1</v>
      </c>
      <c r="L1412" s="10" t="b">
        <v>0</v>
      </c>
      <c r="M1412" s="10" t="b">
        <v>0</v>
      </c>
      <c r="N1412" s="10" t="b">
        <v>0</v>
      </c>
      <c r="O1412" s="11" t="b">
        <f t="shared" si="1"/>
        <v>0</v>
      </c>
      <c r="P1412" s="16" t="b">
        <v>0</v>
      </c>
      <c r="Q1412" s="7"/>
    </row>
    <row r="1413">
      <c r="A1413" s="5" t="b">
        <v>1</v>
      </c>
      <c r="B1413" s="5" t="s">
        <v>1466</v>
      </c>
      <c r="C1413" s="7" t="str">
        <f>IFERROR(__xludf.DUMMYFUNCTION("""COMPUTED_VALUE"""),"10.1007/11497455_33")</f>
        <v>10.1007/11497455_33</v>
      </c>
      <c r="D1413" s="7" t="str">
        <f>IFERROR(__xludf.DUMMYFUNCTION("""COMPUTED_VALUE"""),"Back RJ,Milovanov L,Porres I")</f>
        <v>Back RJ,Milovanov L,Porres I</v>
      </c>
      <c r="E1413" s="7" t="str">
        <f>IFERROR(__xludf.DUMMYFUNCTION("""COMPUTED_VALUE"""),"Software Development and Experimentation in an Academic Environment: The Gaudi Experience")</f>
        <v>Software Development and Experimentation in an Academic Environment: The Gaudi Experience</v>
      </c>
      <c r="F1413" s="7" t="str">
        <f>IFERROR(__xludf.DUMMYFUNCTION("""COMPUTED_VALUE"""),"PROFES")</f>
        <v>PROFES</v>
      </c>
      <c r="G1413" s="7" t="str">
        <f>IFERROR(__xludf.DUMMYFUNCTION("""COMPUTED_VALUE"""),"In this article, we describe an approach to empirical software engineering based on a combined software factory and software laboratory. The software factory develops software required by an external customer while the software laboratory monitors and imp"&amp;"roves the processes and methods used in the factory. We have used this approach during a period of four years to define and evaluate a software process that combines practices from Extreme Programming with architectural design and documentation practices "&amp;"in order to find a balance between agility, maintainability and reliability.")</f>
        <v>In this article, we describe an approach to empirical software engineering based on a combined software factory and software laboratory. The software factory develops software required by an external customer while the software laboratory monitors and improves the processes and methods used in the factory. We have used this approach during a period of four years to define and evaluate a software process that combines practices from Extreme Programming with architectural design and documentation practices in order to find a balance between agility, maintainability and reliability.</v>
      </c>
      <c r="H1413" s="7"/>
      <c r="I1413" s="10" t="b">
        <v>0</v>
      </c>
      <c r="J1413" s="10" t="b">
        <v>0</v>
      </c>
      <c r="K1413" s="10" t="b">
        <v>0</v>
      </c>
      <c r="L1413" s="10" t="b">
        <v>0</v>
      </c>
      <c r="M1413" s="10" t="b">
        <v>0</v>
      </c>
      <c r="N1413" s="10" t="b">
        <v>0</v>
      </c>
      <c r="O1413" s="11" t="b">
        <f t="shared" si="1"/>
        <v>0</v>
      </c>
      <c r="P1413" s="16" t="b">
        <v>0</v>
      </c>
      <c r="Q1413" s="7"/>
    </row>
    <row r="1414">
      <c r="A1414" s="5" t="b">
        <v>1</v>
      </c>
      <c r="B1414" s="5" t="s">
        <v>1467</v>
      </c>
      <c r="C1414" s="7" t="str">
        <f>IFERROR(__xludf.DUMMYFUNCTION("""COMPUTED_VALUE"""),"10.1007/978-3-642-13792-1_4")</f>
        <v>10.1007/978-3-642-13792-1_4</v>
      </c>
      <c r="D1414" s="7" t="str">
        <f>IFERROR(__xludf.DUMMYFUNCTION("""COMPUTED_VALUE"""),"Winkler D,Biffl S,Faderl K")</f>
        <v>Winkler D,Biffl S,Faderl K</v>
      </c>
      <c r="E1414" s="7" t="str">
        <f>IFERROR(__xludf.DUMMYFUNCTION("""COMPUTED_VALUE"""),"Investigating the Temporal Behavior of Defect Detection in Software Inspection and Inspection-Based Testing")</f>
        <v>Investigating the Temporal Behavior of Defect Detection in Software Inspection and Inspection-Based Testing</v>
      </c>
      <c r="F1414" s="7" t="str">
        <f>IFERROR(__xludf.DUMMYFUNCTION("""COMPUTED_VALUE"""),"PROFES")</f>
        <v>PROFES</v>
      </c>
      <c r="G1414" s="7" t="str">
        <f>IFERROR(__xludf.DUMMYFUNCTION("""COMPUTED_VALUE"""),"A major goal of analytical quality assurance (QA) activities, e.g., inspection and testing, is detecting defects in software artifacts to increase product quality and decrease rework effort and cost. Inspection aims at identifying defects early and tradit"&amp;"ional testing focuses on test case generation and execution late in the development process. Combining inspection and test-case generation to inspection-based testing (UBT-i) can help identifying defects early, increasing testability by systematically cap"&amp;"turing requirements and quality attributes, and generating most valuable test cases based on inspection results. This paper reports on a controlled experiment to investigate the temporal behavior of UBR inspection and inspection-based testing regarding de"&amp;"fect detection performance, i.e., effectiveness, efficiency, and false positives. Main findings of the study are that there are no significant advantages of UBR and UBT-i regarding defect detection performance and the temporal behavior of defect detection"&amp;" delivered contradictory results in two sessions of the study.")</f>
        <v>A major goal of analytical quality assurance (QA) activities, e.g., inspection and testing, is detecting defects in software artifacts to increase product quality and decrease rework effort and cost. Inspection aims at identifying defects early and traditional testing focuses on test case generation and execution late in the development process. Combining inspection and test-case generation to inspection-based testing (UBT-i) can help identifying defects early, increasing testability by systematically capturing requirements and quality attributes, and generating most valuable test cases based on inspection results. This paper reports on a controlled experiment to investigate the temporal behavior of UBR inspection and inspection-based testing regarding defect detection performance, i.e., effectiveness, efficiency, and false positives. Main findings of the study are that there are no significant advantages of UBR and UBT-i regarding defect detection performance and the temporal behavior of defect detection delivered contradictory results in two sessions of the study.</v>
      </c>
      <c r="H1414" s="7" t="str">
        <f>IFERROR(__xludf.DUMMYFUNCTION("""COMPUTED_VALUE"""),"controlled experiment, inspection-based testing, software inspection, temporal behavior of defect detection")</f>
        <v>controlled experiment, inspection-based testing, software inspection, temporal behavior of defect detection</v>
      </c>
      <c r="I1414" s="9" t="b">
        <v>1</v>
      </c>
      <c r="J1414" s="10" t="b">
        <v>0</v>
      </c>
      <c r="K1414" s="9" t="b">
        <v>1</v>
      </c>
      <c r="L1414" s="10" t="b">
        <v>0</v>
      </c>
      <c r="M1414" s="10" t="b">
        <v>0</v>
      </c>
      <c r="N1414" s="10" t="b">
        <v>0</v>
      </c>
      <c r="O1414" s="11" t="b">
        <f t="shared" si="1"/>
        <v>0</v>
      </c>
      <c r="P1414" s="16" t="b">
        <v>0</v>
      </c>
      <c r="Q1414" s="7"/>
    </row>
    <row r="1415">
      <c r="A1415" s="5" t="b">
        <v>1</v>
      </c>
      <c r="B1415" s="5" t="s">
        <v>1468</v>
      </c>
      <c r="C1415" s="7" t="str">
        <f>IFERROR(__xludf.DUMMYFUNCTION("""COMPUTED_VALUE"""),"10.1007/11497455_19")</f>
        <v>10.1007/11497455_19</v>
      </c>
      <c r="D1415" s="7" t="str">
        <f>IFERROR(__xludf.DUMMYFUNCTION("""COMPUTED_VALUE"""),"Dooms K,Kylmäkoski R")</f>
        <v>Dooms K,Kylmäkoski R</v>
      </c>
      <c r="E1415" s="7" t="str">
        <f>IFERROR(__xludf.DUMMYFUNCTION("""COMPUTED_VALUE"""),"Comprehensive Documentation Made Agile: Experiments with Rapid7 in Philips")</f>
        <v>Comprehensive Documentation Made Agile: Experiments with Rapid7 in Philips</v>
      </c>
      <c r="F1415" s="7" t="str">
        <f>IFERROR(__xludf.DUMMYFUNCTION("""COMPUTED_VALUE"""),"PROFES")</f>
        <v>PROFES</v>
      </c>
      <c r="G1415" s="7" t="str">
        <f>IFERROR(__xludf.DUMMYFUNCTION("""COMPUTED_VALUE"""),"This paper addresses the almost never-ending headache the role of documentation has given for software projects. Working software has been given recently a focus over comprehensive documentation, yet the required documents should be authored. This paper “"&amp;"revisits” the approach developed by Nokia improving the documentation work without scarifying the quantity or quality of documentation. The method is called RaPiD7. The cases presented are from Philips Digital Systems Laboratory. This paper elaborates the"&amp;" method by providing insights to applying RaPiD7 in practice, explains the encouraging results of the experiments and gives tips for practitioners of the method by explaining the lessons learned in Philips.")</f>
        <v>This paper addresses the almost never-ending headache the role of documentation has given for software projects. Working software has been given recently a focus over comprehensive documentation, yet the required documents should be authored. This paper “revisits” the approach developed by Nokia improving the documentation work without scarifying the quantity or quality of documentation. The method is called RaPiD7. The cases presented are from Philips Digital Systems Laboratory. This paper elaborates the method by providing insights to applying RaPiD7 in practice, explains the encouraging results of the experiments and gives tips for practitioners of the method by explaining the lessons learned in Philips.</v>
      </c>
      <c r="H1415" s="7"/>
      <c r="I1415" s="10" t="b">
        <v>0</v>
      </c>
      <c r="J1415" s="10" t="b">
        <v>0</v>
      </c>
      <c r="K1415" s="10" t="b">
        <v>0</v>
      </c>
      <c r="L1415" s="10" t="b">
        <v>0</v>
      </c>
      <c r="M1415" s="10" t="b">
        <v>0</v>
      </c>
      <c r="N1415" s="10" t="b">
        <v>0</v>
      </c>
      <c r="O1415" s="11" t="b">
        <f t="shared" si="1"/>
        <v>0</v>
      </c>
      <c r="P1415" s="16" t="b">
        <v>0</v>
      </c>
      <c r="Q1415" s="7"/>
    </row>
    <row r="1416">
      <c r="A1416" s="5" t="b">
        <v>1</v>
      </c>
      <c r="B1416" s="5" t="s">
        <v>1469</v>
      </c>
      <c r="C1416" s="7" t="str">
        <f>IFERROR(__xludf.DUMMYFUNCTION("""COMPUTED_VALUE"""),"10.1007/978-3-642-21843-9_23")</f>
        <v>10.1007/978-3-642-21843-9_23</v>
      </c>
      <c r="D1416" s="7" t="str">
        <f>IFERROR(__xludf.DUMMYFUNCTION("""COMPUTED_VALUE"""),"Di Cerbo F,Dodero G,Reggio G,Ricca F,Scanniello G")</f>
        <v>Di Cerbo F,Dodero G,Reggio G,Ricca F,Scanniello G</v>
      </c>
      <c r="E1416" s="7" t="str">
        <f>IFERROR(__xludf.DUMMYFUNCTION("""COMPUTED_VALUE"""),"Precise vs. Ultra-Light Activity Diagrams - an Experimental Assessment in the Context of Business Process Modelling")</f>
        <v>Precise vs. Ultra-Light Activity Diagrams - an Experimental Assessment in the Context of Business Process Modelling</v>
      </c>
      <c r="F1416" s="7" t="str">
        <f>IFERROR(__xludf.DUMMYFUNCTION("""COMPUTED_VALUE"""),"PROFES")</f>
        <v>PROFES</v>
      </c>
      <c r="G1416" s="7" t="str">
        <f>IFERROR(__xludf.DUMMYFUNCTION("""COMPUTED_VALUE"""),"UML activity diagrams are a commonly used notation for modelling business processes in the field of both workflow automation and requirements engineering. In this paper, we present a novel precise style for this notation. Further, the effectiveness of thi"&amp;"s style has been investigated in the context of the modelling of business processes through a controlled experiment conducted with master students in Computer Science at the Free University of Bolzano-Bozen. The results indicate that the subjects achieved"&amp;" a significantly better comprehension level when business processes are modelled using the precise style with respect to a ""lighter"" variant, with no significant impact on the effort to accomplish the tasks.")</f>
        <v>UML activity diagrams are a commonly used notation for modelling business processes in the field of both workflow automation and requirements engineering. In this paper, we present a novel precise style for this notation. Further, the effectiveness of this style has been investigated in the context of the modelling of business processes through a controlled experiment conducted with master students in Computer Science at the Free University of Bolzano-Bozen. The results indicate that the subjects achieved a significantly better comprehension level when business processes are modelled using the precise style with respect to a "lighter" variant, with no significant impact on the effort to accomplish the tasks.</v>
      </c>
      <c r="H1416" s="7" t="str">
        <f>IFERROR(__xludf.DUMMYFUNCTION("""COMPUTED_VALUE"""),"business process modelling, UML activity diagrams, precise and ultra-light styles, controlled experiment")</f>
        <v>business process modelling, UML activity diagrams, precise and ultra-light styles, controlled experiment</v>
      </c>
      <c r="I1416" s="9" t="b">
        <v>1</v>
      </c>
      <c r="J1416" s="9" t="b">
        <v>1</v>
      </c>
      <c r="K1416" s="9" t="b">
        <v>1</v>
      </c>
      <c r="L1416" s="10" t="b">
        <v>0</v>
      </c>
      <c r="M1416" s="10" t="b">
        <v>0</v>
      </c>
      <c r="N1416" s="10" t="b">
        <v>0</v>
      </c>
      <c r="O1416" s="11" t="b">
        <f t="shared" si="1"/>
        <v>1</v>
      </c>
      <c r="P1416" s="16" t="b">
        <v>0</v>
      </c>
      <c r="Q1416" s="7"/>
    </row>
    <row r="1417">
      <c r="A1417" s="5" t="b">
        <v>1</v>
      </c>
      <c r="B1417" s="5" t="s">
        <v>1470</v>
      </c>
      <c r="C1417" s="7"/>
      <c r="D1417" s="7" t="str">
        <f>IFERROR(__xludf.DUMMYFUNCTION("""COMPUTED_VALUE"""),"Valerio A,Fenaroli M")</f>
        <v>Valerio A,Fenaroli M</v>
      </c>
      <c r="E1417" s="7" t="str">
        <f>IFERROR(__xludf.DUMMYFUNCTION("""COMPUTED_VALUE"""),"Software Process Improvement through Use Cases: Building Quality from the Very Beginning")</f>
        <v>Software Process Improvement through Use Cases: Building Quality from the Very Beginning</v>
      </c>
      <c r="F1417" s="7" t="str">
        <f>IFERROR(__xludf.DUMMYFUNCTION("""COMPUTED_VALUE"""),"PROFES")</f>
        <v>PROFES</v>
      </c>
      <c r="G1417" s="7" t="str">
        <f>IFERROR(__xludf.DUMMYFUNCTION("""COMPUTED_VALUE"""),"This paper describes an experiment we are conducting in an industrial setting concerning the introduction of use cases inside the software process with the goal to enhance the process in its very early phases. The process improvement action, named PIUC, i"&amp;"s being conducted inside an Italian software development company named Thera S.p.A, and it is a best practice action the firm decided to undertake with the objective to better capture and formalize evolving customer expectations and requirements. In this "&amp;"paper we describe the work performed until now (the experiment will finish at the end of the year) and we present some quantitative data collected during the project and a preliminary qualitative evaluation of the project, highlighting the positive aspect"&amp;"s we observed and some reflections about the impact of use cases.")</f>
        <v>This paper describes an experiment we are conducting in an industrial setting concerning the introduction of use cases inside the software process with the goal to enhance the process in its very early phases. The process improvement action, named PIUC, is being conducted inside an Italian software development company named Thera S.p.A, and it is a best practice action the firm decided to undertake with the objective to better capture and formalize evolving customer expectations and requirements. In this paper we describe the work performed until now (the experiment will finish at the end of the year) and we present some quantitative data collected during the project and a preliminary qualitative evaluation of the project, highlighting the positive aspects we observed and some reflections about the impact of use cases.</v>
      </c>
      <c r="H1417" s="7"/>
      <c r="I1417" s="9" t="b">
        <v>0</v>
      </c>
      <c r="J1417" s="10" t="b">
        <v>0</v>
      </c>
      <c r="K1417" s="10" t="b">
        <v>0</v>
      </c>
      <c r="L1417" s="10" t="b">
        <v>0</v>
      </c>
      <c r="M1417" s="10" t="b">
        <v>0</v>
      </c>
      <c r="N1417" s="10" t="b">
        <v>0</v>
      </c>
      <c r="O1417" s="11" t="b">
        <f t="shared" si="1"/>
        <v>0</v>
      </c>
      <c r="P1417" s="16" t="b">
        <v>0</v>
      </c>
      <c r="Q1417" s="7"/>
    </row>
    <row r="1418">
      <c r="A1418" s="5" t="b">
        <v>1</v>
      </c>
      <c r="B1418" s="5" t="s">
        <v>1471</v>
      </c>
      <c r="C1418" s="7"/>
      <c r="D1418" s="7" t="str">
        <f>IFERROR(__xludf.DUMMYFUNCTION("""COMPUTED_VALUE"""),"Bratthall L,Arisholm E,Jørgensen M")</f>
        <v>Bratthall L,Arisholm E,Jørgensen M</v>
      </c>
      <c r="E1418" s="7" t="str">
        <f>IFERROR(__xludf.DUMMYFUNCTION("""COMPUTED_VALUE"""),"Program Understanding Behavior during Estimation of Enhancement Effort on Small Java Programs")</f>
        <v>Program Understanding Behavior during Estimation of Enhancement Effort on Small Java Programs</v>
      </c>
      <c r="F1418" s="7" t="str">
        <f>IFERROR(__xludf.DUMMYFUNCTION("""COMPUTED_VALUE"""),"PROFES")</f>
        <v>PROFES</v>
      </c>
      <c r="G1418" s="7" t="str">
        <f>IFERROR(__xludf.DUMMYFUNCTION("""COMPUTED_VALUE"""),"Good effort estimation is considered a key success factor for competitive software creation services. In this study, task level effort estimation by project leaders and software designers have been investigated in two Internet software service companies t"&amp;"hrough an experiment. Protocol analysis of 27 think-aloud estimations of effort required for consecutive change tasks on a small Java program have been analysed, using the AFECS coding scheme. Results indicate that a) effort estimation at the task level i"&amp;"s very different depending on the individual, even when small problems are addressed; b) AFECS seems be appropriate to use as a coding scheme when assessing program comprehension behaviour for the purpose of effort estimation; c) protocol analysis of comp"&amp;"rehension during effort estimation does not necessarily capture all process elements. These results can be used to further guide detailed analysis of individual task level effort estimation, as can a set of high-level estimation events indicated in this s"&amp;"tudy.")</f>
        <v>Good effort estimation is considered a key success factor for competitive software creation services. In this study, task level effort estimation by project leaders and software designers have been investigated in two Internet software service companies through an experiment. Protocol analysis of 27 think-aloud estimations of effort required for consecutive change tasks on a small Java program have been analysed, using the AFECS coding scheme. Results indicate that a) effort estimation at the task level is very different depending on the individual, even when small problems are addressed; b) AFECS seems be appropriate to use as a coding scheme when assessing program comprehension behaviour for the purpose of effort estimation; c) protocol analysis of comprehension during effort estimation does not necessarily capture all process elements. These results can be used to further guide detailed analysis of individual task level effort estimation, as can a set of high-level estimation events indicated in this study.</v>
      </c>
      <c r="H1418" s="7"/>
      <c r="I1418" s="10" t="b">
        <v>0</v>
      </c>
      <c r="J1418" s="10" t="b">
        <v>0</v>
      </c>
      <c r="K1418" s="10" t="b">
        <v>0</v>
      </c>
      <c r="L1418" s="10" t="b">
        <v>0</v>
      </c>
      <c r="M1418" s="10" t="b">
        <v>0</v>
      </c>
      <c r="N1418" s="10" t="b">
        <v>0</v>
      </c>
      <c r="O1418" s="11" t="b">
        <f t="shared" si="1"/>
        <v>0</v>
      </c>
      <c r="P1418" s="16" t="b">
        <v>0</v>
      </c>
      <c r="Q1418" s="7"/>
    </row>
    <row r="1419">
      <c r="A1419" s="5" t="b">
        <v>1</v>
      </c>
      <c r="B1419" s="5" t="s">
        <v>1472</v>
      </c>
      <c r="C1419" s="7"/>
      <c r="D1419" s="7" t="str">
        <f>IFERROR(__xludf.DUMMYFUNCTION("""COMPUTED_VALUE"""),"Runeson P,Heed P,Westrup A")</f>
        <v>Runeson P,Heed P,Westrup A</v>
      </c>
      <c r="E1419" s="7" t="str">
        <f>IFERROR(__xludf.DUMMYFUNCTION("""COMPUTED_VALUE"""),"A Factorial Experimental Evaluation of Automated Test Input Generation: Java Platform Testing in Embedded Devices")</f>
        <v>A Factorial Experimental Evaluation of Automated Test Input Generation: Java Platform Testing in Embedded Devices</v>
      </c>
      <c r="F1419" s="7" t="str">
        <f>IFERROR(__xludf.DUMMYFUNCTION("""COMPUTED_VALUE"""),"PROFES")</f>
        <v>PROFES</v>
      </c>
      <c r="G1419" s="7" t="str">
        <f>IFERROR(__xludf.DUMMYFUNCTION("""COMPUTED_VALUE"""),"Background. When delivering an embedded product, such as a mobile phone, third party products, like games, are often bundled with it in the form of Java MIDlets. To verify the compatibility between the runtime platform and the MIDlet is a labour-intensive"&amp;" task, if input data should be manually generated for thousands of MIDlets. Aim. In order to make the verification more efficient, we investigate four different automated input generation methods which do not require extensive modeling; random, feedback b"&amp;"ased, with and without a constant startup sequence. Method. We evaluate the methods in a factorial design experiment with manual input generation as a reference. One original experiment is run, and a partial replication. Result. The results show that the "&amp;"startup sequence gives good code coverage values for the selected MIDlets. The feedback method gives somewhat better code coverage than the random method, but requires real-time code coverage measurements, which decreases the run speed of the tests. Concl"&amp;"usion The random method with startup sequence is the best trade-off in the current setting.")</f>
        <v>Background. When delivering an embedded product, such as a mobile phone, third party products, like games, are often bundled with it in the form of Java MIDlets. To verify the compatibility between the runtime platform and the MIDlet is a labour-intensive task, if input data should be manually generated for thousands of MIDlets. Aim. In order to make the verification more efficient, we investigate four different automated input generation methods which do not require extensive modeling; random, feedback based, with and without a constant startup sequence. Method. We evaluate the methods in a factorial design experiment with manual input generation as a reference. One original experiment is run, and a partial replication. Result. The results show that the startup sequence gives good code coverage values for the selected MIDlets. The feedback method gives somewhat better code coverage than the random method, but requires real-time code coverage measurements, which decreases the run speed of the tests. Conclusion The random method with startup sequence is the best trade-off in the current setting.</v>
      </c>
      <c r="H1419" s="7"/>
      <c r="I1419" s="10" t="b">
        <v>0</v>
      </c>
      <c r="J1419" s="10" t="b">
        <v>0</v>
      </c>
      <c r="K1419" s="10" t="b">
        <v>0</v>
      </c>
      <c r="L1419" s="10" t="b">
        <v>0</v>
      </c>
      <c r="M1419" s="10" t="b">
        <v>0</v>
      </c>
      <c r="N1419" s="10" t="b">
        <v>0</v>
      </c>
      <c r="O1419" s="11" t="b">
        <f t="shared" si="1"/>
        <v>0</v>
      </c>
      <c r="P1419" s="16" t="b">
        <v>0</v>
      </c>
      <c r="Q1419" s="7"/>
    </row>
    <row r="1420">
      <c r="A1420" s="5" t="b">
        <v>1</v>
      </c>
      <c r="B1420" s="5" t="s">
        <v>1473</v>
      </c>
      <c r="C1420" s="7"/>
      <c r="D1420" s="7" t="str">
        <f>IFERROR(__xludf.DUMMYFUNCTION("""COMPUTED_VALUE"""),"Zalewski A,Kijas S")</f>
        <v>Zalewski A,Kijas S</v>
      </c>
      <c r="E1420" s="7" t="str">
        <f>IFERROR(__xludf.DUMMYFUNCTION("""COMPUTED_VALUE"""),"Towards the Competitive Software Development")</f>
        <v>Towards the Competitive Software Development</v>
      </c>
      <c r="F1420" s="7" t="str">
        <f>IFERROR(__xludf.DUMMYFUNCTION("""COMPUTED_VALUE"""),"PROFES")</f>
        <v>PROFES</v>
      </c>
      <c r="G1420" s="7" t="str">
        <f>IFERROR(__xludf.DUMMYFUNCTION("""COMPUTED_VALUE"""),"The concept of competitive software development is founded on the observation that the system's owner and development companies have not only common interests, but also conflicting interests as well. This is particularly true in the case of large-scale so"&amp;"ftware systems. Competitive development is an answer to the syndrome of large-scale software systems evolution and maintenance being monopolised by the companies that originally developed these systems. Competitive development is founded on the idea that "&amp;"the entire system is divided into smaller units, which are independently developed by different companies, i.e. no co-operation is assumed between various development organisations and there is no communication between them. However, strong and efficient "&amp;"co-ordination has to be performed on behalf of the system's owner in order to make such an approach successful. These assumptions are radically different to the typical collaboration assumption for agile development. This prevents one software company fro"&amp;"m making a system owner entirely dependent on its services. We show that such demonopolisation can save large sums of money, making the prices of software development considerably lower than they would be in the case of a single software development compa"&amp;"ny. Our experiments show that, if efficiently co-ordinated, such a distributed, competitive development requires a similar effort to traditional approaches.")</f>
        <v>The concept of competitive software development is founded on the observation that the system's owner and development companies have not only common interests, but also conflicting interests as well. This is particularly true in the case of large-scale software systems. Competitive development is an answer to the syndrome of large-scale software systems evolution and maintenance being monopolised by the companies that originally developed these systems. Competitive development is founded on the idea that the entire system is divided into smaller units, which are independently developed by different companies, i.e. no co-operation is assumed between various development organisations and there is no communication between them. However, strong and efficient co-ordination has to be performed on behalf of the system's owner in order to make such an approach successful. These assumptions are radically different to the typical collaboration assumption for agile development. This prevents one software company from making a system owner entirely dependent on its services. We show that such demonopolisation can save large sums of money, making the prices of software development considerably lower than they would be in the case of a single software development company. Our experiments show that, if efficiently co-ordinated, such a distributed, competitive development requires a similar effort to traditional approaches.</v>
      </c>
      <c r="H1420" s="7" t="str">
        <f>IFERROR(__xludf.DUMMYFUNCTION("""COMPUTED_VALUE"""),"software process, software process improvement, empirical studies")</f>
        <v>software process, software process improvement, empirical studies</v>
      </c>
      <c r="I1420" s="10" t="b">
        <v>0</v>
      </c>
      <c r="J1420" s="10" t="b">
        <v>0</v>
      </c>
      <c r="K1420" s="10" t="b">
        <v>0</v>
      </c>
      <c r="L1420" s="10" t="b">
        <v>0</v>
      </c>
      <c r="M1420" s="10" t="b">
        <v>0</v>
      </c>
      <c r="N1420" s="10" t="b">
        <v>0</v>
      </c>
      <c r="O1420" s="11" t="b">
        <f t="shared" si="1"/>
        <v>0</v>
      </c>
      <c r="P1420" s="16" t="b">
        <v>0</v>
      </c>
      <c r="Q1420" s="7"/>
    </row>
    <row r="1421">
      <c r="A1421" s="5" t="b">
        <v>1</v>
      </c>
      <c r="B1421" s="5" t="s">
        <v>1474</v>
      </c>
      <c r="C1421" s="7" t="str">
        <f>IFERROR(__xludf.DUMMYFUNCTION("""COMPUTED_VALUE"""),"10.1007/978-3-319-26844-6_30")</f>
        <v>10.1007/978-3-319-26844-6_30</v>
      </c>
      <c r="D1421" s="7" t="str">
        <f>IFERROR(__xludf.DUMMYFUNCTION("""COMPUTED_VALUE"""),"Fujiwara T,Mizuno O,Leelaprute P")</f>
        <v>Fujiwara T,Mizuno O,Leelaprute P</v>
      </c>
      <c r="E1421" s="7" t="str">
        <f>IFERROR(__xludf.DUMMYFUNCTION("""COMPUTED_VALUE"""),"Fault-Prone Byte-Code Detection Using Text Classifier")</f>
        <v>Fault-Prone Byte-Code Detection Using Text Classifier</v>
      </c>
      <c r="F1421" s="7" t="str">
        <f>IFERROR(__xludf.DUMMYFUNCTION("""COMPUTED_VALUE"""),"PROFES")</f>
        <v>PROFES</v>
      </c>
      <c r="G1421" s="7" t="str">
        <f>IFERROR(__xludf.DUMMYFUNCTION("""COMPUTED_VALUE"""),"Researchers have studied approaches to detect fault-prone modules for a long time. As one of these approaches, we proposed an approach using a text filtering technique. In this approach, we assume that faults relate to words and contexts in a software mod"&amp;"ule. Our technique accepts inputs as a text information. Based on a dictionary that was learned by classifying modules that induce faults, the fault inducing probability over a target module is calculated, and it judges whether the given module is a fault"&amp;"-prone module.Although our approach targeted the source code of software, especially in embedded software, the analysis of byte-code is also required. The source code based fault detection suffered from noises such as the way of writing, the used name of "&amp;"identifiers, and so on. Eliminating such noises may improve the accuracy of prediction. In this study, we aimed at fault detection from the byte-code of Java. Specifically, we tried to detect faults from the dis-assembled intermediate code of Java class f"&amp;"ile. To show the effectiveness of our approach, we conducted an experiment and compared our approach with source code based approach.")</f>
        <v>Researchers have studied approaches to detect fault-prone modules for a long time. As one of these approaches, we proposed an approach using a text filtering technique. In this approach, we assume that faults relate to words and contexts in a software module. Our technique accepts inputs as a text information. Based on a dictionary that was learned by classifying modules that induce faults, the fault inducing probability over a target module is calculated, and it judges whether the given module is a fault-prone module.Although our approach targeted the source code of software, especially in embedded software, the analysis of byte-code is also required. The source code based fault detection suffered from noises such as the way of writing, the used name of identifiers, and so on. Eliminating such noises may improve the accuracy of prediction. In this study, we aimed at fault detection from the byte-code of Java. Specifically, we tried to detect faults from the dis-assembled intermediate code of Java class file. To show the effectiveness of our approach, we conducted an experiment and compared our approach with source code based approach.</v>
      </c>
      <c r="H1421" s="7"/>
      <c r="I1421" s="10" t="b">
        <v>0</v>
      </c>
      <c r="J1421" s="10" t="b">
        <v>0</v>
      </c>
      <c r="K1421" s="10" t="b">
        <v>0</v>
      </c>
      <c r="L1421" s="10" t="b">
        <v>0</v>
      </c>
      <c r="M1421" s="10" t="b">
        <v>0</v>
      </c>
      <c r="N1421" s="10" t="b">
        <v>0</v>
      </c>
      <c r="O1421" s="11" t="b">
        <f t="shared" si="1"/>
        <v>0</v>
      </c>
      <c r="P1421" s="16" t="b">
        <v>0</v>
      </c>
      <c r="Q1421" s="7"/>
    </row>
    <row r="1422">
      <c r="A1422" s="5" t="b">
        <v>1</v>
      </c>
      <c r="B1422" s="5" t="s">
        <v>1475</v>
      </c>
      <c r="C1422" s="7" t="str">
        <f>IFERROR(__xludf.DUMMYFUNCTION("""COMPUTED_VALUE"""),"10.1007/978-3-319-26844-6_2")</f>
        <v>10.1007/978-3-319-26844-6_2</v>
      </c>
      <c r="D1422" s="7" t="str">
        <f>IFERROR(__xludf.DUMMYFUNCTION("""COMPUTED_VALUE"""),"Fabijan A,Olsson HH,Bosch J")</f>
        <v>Fabijan A,Olsson HH,Bosch J</v>
      </c>
      <c r="E1422" s="7" t="str">
        <f>IFERROR(__xludf.DUMMYFUNCTION("""COMPUTED_VALUE"""),"Early Value Argumentation and Prediction: An Iterative Approach to Quantifying Feature Value")</f>
        <v>Early Value Argumentation and Prediction: An Iterative Approach to Quantifying Feature Value</v>
      </c>
      <c r="F1422" s="7" t="str">
        <f>IFERROR(__xludf.DUMMYFUNCTION("""COMPUTED_VALUE"""),"PROFES")</f>
        <v>PROFES</v>
      </c>
      <c r="G1422" s="7" t="str">
        <f>IFERROR(__xludf.DUMMYFUNCTION("""COMPUTED_VALUE"""),"Companies are continuously improving their practices and ways of working in order to fulfill always-changing market requirements. As an example of building a better understanding of their customers, organizations are collecting user feedback and trying to"&amp;" direct their R&amp;D efforts by e.g. continuing to develop features that deliver value to the customer. We 1 develop an actionable technique that practitioners in organizations can use to validate feature value early in the development cycle, 2 validate if a"&amp;"nd when the expected value reflects on the customers, 3 know when to stop developing it, and 4 identity unexpected business value early during development and redirect R&amp;D effort to capture this value. The technique has been validated in three experiments"&amp;" in two cases companies. Our findings show that predicting value for features under development helps product management in large organizations to correctly re-prioritize R&amp;D investments.")</f>
        <v>Companies are continuously improving their practices and ways of working in order to fulfill always-changing market requirements. As an example of building a better understanding of their customers, organizations are collecting user feedback and trying to direct their R&amp;D efforts by e.g. continuing to develop features that deliver value to the customer. We 1 develop an actionable technique that practitioners in organizations can use to validate feature value early in the development cycle, 2 validate if and when the expected value reflects on the customers, 3 know when to stop developing it, and 4 identity unexpected business value early during development and redirect R&amp;D effort to capture this value. The technique has been validated in three experiments in two cases companies. Our findings show that predicting value for features under development helps product management in large organizations to correctly re-prioritize R&amp;D investments.</v>
      </c>
      <c r="H1422" s="7" t="str">
        <f>IFERROR(__xludf.DUMMYFUNCTION("""COMPUTED_VALUE"""),"EVAP, Continuous experimentation, Data-driven development, QCD, Customer-driven development")</f>
        <v>EVAP, Continuous experimentation, Data-driven development, QCD, Customer-driven development</v>
      </c>
      <c r="I1422" s="10" t="b">
        <v>0</v>
      </c>
      <c r="J1422" s="10" t="b">
        <v>0</v>
      </c>
      <c r="K1422" s="10" t="b">
        <v>0</v>
      </c>
      <c r="L1422" s="10" t="b">
        <v>0</v>
      </c>
      <c r="M1422" s="10" t="b">
        <v>0</v>
      </c>
      <c r="N1422" s="10" t="b">
        <v>0</v>
      </c>
      <c r="O1422" s="11" t="b">
        <f t="shared" si="1"/>
        <v>0</v>
      </c>
      <c r="P1422" s="16" t="b">
        <v>0</v>
      </c>
      <c r="Q1422" s="7"/>
    </row>
    <row r="1423">
      <c r="A1423" s="5" t="b">
        <v>1</v>
      </c>
      <c r="B1423" s="5" t="s">
        <v>1476</v>
      </c>
      <c r="C1423" s="7" t="str">
        <f>IFERROR(__xludf.DUMMYFUNCTION("""COMPUTED_VALUE"""),"10.1007/978-3-319-26844-6_33")</f>
        <v>10.1007/978-3-319-26844-6_33</v>
      </c>
      <c r="D1423" s="7" t="str">
        <f>IFERROR(__xludf.DUMMYFUNCTION("""COMPUTED_VALUE"""),"Ferreira W,Baldassarre MT,Soares S,Visaggio G")</f>
        <v>Ferreira W,Baldassarre MT,Soares S,Visaggio G</v>
      </c>
      <c r="E1423" s="7" t="str">
        <f>IFERROR(__xludf.DUMMYFUNCTION("""COMPUTED_VALUE"""),"Toward a Meta-Ontology for Accurate Ontologies to Specify Domain Specific Experiments in Software Engineering")</f>
        <v>Toward a Meta-Ontology for Accurate Ontologies to Specify Domain Specific Experiments in Software Engineering</v>
      </c>
      <c r="F1423" s="7" t="str">
        <f>IFERROR(__xludf.DUMMYFUNCTION("""COMPUTED_VALUE"""),"PROFES")</f>
        <v>PROFES</v>
      </c>
      <c r="G1423" s="7" t="str">
        <f>IFERROR(__xludf.DUMMYFUNCTION("""COMPUTED_VALUE"""),"Background: Experiments have been conducted in many domains of software engineering SE. Objective: This paper presents a meta-ontology containing the common concepts present in any SE experiment. This meta-ontology aims at simplifying the proposition of a"&amp;"ccurate domain specific ontologies for the SE experiments. Method: The paper presents results of an exploratory study that proposes a general ontologyS and its specialization for the domain of coding experiments. Besides, we present how this domain specif"&amp;"ic ontology specifies a real experiment. Results: The ontology for coding experiments was modeled with few elements. Moreover, it focused only on elements specific to the coding activities. Conclusions: Our meta-ontology facilitates the development of a d"&amp;"omain specific ontology in SE, however more research is necessary to evaluate our meta-ontology in other domains of SE.")</f>
        <v>Background: Experiments have been conducted in many domains of software engineering SE. Objective: This paper presents a meta-ontology containing the common concepts present in any SE experiment. This meta-ontology aims at simplifying the proposition of accurate domain specific ontologies for the SE experiments. Method: The paper presents results of an exploratory study that proposes a general ontologyS and its specialization for the domain of coding experiments. Besides, we present how this domain specific ontology specifies a real experiment. Results: The ontology for coding experiments was modeled with few elements. Moreover, it focused only on elements specific to the coding activities. Conclusions: Our meta-ontology facilitates the development of a domain specific ontology in SE, however more research is necessary to evaluate our meta-ontology in other domains of SE.</v>
      </c>
      <c r="H1423" s="7" t="str">
        <f>IFERROR(__xludf.DUMMYFUNCTION("""COMPUTED_VALUE"""),"Meta-ontology, Experiment, Software engineering, Coding experiment")</f>
        <v>Meta-ontology, Experiment, Software engineering, Coding experiment</v>
      </c>
      <c r="I1423" s="10" t="b">
        <v>0</v>
      </c>
      <c r="J1423" s="10" t="b">
        <v>0</v>
      </c>
      <c r="K1423" s="10" t="b">
        <v>0</v>
      </c>
      <c r="L1423" s="10" t="b">
        <v>0</v>
      </c>
      <c r="M1423" s="10" t="b">
        <v>0</v>
      </c>
      <c r="N1423" s="10" t="b">
        <v>0</v>
      </c>
      <c r="O1423" s="11" t="b">
        <f t="shared" si="1"/>
        <v>0</v>
      </c>
      <c r="P1423" s="16" t="b">
        <v>0</v>
      </c>
      <c r="Q1423" s="7"/>
    </row>
    <row r="1424">
      <c r="A1424" s="5" t="b">
        <v>1</v>
      </c>
      <c r="B1424" s="5" t="s">
        <v>1477</v>
      </c>
      <c r="C1424" s="7" t="str">
        <f>IFERROR(__xludf.DUMMYFUNCTION("""COMPUTED_VALUE"""),"10.1007/978-3-540-69566-0_7")</f>
        <v>10.1007/978-3-540-69566-0_7</v>
      </c>
      <c r="D1424" s="7" t="str">
        <f>IFERROR(__xludf.DUMMYFUNCTION("""COMPUTED_VALUE"""),"Washizaki H,Hiraguchi H,Fukazawa Y")</f>
        <v>Washizaki H,Hiraguchi H,Fukazawa Y</v>
      </c>
      <c r="E1424" s="7" t="str">
        <f>IFERROR(__xludf.DUMMYFUNCTION("""COMPUTED_VALUE"""),"A Metrics Suite for Measuring Quality Characteristics of JavaBeans Components")</f>
        <v>A Metrics Suite for Measuring Quality Characteristics of JavaBeans Components</v>
      </c>
      <c r="F1424" s="7" t="str">
        <f>IFERROR(__xludf.DUMMYFUNCTION("""COMPUTED_VALUE"""),"PROFES")</f>
        <v>PROFES</v>
      </c>
      <c r="G1424" s="7" t="str">
        <f>IFERROR(__xludf.DUMMYFUNCTION("""COMPUTED_VALUE"""),"In component-based software development, it is necessary to measure the quality of components before they are built into the system in order to ensure the high quality of the entire system. However, in application development with component reuse, it is d"&amp;"ifficult to use conventional metrics because the source codes of components cannot be obtained, and these metrics require analysis of source codes. Moreover, conventional techniques do not cover the whole of quality characteristics. In this paper, we prop"&amp;"ose a suite of metrics for measuring quality of JavaBeans components based on limited information that can be obtained from the outside of components without any source codes. Our suite consists of 21 metrics, which are associated with quality characteris"&amp;"tics based on the ISO9126 quality model. Our suite utilizes the qualitative evaluation data available on WWW to empirically identify effective metrics, and to derive a reference value (threshold) for each metric. As a result of evaluation experiments, it "&amp;"is found our suite can be used to effectively identify black-box components with high quality. Moreover we confirmed that our suite can form a systematic framework for component quality metrics that includes conventional metrics and newly defined metrics.")</f>
        <v>In component-based software development, it is necessary to measure the quality of components before they are built into the system in order to ensure the high quality of the entire system. However, in application development with component reuse, it is difficult to use conventional metrics because the source codes of components cannot be obtained, and these metrics require analysis of source codes. Moreover, conventional techniques do not cover the whole of quality characteristics. In this paper, we propose a suite of metrics for measuring quality of JavaBeans components based on limited information that can be obtained from the outside of components without any source codes. Our suite consists of 21 metrics, which are associated with quality characteristics based on the ISO9126 quality model. Our suite utilizes the qualitative evaluation data available on WWW to empirically identify effective metrics, and to derive a reference value (threshold) for each metric. As a result of evaluation experiments, it is found our suite can be used to effectively identify black-box components with high quality. Moreover we confirmed that our suite can form a systematic framework for component quality metrics that includes conventional metrics and newly defined metrics.</v>
      </c>
      <c r="H1424" s="7"/>
      <c r="I1424" s="10" t="b">
        <v>0</v>
      </c>
      <c r="J1424" s="10" t="b">
        <v>0</v>
      </c>
      <c r="K1424" s="10" t="b">
        <v>0</v>
      </c>
      <c r="L1424" s="10" t="b">
        <v>0</v>
      </c>
      <c r="M1424" s="10" t="b">
        <v>0</v>
      </c>
      <c r="N1424" s="10" t="b">
        <v>0</v>
      </c>
      <c r="O1424" s="11" t="b">
        <f t="shared" si="1"/>
        <v>0</v>
      </c>
      <c r="P1424" s="16" t="b">
        <v>0</v>
      </c>
      <c r="Q1424" s="7"/>
    </row>
    <row r="1425">
      <c r="A1425" s="5" t="b">
        <v>1</v>
      </c>
      <c r="B1425" s="5" t="s">
        <v>1478</v>
      </c>
      <c r="C1425" s="7" t="str">
        <f>IFERROR(__xludf.DUMMYFUNCTION("""COMPUTED_VALUE"""),"10.1109/SEAA.2017.34")</f>
        <v>10.1109/SEAA.2017.34</v>
      </c>
      <c r="D1425" s="7" t="str">
        <f>IFERROR(__xludf.DUMMYFUNCTION("""COMPUTED_VALUE"""),"Tripathi N.; Seppanen P.; Oivo M.; Simila J.; Liukkunen K.")</f>
        <v>Tripathi N.; Seppanen P.; Oivo M.; Simila J.; Liukkunen K.</v>
      </c>
      <c r="E1425" s="7" t="str">
        <f>IFERROR(__xludf.DUMMYFUNCTION("""COMPUTED_VALUE"""),"The effect of competitor interaction on startup's product development")</f>
        <v>The effect of competitor interaction on startup's product development</v>
      </c>
      <c r="F1425" s="7" t="str">
        <f>IFERROR(__xludf.DUMMYFUNCTION("""COMPUTED_VALUE"""),"SEAA")</f>
        <v>SEAA</v>
      </c>
      <c r="G1425" s="7" t="str">
        <f>IFERROR(__xludf.DUMMYFUNCTION("""COMPUTED_VALUE"""),"[Context and motivation] Due to lack of resources and teams with low levels of experience, startups face several challenges during their product development, such as product customization, attracting new customers, and mastering the technology uncertainty"&amp;". To increase their market presence and compensate for their lack of resources, startups need to consider other options such as joint ventures and partnerships. [Question/problem] Some companies that share highly similar resources and businesses can be po"&amp;"tential competitors with one another. The effect of interaction with such potential competitors with respect to startups to obtain expertise has not been often reported in the literature to date. [Principal ideas/results] In this study, we simulated two s"&amp;"oftware startups in a controlled experiment to evaluate the effect of interaction with a potential competitor in the effort estimation process. A real startup case was also involved in analyzing the effect. The results of the study show that there is a st"&amp;"atistically significant difference in the effectiveness when co-operating with a competitor in the process. Experiment participants also considered the interaction with the potential competitor useful based on the exchange of important information and ide"&amp;"as regarding the product domain. [Contribution] This paper contributes by demonstrating the effect of interaction with a potential competitor in the effort estimation process. In addition, our study encourages further research on startups working in with "&amp;"the competitors in other software engineering knowledge areas. © 2017 IEEE.")</f>
        <v>[Context and motivation] Due to lack of resources and teams with low levels of experience, startups face several challenges during their product development, such as product customization, attracting new customers, and mastering the technology uncertainty. To increase their market presence and compensate for their lack of resources, startups need to consider other options such as joint ventures and partnerships. [Question/problem] Some companies that share highly similar resources and businesses can be potential competitors with one another. The effect of interaction with such potential competitors with respect to startups to obtain expertise has not been often reported in the literature to date. [Principal ideas/results] In this study, we simulated two software startups in a controlled experiment to evaluate the effect of interaction with a potential competitor in the effort estimation process. A real startup case was also involved in analyzing the effect. The results of the study show that there is a statistically significant difference in the effectiveness when co-operating with a competitor in the process. Experiment participants also considered the interaction with the potential competitor useful based on the exchange of important information and ideas regarding the product domain. [Contribution] This paper contributes by demonstrating the effect of interaction with a potential competitor in the effort estimation process. In addition, our study encourages further research on startups working in with the competitors in other software engineering knowledge areas. © 2017 IEEE.</v>
      </c>
      <c r="H1425" s="7" t="str">
        <f>IFERROR(__xludf.DUMMYFUNCTION("""COMPUTED_VALUE"""),"Competitor; Effort estimation; Requirement elicitation; Software process; Startups")</f>
        <v>Competitor; Effort estimation; Requirement elicitation; Software process; Startups</v>
      </c>
      <c r="I1425" s="10" t="b">
        <v>0</v>
      </c>
      <c r="J1425" s="10" t="b">
        <v>0</v>
      </c>
      <c r="K1425" s="10" t="b">
        <v>0</v>
      </c>
      <c r="L1425" s="10" t="b">
        <v>0</v>
      </c>
      <c r="M1425" s="10" t="b">
        <v>0</v>
      </c>
      <c r="N1425" s="10" t="b">
        <v>0</v>
      </c>
      <c r="O1425" s="11" t="b">
        <f t="shared" si="1"/>
        <v>0</v>
      </c>
      <c r="P1425" s="16" t="b">
        <v>0</v>
      </c>
      <c r="Q1425" s="7"/>
    </row>
    <row r="1426">
      <c r="A1426" s="5" t="b">
        <v>1</v>
      </c>
      <c r="B1426" s="5" t="s">
        <v>1479</v>
      </c>
      <c r="C1426" s="7" t="str">
        <f>IFERROR(__xludf.DUMMYFUNCTION("""COMPUTED_VALUE"""),"10.1109/SEAA.2016.17")</f>
        <v>10.1109/SEAA.2016.17</v>
      </c>
      <c r="D1426" s="7" t="str">
        <f>IFERROR(__xludf.DUMMYFUNCTION("""COMPUTED_VALUE"""),"Weiss J.; Schill A.")</f>
        <v>Weiss J.; Schill A.</v>
      </c>
      <c r="E1426" s="7" t="str">
        <f>IFERROR(__xludf.DUMMYFUNCTION("""COMPUTED_VALUE"""),"Specifying Executable or Nonexecutable Acceptance Test Cases for Event Processing Applications")</f>
        <v>Specifying Executable or Nonexecutable Acceptance Test Cases for Event Processing Applications</v>
      </c>
      <c r="F1426" s="7" t="str">
        <f>IFERROR(__xludf.DUMMYFUNCTION("""COMPUTED_VALUE"""),"SEAA")</f>
        <v>SEAA</v>
      </c>
      <c r="G1426" s="7" t="str">
        <f>IFERROR(__xludf.DUMMYFUNCTION("""COMPUTED_VALUE"""),"This paper presents the results of an empirical experiment conducted in an academic environment with the aim of comparing the specification of acceptance test cases with executable and nonexecutable test description formats in the domain of event processi"&amp;"ng application development. In the experiment subjects had to specify functional test cases for given requirements. We evaluated the effort, test coverage and perceived difficulty. Our results show a positive effect on using the executable test descriptio"&amp;"n with regard to the effort of test specification. © 2016 IEEE.")</f>
        <v>This paper presents the results of an empirical experiment conducted in an academic environment with the aim of comparing the specification of acceptance test cases with executable and nonexecutable test description formats in the domain of event processing application development. In the experiment subjects had to specify functional test cases for given requirements. We evaluated the effort, test coverage and perceived difficulty. Our results show a positive effect on using the executable test description with regard to the effort of test specification. © 2016 IEEE.</v>
      </c>
      <c r="H1426" s="7" t="str">
        <f>IFERROR(__xludf.DUMMYFUNCTION("""COMPUTED_VALUE"""),"Acceptance test-driven development; Acceptance testing; Event processing; Functional testing")</f>
        <v>Acceptance test-driven development; Acceptance testing; Event processing; Functional testing</v>
      </c>
      <c r="I1426" s="9" t="b">
        <v>1</v>
      </c>
      <c r="J1426" s="9" t="b">
        <v>1</v>
      </c>
      <c r="K1426" s="9" t="b">
        <v>1</v>
      </c>
      <c r="L1426" s="10" t="b">
        <v>0</v>
      </c>
      <c r="M1426" s="10" t="b">
        <v>0</v>
      </c>
      <c r="N1426" s="10" t="b">
        <v>0</v>
      </c>
      <c r="O1426" s="11" t="b">
        <f t="shared" si="1"/>
        <v>1</v>
      </c>
      <c r="P1426" s="16" t="b">
        <v>0</v>
      </c>
      <c r="Q1426" s="7"/>
    </row>
    <row r="1427">
      <c r="A1427" s="5" t="b">
        <v>1</v>
      </c>
      <c r="B1427" s="5" t="s">
        <v>1480</v>
      </c>
      <c r="C1427" s="7" t="str">
        <f>IFERROR(__xludf.DUMMYFUNCTION("""COMPUTED_VALUE"""),"10.1109/SEAA53835.2021.00029")</f>
        <v>10.1109/SEAA53835.2021.00029</v>
      </c>
      <c r="D1427" s="7" t="str">
        <f>IFERROR(__xludf.DUMMYFUNCTION("""COMPUTED_VALUE"""),"Bulej L.; Bures T.; Hnetynka P.; Khalyeyev D.")</f>
        <v>Bulej L.; Bures T.; Hnetynka P.; Khalyeyev D.</v>
      </c>
      <c r="E1427" s="7" t="str">
        <f>IFERROR(__xludf.DUMMYFUNCTION("""COMPUTED_VALUE"""),"Self-adaptive K8S Cloud Controller for Time-sensitive Applications")</f>
        <v>Self-adaptive K8S Cloud Controller for Time-sensitive Applications</v>
      </c>
      <c r="F1427" s="7" t="str">
        <f>IFERROR(__xludf.DUMMYFUNCTION("""COMPUTED_VALUE"""),"SEAA")</f>
        <v>SEAA</v>
      </c>
      <c r="G1427" s="7" t="str">
        <f>IFERROR(__xludf.DUMMYFUNCTION("""COMPUTED_VALUE"""),"The paper presents a self-adaptive Kubernetes cloud controller for scheduling time-sensitive applications. The controller allows services to specify timing requirements (response time or throughput) and schedules services on shared cloud resources so as t"&amp;"o meet the requirements. The controller builds and continuously updates an internal performance model of each service and uses it to determine the kind of resources needed by a service, as well as predict potential contention on shared resources, and (re-"&amp;")deploys services accordingly. The controller is integrated with our highly-customizable data processing and visualization platform IVIS, which provides a web-based front-end for service deployment and visualization of results. The controller implementati"&amp;"on is open-source and is intended to provide an easy-to-use testbed for experiments focusing on various aspects of adaptive scheduling and deployment in the cloud.  © 2021 IEEE.")</f>
        <v>The paper presents a self-adaptive Kubernetes cloud controller for scheduling time-sensitive applications. The controller allows services to specify timing requirements (response time or throughput) and schedules services on shared cloud resources so as to meet the requirements. The controller builds and continuously updates an internal performance model of each service and uses it to determine the kind of resources needed by a service, as well as predict potential contention on shared resources, and (re-)deploys services accordingly. The controller is integrated with our highly-customizable data processing and visualization platform IVIS, which provides a web-based front-end for service deployment and visualization of results. The controller implementation is open-source and is intended to provide an easy-to-use testbed for experiments focusing on various aspects of adaptive scheduling and deployment in the cloud.  © 2021 IEEE.</v>
      </c>
      <c r="H1427" s="7" t="str">
        <f>IFERROR(__xludf.DUMMYFUNCTION("""COMPUTED_VALUE"""),"cloud; Kubernetes; QoS; Self-adaptation; visualizations")</f>
        <v>cloud; Kubernetes; QoS; Self-adaptation; visualizations</v>
      </c>
      <c r="I1427" s="10" t="b">
        <v>0</v>
      </c>
      <c r="J1427" s="10" t="b">
        <v>0</v>
      </c>
      <c r="K1427" s="10" t="b">
        <v>0</v>
      </c>
      <c r="L1427" s="10" t="b">
        <v>0</v>
      </c>
      <c r="M1427" s="10" t="b">
        <v>0</v>
      </c>
      <c r="N1427" s="10" t="b">
        <v>0</v>
      </c>
      <c r="O1427" s="11" t="b">
        <f t="shared" si="1"/>
        <v>0</v>
      </c>
      <c r="P1427" s="16" t="b">
        <v>0</v>
      </c>
      <c r="Q1427" s="7"/>
    </row>
    <row r="1428">
      <c r="A1428" s="5" t="b">
        <v>1</v>
      </c>
      <c r="B1428" s="5" t="s">
        <v>1481</v>
      </c>
      <c r="C1428" s="7" t="str">
        <f>IFERROR(__xludf.DUMMYFUNCTION("""COMPUTED_VALUE"""),"10.1109/SEAA.2019.00036")</f>
        <v>10.1109/SEAA.2019.00036</v>
      </c>
      <c r="D1428" s="7" t="str">
        <f>IFERROR(__xludf.DUMMYFUNCTION("""COMPUTED_VALUE"""),"Heumuller R.; Nielebock S.; Ortmeier F.")</f>
        <v>Heumuller R.; Nielebock S.; Ortmeier F.</v>
      </c>
      <c r="E1428" s="7" t="str">
        <f>IFERROR(__xludf.DUMMYFUNCTION("""COMPUTED_VALUE"""),"SpecTackle-A Specification Mining Experimentation Platform")</f>
        <v>SpecTackle-A Specification Mining Experimentation Platform</v>
      </c>
      <c r="F1428" s="7" t="str">
        <f>IFERROR(__xludf.DUMMYFUNCTION("""COMPUTED_VALUE"""),"SEAA")</f>
        <v>SEAA</v>
      </c>
      <c r="G1428" s="7" t="str">
        <f>IFERROR(__xludf.DUMMYFUNCTION("""COMPUTED_VALUE"""),"Nowadays, API Specification Mining is an important cornerstone of automated software engineering. In this paper, we introduce SpecTackle, an IDE-based experimentation platform aiming to facilitate experimentation and validation of specification mining alg"&amp;"orithms and tools. SpecTackle strives toward (1) providing easy access to various specification mining tools, (2) simplifying configuration and usage through a shared interface, and (3) in-code visualization of pattern occurrences. The first version suppo"&amp;"rts two heterogeneous mining tools, a third-party graph-based miner as well as a custom sequence mining tool. In the long term, SpecTackle envisions to also provide ground-truth benchmark projects, a unified pattern meta-model and parameter optimization f"&amp;"or mining tools. © 2019 IEEE.")</f>
        <v>Nowadays, API Specification Mining is an important cornerstone of automated software engineering. In this paper, we introduce SpecTackle, an IDE-based experimentation platform aiming to facilitate experimentation and validation of specification mining algorithms and tools. SpecTackle strives toward (1) providing easy access to various specification mining tools, (2) simplifying configuration and usage through a shared interface, and (3) in-code visualization of pattern occurrences. The first version supports two heterogeneous mining tools, a third-party graph-based miner as well as a custom sequence mining tool. In the long term, SpecTackle envisions to also provide ground-truth benchmark projects, a unified pattern meta-model and parameter optimization for mining tools. © 2019 IEEE.</v>
      </c>
      <c r="H1428" s="7" t="str">
        <f>IFERROR(__xludf.DUMMYFUNCTION("""COMPUTED_VALUE"""),"experimentation; ide; specification mining; tool; validation")</f>
        <v>experimentation; ide; specification mining; tool; validation</v>
      </c>
      <c r="I1428" s="10" t="b">
        <v>0</v>
      </c>
      <c r="J1428" s="10" t="b">
        <v>0</v>
      </c>
      <c r="K1428" s="10" t="b">
        <v>0</v>
      </c>
      <c r="L1428" s="10" t="b">
        <v>0</v>
      </c>
      <c r="M1428" s="10" t="b">
        <v>0</v>
      </c>
      <c r="N1428" s="10" t="b">
        <v>0</v>
      </c>
      <c r="O1428" s="11" t="b">
        <f t="shared" si="1"/>
        <v>0</v>
      </c>
      <c r="P1428" s="16" t="b">
        <v>0</v>
      </c>
      <c r="Q1428" s="7"/>
    </row>
    <row r="1429">
      <c r="A1429" s="5" t="b">
        <v>1</v>
      </c>
      <c r="B1429" s="5" t="s">
        <v>1482</v>
      </c>
      <c r="C1429" s="7" t="str">
        <f>IFERROR(__xludf.DUMMYFUNCTION("""COMPUTED_VALUE"""),"10.1109/SEAA.2018.00054")</f>
        <v>10.1109/SEAA.2018.00054</v>
      </c>
      <c r="D1429" s="7" t="str">
        <f>IFERROR(__xludf.DUMMYFUNCTION("""COMPUTED_VALUE"""),"Eichelberger H.")</f>
        <v>Eichelberger H.</v>
      </c>
      <c r="E1429" s="7" t="str">
        <f>IFERROR(__xludf.DUMMYFUNCTION("""COMPUTED_VALUE"""),"Flexible system-level monitoring of heterogeneous big data streaming systems")</f>
        <v>Flexible system-level monitoring of heterogeneous big data streaming systems</v>
      </c>
      <c r="F1429" s="7" t="str">
        <f>IFERROR(__xludf.DUMMYFUNCTION("""COMPUTED_VALUE"""),"SEAA")</f>
        <v>SEAA</v>
      </c>
      <c r="G1429" s="7" t="str">
        <f>IFERROR(__xludf.DUMMYFUNCTION("""COMPUTED_VALUE"""),"Monitoring complex distributed and heterogeneous systems such as cyber-physical or internet-of-things systems is challenging. Different kinds of information must be aggregated in a flexible manner to provide an overview on the actual state of the system. "&amp;"Recently, even heterogeneous Big Data systems have been proposed, which integrate classical server machines and hardware co-processors, such as Graphical Processing Units. In this paper, we present a system-level monitoring approach for a heterogeneous Bi"&amp;"g Data streaming system. We discuss the requirements stemming from a recent research project, a solution architecture and discuss experiences and promising results from preliminary experiments with the realization. © 2018 IEEE.")</f>
        <v>Monitoring complex distributed and heterogeneous systems such as cyber-physical or internet-of-things systems is challenging. Different kinds of information must be aggregated in a flexible manner to provide an overview on the actual state of the system. Recently, even heterogeneous Big Data systems have been proposed, which integrate classical server machines and hardware co-processors, such as Graphical Processing Units. In this paper, we present a system-level monitoring approach for a heterogeneous Big Data streaming system. We discuss the requirements stemming from a recent research project, a solution architecture and discuss experiences and promising results from preliminary experiments with the realization. © 2018 IEEE.</v>
      </c>
      <c r="H1429" s="7" t="str">
        <f>IFERROR(__xludf.DUMMYFUNCTION("""COMPUTED_VALUE"""),"Adaptive systems; Big data; Constraints; EASy producer; Monitoring; SPASS meter")</f>
        <v>Adaptive systems; Big data; Constraints; EASy producer; Monitoring; SPASS meter</v>
      </c>
      <c r="I1429" s="10" t="b">
        <v>0</v>
      </c>
      <c r="J1429" s="10" t="b">
        <v>0</v>
      </c>
      <c r="K1429" s="10" t="b">
        <v>0</v>
      </c>
      <c r="L1429" s="10" t="b">
        <v>0</v>
      </c>
      <c r="M1429" s="10" t="b">
        <v>0</v>
      </c>
      <c r="N1429" s="10" t="b">
        <v>0</v>
      </c>
      <c r="O1429" s="11" t="b">
        <f t="shared" si="1"/>
        <v>0</v>
      </c>
      <c r="P1429" s="16" t="b">
        <v>0</v>
      </c>
      <c r="Q1429" s="7"/>
    </row>
    <row r="1430">
      <c r="A1430" s="5" t="b">
        <v>1</v>
      </c>
      <c r="B1430" s="5" t="s">
        <v>1483</v>
      </c>
      <c r="C1430" s="7" t="str">
        <f>IFERROR(__xludf.DUMMYFUNCTION("""COMPUTED_VALUE"""),"10.1109/SEAA.2008.32")</f>
        <v>10.1109/SEAA.2008.32</v>
      </c>
      <c r="D1430" s="7" t="str">
        <f>IFERROR(__xludf.DUMMYFUNCTION("""COMPUTED_VALUE"""),"Gama K.; Donsez D.")</f>
        <v>Gama K.; Donsez D.</v>
      </c>
      <c r="E1430" s="7" t="str">
        <f>IFERROR(__xludf.DUMMYFUNCTION("""COMPUTED_VALUE"""),"Service coroner: A diagnostic tool for locating OSGi stale references")</f>
        <v>Service coroner: A diagnostic tool for locating OSGi stale references</v>
      </c>
      <c r="F1430" s="7" t="str">
        <f>IFERROR(__xludf.DUMMYFUNCTION("""COMPUTED_VALUE"""),"SEAA")</f>
        <v>SEAA</v>
      </c>
      <c r="G1430" s="7" t="str">
        <f>IFERROR(__xludf.DUMMYFUNCTION("""COMPUTED_VALUE"""),"The OSGi Services Platform provides a framework for the dynamic deployment of Java-based applications. It allows to install, to activate, to update and to uninstall application modules without the need to restart the host Java Virtual Machine. However, th"&amp;"e mishandling of such OSGi dynamics may result in a problem described in the OSGi specification as Stale References, which happen when services from uninstalled modules are still referenced by active code. It may lead to inconsistencies in application's b"&amp;"ehavior, state and memory. Currently, there are no tools available to address this issue. This paper presents a diagnostics tool named ServiceCoroner that detects such problems. It helps developers and administrators diagnose OSGi applications running eit"&amp;"her in production or test environments. We have validated this tool on two open source applications that run on OSGi: a JavaEE application server and a multi-protocol instant messenger application. The results of the experiments show stale references in t"&amp;"hose applications. © 2008 IEEE.")</f>
        <v>The OSGi Services Platform provides a framework for the dynamic deployment of Java-based applications. It allows to install, to activate, to update and to uninstall application modules without the need to restart the host Java Virtual Machine. However, the mishandling of such OSGi dynamics may result in a problem described in the OSGi specification as Stale References, which happen when services from uninstalled modules are still referenced by active code. It may lead to inconsistencies in application's behavior, state and memory. Currently, there are no tools available to address this issue. This paper presents a diagnostics tool named ServiceCoroner that detects such problems. It helps developers and administrators diagnose OSGi applications running either in production or test environments. We have validated this tool on two open source applications that run on OSGi: a JavaEE application server and a multi-protocol instant messenger application. The results of the experiments show stale references in those applications. © 2008 IEEE.</v>
      </c>
      <c r="H1430" s="7"/>
      <c r="I1430" s="10" t="b">
        <v>0</v>
      </c>
      <c r="J1430" s="10" t="b">
        <v>0</v>
      </c>
      <c r="K1430" s="10" t="b">
        <v>0</v>
      </c>
      <c r="L1430" s="10" t="b">
        <v>0</v>
      </c>
      <c r="M1430" s="10" t="b">
        <v>0</v>
      </c>
      <c r="N1430" s="10" t="b">
        <v>0</v>
      </c>
      <c r="O1430" s="11" t="b">
        <f t="shared" si="1"/>
        <v>0</v>
      </c>
      <c r="P1430" s="16" t="b">
        <v>0</v>
      </c>
      <c r="Q1430" s="7"/>
    </row>
    <row r="1431">
      <c r="A1431" s="5" t="b">
        <v>1</v>
      </c>
      <c r="B1431" s="5" t="s">
        <v>1484</v>
      </c>
      <c r="C1431" s="7"/>
      <c r="D1431" s="7"/>
      <c r="E1431" s="7" t="str">
        <f>IFERROR(__xludf.DUMMYFUNCTION("""COMPUTED_VALUE"""),"Proceedings - 48th Euromicro Conference on Software Engineering and Advanced Applications, SEAA 2022")</f>
        <v>Proceedings - 48th Euromicro Conference on Software Engineering and Advanced Applications, SEAA 2022</v>
      </c>
      <c r="F1431" s="7" t="str">
        <f>IFERROR(__xludf.DUMMYFUNCTION("""COMPUTED_VALUE"""),"SEAA")</f>
        <v>SEAA</v>
      </c>
      <c r="G1431" s="7" t="str">
        <f>IFERROR(__xludf.DUMMYFUNCTION("""COMPUTED_VALUE"""),"The proceedings contain 72 papers. The topics discussed include: negative transfer in cross project defect prediction: effect of domain divergence; easing the reuse of ML solutions by interactive clustering-based autotuning in scientific applications; par"&amp;"allel instance filtering for malware detection; evaluating simple and complex models’ performance when predicting accepted answers on stack overflow; EMMM: a unified meta-model for tracking machine learning experiments; reducing experiment costs in automa"&amp;"ted software performance regression detection; deep reinforcement learning in a dynamic environment: a case study in the telecommunication industry; comparing input prioritization techniques for testing deep learning algorithms; an empirical analysis of m"&amp;"icroservices systems using consumer-driven contract testing; anomaly detection in cloud-native systems; towards perspective-based specification of machine learning-enabled systems; and have java production methods co-evolved with test methods properly?: a"&amp;" fine-grained repository-based co-evolution analysis.")</f>
        <v>The proceedings contain 72 papers. The topics discussed include: negative transfer in cross project defect prediction: effect of domain divergence; easing the reuse of ML solutions by interactive clustering-based autotuning in scientific applications; parallel instance filtering for malware detection; evaluating simple and complex models’ performance when predicting accepted answers on stack overflow; EMMM: a unified meta-model for tracking machine learning experiments; reducing experiment costs in automated software performance regression detection; deep reinforcement learning in a dynamic environment: a case study in the telecommunication industry; comparing input prioritization techniques for testing deep learning algorithms; an empirical analysis of microservices systems using consumer-driven contract testing; anomaly detection in cloud-native systems; towards perspective-based specification of machine learning-enabled systems; and have java production methods co-evolved with test methods properly?: a fine-grained repository-based co-evolution analysis.</v>
      </c>
      <c r="H1431" s="7"/>
      <c r="I1431" s="10" t="b">
        <v>0</v>
      </c>
      <c r="J1431" s="10" t="b">
        <v>0</v>
      </c>
      <c r="K1431" s="10" t="b">
        <v>0</v>
      </c>
      <c r="L1431" s="10" t="b">
        <v>0</v>
      </c>
      <c r="M1431" s="10" t="b">
        <v>0</v>
      </c>
      <c r="N1431" s="10" t="b">
        <v>0</v>
      </c>
      <c r="O1431" s="11" t="b">
        <f t="shared" si="1"/>
        <v>0</v>
      </c>
      <c r="P1431" s="16" t="b">
        <v>0</v>
      </c>
      <c r="Q1431" s="7"/>
    </row>
    <row r="1432">
      <c r="A1432" s="5" t="b">
        <v>1</v>
      </c>
      <c r="B1432" s="5" t="s">
        <v>1485</v>
      </c>
      <c r="C1432" s="7" t="str">
        <f>IFERROR(__xludf.DUMMYFUNCTION("""COMPUTED_VALUE"""),"10.1109/SEAA.2014.75")</f>
        <v>10.1109/SEAA.2014.75</v>
      </c>
      <c r="D1432" s="7" t="str">
        <f>IFERROR(__xludf.DUMMYFUNCTION("""COMPUTED_VALUE"""),"Olsson H.H.; Bosch J.")</f>
        <v>Olsson H.H.; Bosch J.</v>
      </c>
      <c r="E1432" s="7" t="str">
        <f>IFERROR(__xludf.DUMMYFUNCTION("""COMPUTED_VALUE"""),"From opinions to data-driven software R&amp;amp;D: A multi-case study on how to close the 'open loop' problem")</f>
        <v>From opinions to data-driven software R&amp;amp;D: A multi-case study on how to close the 'open loop' problem</v>
      </c>
      <c r="F1432" s="7" t="str">
        <f>IFERROR(__xludf.DUMMYFUNCTION("""COMPUTED_VALUE"""),"SEAA")</f>
        <v>SEAA</v>
      </c>
      <c r="G1432" s="7" t="str">
        <f>IFERROR(__xludf.DUMMYFUNCTION("""COMPUTED_VALUE"""),"In most software development companies the road mapping and requirements prioritization process is a complex process in which product management experiences difficulties in getting timely and accurate customer feedback. The feedback loop from customers is"&amp;" slow and often there is a lack of mechanisms that allow for efficient customer data collection and analysis. As a result, there is the risk that requirements prioritization becomes opinion-based rather than data-driven, and that R&amp;amp;D investments are m"&amp;"ade without an accurate way of continuously validating whether they correspond to customer needs. We call this phenomenon the 'open loop' problem, referring to the challenges for product management to get accurate and timely feedback from customers. To ad"&amp;"dress this problem, we develop the HYPEX model (Hypothesis Experiment Data-Driven Development) that supports companies in running feature experiments to shorten customer feedback loops. We evaluate the model in three software development companies and obs"&amp;"erve how feature experiments increase the opportunity for data-driven software development. © 2014 IEEE.")</f>
        <v>In most software development companies the road mapping and requirements prioritization process is a complex process in which product management experiences difficulties in getting timely and accurate customer feedback. The feedback loop from customers is slow and often there is a lack of mechanisms that allow for efficient customer data collection and analysis. As a result, there is the risk that requirements prioritization becomes opinion-based rather than data-driven, and that R&amp;amp;D investments are made without an accurate way of continuously validating whether they correspond to customer needs. We call this phenomenon the 'open loop' problem, referring to the challenges for product management to get accurate and timely feedback from customers. To address this problem, we develop the HYPEX model (Hypothesis Experiment Data-Driven Development) that supports companies in running feature experiments to shorten customer feedback loops. We evaluate the model in three software development companies and observe how feature experiments increase the opportunity for data-driven software development. © 2014 IEEE.</v>
      </c>
      <c r="H1432" s="7" t="str">
        <f>IFERROR(__xludf.DUMMYFUNCTION("""COMPUTED_VALUE"""),"Data-driven software development; feature experiments; open feedback loop")</f>
        <v>Data-driven software development; feature experiments; open feedback loop</v>
      </c>
      <c r="I1432" s="10" t="b">
        <v>0</v>
      </c>
      <c r="J1432" s="10" t="b">
        <v>0</v>
      </c>
      <c r="K1432" s="10" t="b">
        <v>0</v>
      </c>
      <c r="L1432" s="10" t="b">
        <v>0</v>
      </c>
      <c r="M1432" s="10" t="b">
        <v>0</v>
      </c>
      <c r="N1432" s="10" t="b">
        <v>0</v>
      </c>
      <c r="O1432" s="11" t="b">
        <f t="shared" si="1"/>
        <v>0</v>
      </c>
      <c r="P1432" s="16" t="b">
        <v>0</v>
      </c>
      <c r="Q1432" s="7"/>
    </row>
    <row r="1433">
      <c r="A1433" s="5" t="b">
        <v>1</v>
      </c>
      <c r="B1433" s="5" t="s">
        <v>1486</v>
      </c>
      <c r="C1433" s="7" t="str">
        <f>IFERROR(__xludf.DUMMYFUNCTION("""COMPUTED_VALUE"""),"10.1109/SEAA56994.2022.00025")</f>
        <v>10.1109/SEAA56994.2022.00025</v>
      </c>
      <c r="D1433" s="7" t="str">
        <f>IFERROR(__xludf.DUMMYFUNCTION("""COMPUTED_VALUE"""),"Villamizar H.; Kalinowski M.; Lopes H.")</f>
        <v>Villamizar H.; Kalinowski M.; Lopes H.</v>
      </c>
      <c r="E1433" s="7" t="str">
        <f>IFERROR(__xludf.DUMMYFUNCTION("""COMPUTED_VALUE"""),"Towards Perspective-Based Specification of Machine Learning-Enabled Systems")</f>
        <v>Towards Perspective-Based Specification of Machine Learning-Enabled Systems</v>
      </c>
      <c r="F1433" s="7" t="str">
        <f>IFERROR(__xludf.DUMMYFUNCTION("""COMPUTED_VALUE"""),"SEAA")</f>
        <v>SEAA</v>
      </c>
      <c r="G1433" s="7" t="str">
        <f>IFERROR(__xludf.DUMMYFUNCTION("""COMPUTED_VALUE"""),"Machine learning (ML) teams often work on a project just to realize the performance of the model is not good enough. Indeed, the success of ML-enabled systems involves aligning data with business problems, translating them into ML tasks, experimenting wit"&amp;"h algorithms, evaluating models, capturing data from users, among others. Literature has shown that ML-enabled systems are rarely built based on precise specifications for such concerns, leading ML teams to become misaligned due to incorrect assumptions, "&amp;"which may affect the quality of such systems and overall project success. In order to help addressing this issue, this paper describes our work towards a perspective-based approach for specifying ML-enabled systems. The approach involves analyzing a set o"&amp;"f 45 ML concerns grouped into five perspectives: objectives, user experience, infrastructure, model, and data. The main contribution of this paper is to provide two new artifacts that can be used to help specifying ML-enabled systems: (i) the perspective-"&amp;"based ML task and concern diagram and (ii) the perspective-based ML specification template. © 2022 IEEE.")</f>
        <v>Machine learning (ML) teams often work on a project just to realize the performance of the model is not good enough. Indeed, the success of ML-enabled systems involves aligning data with business problems, translating them into ML tasks, experimenting with algorithms, evaluating models, capturing data from users, among others. Literature has shown that ML-enabled systems are rarely built based on precise specifications for such concerns, leading ML teams to become misaligned due to incorrect assumptions, which may affect the quality of such systems and overall project success. In order to help addressing this issue, this paper describes our work towards a perspective-based approach for specifying ML-enabled systems. The approach involves analyzing a set of 45 ML concerns grouped into five perspectives: objectives, user experience, infrastructure, model, and data. The main contribution of this paper is to provide two new artifacts that can be used to help specifying ML-enabled systems: (i) the perspective-based ML task and concern diagram and (ii) the perspective-based ML specification template. © 2022 IEEE.</v>
      </c>
      <c r="H1433" s="7" t="str">
        <f>IFERROR(__xludf.DUMMYFUNCTION("""COMPUTED_VALUE"""),"machine learning; machine learning enabled systems; requirements specification; software engineering")</f>
        <v>machine learning; machine learning enabled systems; requirements specification; software engineering</v>
      </c>
      <c r="I1433" s="10" t="b">
        <v>0</v>
      </c>
      <c r="J1433" s="10" t="b">
        <v>0</v>
      </c>
      <c r="K1433" s="10" t="b">
        <v>0</v>
      </c>
      <c r="L1433" s="10" t="b">
        <v>0</v>
      </c>
      <c r="M1433" s="10" t="b">
        <v>0</v>
      </c>
      <c r="N1433" s="10" t="b">
        <v>0</v>
      </c>
      <c r="O1433" s="11" t="b">
        <f t="shared" si="1"/>
        <v>0</v>
      </c>
      <c r="P1433" s="16" t="b">
        <v>0</v>
      </c>
      <c r="Q1433" s="7"/>
    </row>
    <row r="1434">
      <c r="A1434" s="5" t="b">
        <v>1</v>
      </c>
      <c r="B1434" s="5" t="s">
        <v>1487</v>
      </c>
      <c r="C1434" s="7" t="str">
        <f>IFERROR(__xludf.DUMMYFUNCTION("""COMPUTED_VALUE"""),"10.1109/SEAA.2015.16")</f>
        <v>10.1109/SEAA.2015.16</v>
      </c>
      <c r="D1434" s="7" t="str">
        <f>IFERROR(__xludf.DUMMYFUNCTION("""COMPUTED_VALUE"""),"Weiss J.; Mandl P.; Schill A.")</f>
        <v>Weiss J.; Mandl P.; Schill A.</v>
      </c>
      <c r="E1434" s="7" t="str">
        <f>IFERROR(__xludf.DUMMYFUNCTION("""COMPUTED_VALUE"""),"Executable test specifications show no negative effect on finding and correcting test faults in event processing application development")</f>
        <v>Executable test specifications show no negative effect on finding and correcting test faults in event processing application development</v>
      </c>
      <c r="F1434" s="7" t="str">
        <f>IFERROR(__xludf.DUMMYFUNCTION("""COMPUTED_VALUE"""),"SEAA")</f>
        <v>SEAA</v>
      </c>
      <c r="G1434" s="7" t="str">
        <f>IFERROR(__xludf.DUMMYFUNCTION("""COMPUTED_VALUE"""),"This paper presents the results of an experiment with focus on comprehension of acceptance test cases in the field of event processing application development. We compare the usage of a semi-structured test specification format proposed by the IEEE and a "&amp;"structured table-oriented format called EPTDL, which has been proposed for automated acceptance testing in the domain of event processing. Our results show that there is no significant difference with respect to the effort used to reveal and correct fault"&amp;"s in test case specifications as well as the correctness of the solutions. Considering the possibility to automate test execution our results encourage the usage of ATDD in event processing application development. © 2015 IEEE.")</f>
        <v>This paper presents the results of an experiment with focus on comprehension of acceptance test cases in the field of event processing application development. We compare the usage of a semi-structured test specification format proposed by the IEEE and a structured table-oriented format called EPTDL, which has been proposed for automated acceptance testing in the domain of event processing. Our results show that there is no significant difference with respect to the effort used to reveal and correct faults in test case specifications as well as the correctness of the solutions. Considering the possibility to automate test execution our results encourage the usage of ATDD in event processing application development. © 2015 IEEE.</v>
      </c>
      <c r="H1434" s="7" t="str">
        <f>IFERROR(__xludf.DUMMYFUNCTION("""COMPUTED_VALUE"""),"automated acceptance tests; complex event processing; event processing")</f>
        <v>automated acceptance tests; complex event processing; event processing</v>
      </c>
      <c r="I1434" s="10" t="b">
        <v>0</v>
      </c>
      <c r="J1434" s="9" t="b">
        <v>0</v>
      </c>
      <c r="K1434" s="9" t="b">
        <v>1</v>
      </c>
      <c r="L1434" s="10" t="b">
        <v>0</v>
      </c>
      <c r="M1434" s="10" t="b">
        <v>0</v>
      </c>
      <c r="N1434" s="10" t="b">
        <v>0</v>
      </c>
      <c r="O1434" s="11" t="b">
        <f t="shared" si="1"/>
        <v>0</v>
      </c>
      <c r="P1434" s="16" t="b">
        <v>0</v>
      </c>
      <c r="Q1434" s="7"/>
    </row>
    <row r="1435">
      <c r="A1435" s="5" t="b">
        <v>1</v>
      </c>
      <c r="B1435" s="5" t="s">
        <v>1488</v>
      </c>
      <c r="C1435" s="7" t="str">
        <f>IFERROR(__xludf.DUMMYFUNCTION("""COMPUTED_VALUE"""),"10.1109/SEAA.2013.50")</f>
        <v>10.1109/SEAA.2013.50</v>
      </c>
      <c r="D1435" s="7" t="str">
        <f>IFERROR(__xludf.DUMMYFUNCTION("""COMPUTED_VALUE"""),"Rouille E.; Combemale B.; Barais O.; Touzet D.; Jezequel J.-M.")</f>
        <v>Rouille E.; Combemale B.; Barais O.; Touzet D.; Jezequel J.-M.</v>
      </c>
      <c r="E1435" s="7" t="str">
        <f>IFERROR(__xludf.DUMMYFUNCTION("""COMPUTED_VALUE"""),"Improving reusability in software process lines")</f>
        <v>Improving reusability in software process lines</v>
      </c>
      <c r="F1435" s="7" t="str">
        <f>IFERROR(__xludf.DUMMYFUNCTION("""COMPUTED_VALUE"""),"SEAA")</f>
        <v>SEAA</v>
      </c>
      <c r="G1435" s="7" t="str">
        <f>IFERROR(__xludf.DUMMYFUNCTION("""COMPUTED_VALUE"""),"Software processes orchestrate manual or automatic tasks to create new software products that meet the requirements of specific projects. While most of the tasks are about inventiveness, modern developments also require recurrent, boring and time-consumin"&amp;"g tasks (e.g., the IDE configuration, or the continuous integration setup). Such tasks struggle to be automated due to their various execution contexts according to the requirements of specific projects. In this paper, we propose a methodology that benefi"&amp;"ts from an explicit modeling of a family of processes to identify the possible reuse of automated tasks in software processes. We illustrate our methodology on industrial projects in a software company. Our methodology promoted both the identification of "&amp;"possible automated tasks for configuring IDEs and continuous integration, and their reuse in various projects of the company. Our methodology contributes to the companies' efficiency, including their agility and ability to experiment new practices, while "&amp;"remaining focused on solving business problems. © 2013 IEEE.")</f>
        <v>Software processes orchestrate manual or automatic tasks to create new software products that meet the requirements of specific projects. While most of the tasks are about inventiveness, modern developments also require recurrent, boring and time-consuming tasks (e.g., the IDE configuration, or the continuous integration setup). Such tasks struggle to be automated due to their various execution contexts according to the requirements of specific projects. In this paper, we propose a methodology that benefits from an explicit modeling of a family of processes to identify the possible reuse of automated tasks in software processes. We illustrate our methodology on industrial projects in a software company. Our methodology promoted both the identification of possible automated tasks for configuring IDEs and continuous integration, and their reuse in various projects of the company. Our methodology contributes to the companies' efficiency, including their agility and ability to experiment new practices, while remaining focused on solving business problems. © 2013 IEEE.</v>
      </c>
      <c r="H1435" s="7" t="str">
        <f>IFERROR(__xludf.DUMMYFUNCTION("""COMPUTED_VALUE"""),"Automation; Software Process Lines; Software Processes")</f>
        <v>Automation; Software Process Lines; Software Processes</v>
      </c>
      <c r="I1435" s="10" t="b">
        <v>0</v>
      </c>
      <c r="J1435" s="10" t="b">
        <v>0</v>
      </c>
      <c r="K1435" s="10" t="b">
        <v>0</v>
      </c>
      <c r="L1435" s="10" t="b">
        <v>0</v>
      </c>
      <c r="M1435" s="10" t="b">
        <v>0</v>
      </c>
      <c r="N1435" s="10" t="b">
        <v>0</v>
      </c>
      <c r="O1435" s="11" t="b">
        <f t="shared" si="1"/>
        <v>0</v>
      </c>
      <c r="P1435" s="16" t="b">
        <v>0</v>
      </c>
      <c r="Q1435" s="7"/>
    </row>
    <row r="1436">
      <c r="A1436" s="5" t="b">
        <v>1</v>
      </c>
      <c r="B1436" s="5" t="s">
        <v>1489</v>
      </c>
      <c r="C1436" s="7" t="str">
        <f>IFERROR(__xludf.DUMMYFUNCTION("""COMPUTED_VALUE"""),"10.1109/SEAA51224.2020.00062")</f>
        <v>10.1109/SEAA51224.2020.00062</v>
      </c>
      <c r="D1436" s="7" t="str">
        <f>IFERROR(__xludf.DUMMYFUNCTION("""COMPUTED_VALUE"""),"Romano S.; Scanniello G.; Baldassarre M.T.; Fucci D.")</f>
        <v>Romano S.; Scanniello G.; Baldassarre M.T.; Fucci D.</v>
      </c>
      <c r="E1436" s="7" t="str">
        <f>IFERROR(__xludf.DUMMYFUNCTION("""COMPUTED_VALUE"""),"On the Effect of Noise on Software Engineers' Performance: Results from Two Replicated Experiments")</f>
        <v>On the Effect of Noise on Software Engineers' Performance: Results from Two Replicated Experiments</v>
      </c>
      <c r="F1436" s="7" t="str">
        <f>IFERROR(__xludf.DUMMYFUNCTION("""COMPUTED_VALUE"""),"SEAA")</f>
        <v>SEAA</v>
      </c>
      <c r="G1436" s="7" t="str">
        <f>IFERROR(__xludf.DUMMYFUNCTION("""COMPUTED_VALUE"""),"Noise, defined as an unwanted sound, is one of the most common factors people have to deal with when performing their daily working tasks. Researchers have marginally investigated the effect of noise on software engineers' performance. In this paper, we p"&amp;"resent the results of two replicated experiments whose main goal was to increase the body of knowledge, by confirming or not the results of the baseline experiments, on the effect of noise while comprehending functional requirements specifications and fix"&amp;"ing faults in source code. The results of the replicated experiments suggest that: (i) noise does not significantly affect the comprehension of functional requirements specifications and (ii) noise significantly and negatively affects fixing faults if thi"&amp;"s task lasts 30 minutes, while it does not have a significant impact if the task lasts 60 minutes. The results of the replications confirm to a large extent those of the baseline experiments and allow us to postulate, as done for the baseline experiments,"&amp;" that fixing faults is more vulnerable to noise than comprehending the specifications of functional requirements.  © 2020 IEEE.")</f>
        <v>Noise, defined as an unwanted sound, is one of the most common factors people have to deal with when performing their daily working tasks. Researchers have marginally investigated the effect of noise on software engineers' performance. In this paper, we present the results of two replicated experiments whose main goal was to increase the body of knowledge, by confirming or not the results of the baseline experiments, on the effect of noise while comprehending functional requirements specifications and fixing faults in source code. The results of the replicated experiments suggest that: (i) noise does not significantly affect the comprehension of functional requirements specifications and (ii) noise significantly and negatively affects fixing faults if this task lasts 30 minutes, while it does not have a significant impact if the task lasts 60 minutes. The results of the replications confirm to a large extent those of the baseline experiments and allow us to postulate, as done for the baseline experiments, that fixing faults is more vulnerable to noise than comprehending the specifications of functional requirements.  © 2020 IEEE.</v>
      </c>
      <c r="H1436" s="7" t="str">
        <f>IFERROR(__xludf.DUMMYFUNCTION("""COMPUTED_VALUE"""),"Comprehension of Functional Requirements Specifications; Experiment; Fault Fixing; Noise; Replication")</f>
        <v>Comprehension of Functional Requirements Specifications; Experiment; Fault Fixing; Noise; Replication</v>
      </c>
      <c r="I1436" s="9" t="b">
        <v>1</v>
      </c>
      <c r="J1436" s="9" t="b">
        <v>1</v>
      </c>
      <c r="K1436" s="9" t="b">
        <v>1</v>
      </c>
      <c r="L1436" s="10" t="b">
        <v>0</v>
      </c>
      <c r="M1436" s="10" t="b">
        <v>0</v>
      </c>
      <c r="N1436" s="10" t="b">
        <v>0</v>
      </c>
      <c r="O1436" s="11" t="b">
        <f t="shared" si="1"/>
        <v>1</v>
      </c>
      <c r="P1436" s="16" t="b">
        <v>0</v>
      </c>
      <c r="Q1436" s="7"/>
    </row>
    <row r="1437">
      <c r="A1437" s="5" t="b">
        <v>1</v>
      </c>
      <c r="B1437" s="5" t="s">
        <v>1490</v>
      </c>
      <c r="C1437" s="7"/>
      <c r="D1437" s="7"/>
      <c r="E1437" s="7" t="str">
        <f>IFERROR(__xludf.DUMMYFUNCTION("""COMPUTED_VALUE"""),"Proceedings - 44th Euromicro Conference on Software Engineering and Advanced Applications, SEAA 2018")</f>
        <v>Proceedings - 44th Euromicro Conference on Software Engineering and Advanced Applications, SEAA 2018</v>
      </c>
      <c r="F1437" s="7" t="str">
        <f>IFERROR(__xludf.DUMMYFUNCTION("""COMPUTED_VALUE"""),"SEAA")</f>
        <v>SEAA</v>
      </c>
      <c r="G1437" s="7" t="str">
        <f>IFERROR(__xludf.DUMMYFUNCTION("""COMPUTED_VALUE"""),"The proceedings contain 80 papers. The topics discussed include: ontology-supported design parameter management for change impact analysis; singing the praise of empowerment: or paying the cost of chaos; sustaining agile beyond adoption; influence of stru"&amp;"ctured information in bug report descriptions on IR-based bug localization; challenges concerning test case specifications in automotive software testing; re-visiting a test taxonomy with refactoring and defect-fix data; enabling compliance checking again"&amp;"st safety standards from SPEM 2.0 process models; software engineering challenges of deep learning; effective online controlled experiment analysis at large scale; and evidence-based verification of safety properties concerning the cooperation of autonomo"&amp;"us agents.")</f>
        <v>The proceedings contain 80 papers. The topics discussed include: ontology-supported design parameter management for change impact analysis; singing the praise of empowerment: or paying the cost of chaos; sustaining agile beyond adoption; influence of structured information in bug report descriptions on IR-based bug localization; challenges concerning test case specifications in automotive software testing; re-visiting a test taxonomy with refactoring and defect-fix data; enabling compliance checking against safety standards from SPEM 2.0 process models; software engineering challenges of deep learning; effective online controlled experiment analysis at large scale; and evidence-based verification of safety properties concerning the cooperation of autonomous agents.</v>
      </c>
      <c r="H1437" s="7"/>
      <c r="I1437" s="10" t="b">
        <v>0</v>
      </c>
      <c r="J1437" s="10" t="b">
        <v>0</v>
      </c>
      <c r="K1437" s="10" t="b">
        <v>0</v>
      </c>
      <c r="L1437" s="10" t="b">
        <v>0</v>
      </c>
      <c r="M1437" s="10" t="b">
        <v>0</v>
      </c>
      <c r="N1437" s="10" t="b">
        <v>0</v>
      </c>
      <c r="O1437" s="11" t="b">
        <f t="shared" si="1"/>
        <v>0</v>
      </c>
      <c r="P1437" s="16" t="b">
        <v>0</v>
      </c>
      <c r="Q1437" s="7"/>
    </row>
    <row r="1438">
      <c r="A1438" s="5" t="b">
        <v>1</v>
      </c>
      <c r="B1438" s="5" t="s">
        <v>1491</v>
      </c>
      <c r="C1438" s="7" t="str">
        <f>IFERROR(__xludf.DUMMYFUNCTION("""COMPUTED_VALUE"""),"10.1109/SEAA.2017.12")</f>
        <v>10.1109/SEAA.2017.12</v>
      </c>
      <c r="D1438" s="7" t="str">
        <f>IFERROR(__xludf.DUMMYFUNCTION("""COMPUTED_VALUE"""),"Holl K.; Elberzhager F.")</f>
        <v>Holl K.; Elberzhager F.</v>
      </c>
      <c r="E1438" s="7" t="str">
        <f>IFERROR(__xludf.DUMMYFUNCTION("""COMPUTED_VALUE"""),"Guiding quality assurance for mobile applications with FIT4Apps - A two-step evaluation")</f>
        <v>Guiding quality assurance for mobile applications with FIT4Apps - A two-step evaluation</v>
      </c>
      <c r="F1438" s="7" t="str">
        <f>IFERROR(__xludf.DUMMYFUNCTION("""COMPUTED_VALUE"""),"SEAA")</f>
        <v>SEAA</v>
      </c>
      <c r="G1438" s="7" t="str">
        <f>IFERROR(__xludf.DUMMYFUNCTION("""COMPUTED_VALUE"""),"The quality of mobile applications is one essential factor for their success because users often immediately discard applications with insufficient quality. In prior contributions, we presented FIT4Apps, a quality assurance method for mobile applications,"&amp;" which focuses inspections and tests on the development of mobile applications. We performed a two-step empirical evaluation of this method: a controlled experiment and a case study, which was performed as a post-mortem analysis. The empirical evaluation "&amp;"showed the applicability of FIT4Apps and demonstrated that it finds, respectively prevents, at least 75% more mobile-specific failures during development compared to state-of-the-practice approaches. This comprises failures revealed by testing or prevente"&amp;"d by revealed requirements defects and leads to at least 85% less mobile-specific failures after the release of the mobile application. In our setting, the effort for applying FIT4Apps is less than 1% of the overall development effort for an iteration and"&amp;" may even save effort considering the benefits of earlier findings. © 2017 IEEE.")</f>
        <v>The quality of mobile applications is one essential factor for their success because users often immediately discard applications with insufficient quality. In prior contributions, we presented FIT4Apps, a quality assurance method for mobile applications, which focuses inspections and tests on the development of mobile applications. We performed a two-step empirical evaluation of this method: a controlled experiment and a case study, which was performed as a post-mortem analysis. The empirical evaluation showed the applicability of FIT4Apps and demonstrated that it finds, respectively prevents, at least 75% more mobile-specific failures during development compared to state-of-the-practice approaches. This comprises failures revealed by testing or prevented by revealed requirements defects and leads to at least 85% less mobile-specific failures after the release of the mobile application. In our setting, the effort for applying FIT4Apps is less than 1% of the overall development effort for an iteration and may even save effort considering the benefits of earlier findings. © 2017 IEEE.</v>
      </c>
      <c r="H1438" s="7" t="str">
        <f>IFERROR(__xludf.DUMMYFUNCTION("""COMPUTED_VALUE"""),"Evaluation; Inspection; Mobile; Quality assurance; Testing")</f>
        <v>Evaluation; Inspection; Mobile; Quality assurance; Testing</v>
      </c>
      <c r="I1438" s="10" t="b">
        <v>0</v>
      </c>
      <c r="J1438" s="10" t="b">
        <v>0</v>
      </c>
      <c r="K1438" s="10" t="b">
        <v>0</v>
      </c>
      <c r="L1438" s="10" t="b">
        <v>0</v>
      </c>
      <c r="M1438" s="10" t="b">
        <v>0</v>
      </c>
      <c r="N1438" s="10" t="b">
        <v>0</v>
      </c>
      <c r="O1438" s="11" t="b">
        <f t="shared" si="1"/>
        <v>0</v>
      </c>
      <c r="P1438" s="16" t="b">
        <v>0</v>
      </c>
      <c r="Q1438" s="7"/>
    </row>
    <row r="1439">
      <c r="A1439" s="5" t="b">
        <v>1</v>
      </c>
      <c r="B1439" s="5" t="s">
        <v>1492</v>
      </c>
      <c r="C1439" s="7" t="str">
        <f>IFERROR(__xludf.DUMMYFUNCTION("""COMPUTED_VALUE"""),"10.1109/SEAA.2014.56")</f>
        <v>10.1109/SEAA.2014.56</v>
      </c>
      <c r="D1439" s="7" t="str">
        <f>IFERROR(__xludf.DUMMYFUNCTION("""COMPUTED_VALUE"""),"Farahnakian F.; Pahikkala T.; Liljeberg P.; Plosila J.; Tenhunen H.")</f>
        <v>Farahnakian F.; Pahikkala T.; Liljeberg P.; Plosila J.; Tenhunen H.</v>
      </c>
      <c r="E1439" s="7" t="str">
        <f>IFERROR(__xludf.DUMMYFUNCTION("""COMPUTED_VALUE"""),"Multi-agent based architecture for dynamic VM consolidation in cloud data centers")</f>
        <v>Multi-agent based architecture for dynamic VM consolidation in cloud data centers</v>
      </c>
      <c r="F1439" s="7" t="str">
        <f>IFERROR(__xludf.DUMMYFUNCTION("""COMPUTED_VALUE"""),"SEAA")</f>
        <v>SEAA</v>
      </c>
      <c r="G1439" s="7" t="str">
        <f>IFERROR(__xludf.DUMMYFUNCTION("""COMPUTED_VALUE"""),"As the scale of cloud data centers becomes larger and larger, the energy consumption of data centers also grows rapidly. Dynamic consolidation of Virtual Machines (VMs) presents a significant opportunity to save energy by turning off idle or under-utilize"&amp;"d Physical Machines (PMs) in data centers. In this paper, we present a multi-agent based architecture for performing dynamic VM consolidation task. The architecture uses a local agent in each PM to decide when a PM becomes overloaded using reinforcement l"&amp;"earning approach. Moreover, a global agent is proposed as a supervisor to dynamically optimize the VM placement based on the local agents' decisions. Therefore, agents cooperate together to minimize the number of active PMs according to the current resour"&amp;"ce requirements. Experimental results on the real workload traces from more than a thousand Planet Lab virtual machines show that the proposed architecture can reduce the energy consumption and maintains the required performance level in a large-scale dat"&amp;"a center. © 2014 IEEE.")</f>
        <v>As the scale of cloud data centers becomes larger and larger, the energy consumption of data centers also grows rapidly. Dynamic consolidation of Virtual Machines (VMs) presents a significant opportunity to save energy by turning off idle or under-utilized Physical Machines (PMs) in data centers. In this paper, we present a multi-agent based architecture for performing dynamic VM consolidation task. The architecture uses a local agent in each PM to decide when a PM becomes overloaded using reinforcement learning approach. Moreover, a global agent is proposed as a supervisor to dynamically optimize the VM placement based on the local agents' decisions. Therefore, agents cooperate together to minimize the number of active PMs according to the current resource requirements. Experimental results on the real workload traces from more than a thousand Planet Lab virtual machines show that the proposed architecture can reduce the energy consumption and maintains the required performance level in a large-scale data center. © 2014 IEEE.</v>
      </c>
      <c r="H1439" s="7" t="str">
        <f>IFERROR(__xludf.DUMMYFUNCTION("""COMPUTED_VALUE"""),"Dynamic VM consolidation; energy-efficiency; green cloud computing; multi-agent model; reinforcement learning")</f>
        <v>Dynamic VM consolidation; energy-efficiency; green cloud computing; multi-agent model; reinforcement learning</v>
      </c>
      <c r="I1439" s="10" t="b">
        <v>0</v>
      </c>
      <c r="J1439" s="10" t="b">
        <v>0</v>
      </c>
      <c r="K1439" s="10" t="b">
        <v>0</v>
      </c>
      <c r="L1439" s="10" t="b">
        <v>0</v>
      </c>
      <c r="M1439" s="10" t="b">
        <v>0</v>
      </c>
      <c r="N1439" s="10" t="b">
        <v>0</v>
      </c>
      <c r="O1439" s="11" t="b">
        <f t="shared" si="1"/>
        <v>0</v>
      </c>
      <c r="P1439" s="16" t="b">
        <v>0</v>
      </c>
      <c r="Q1439" s="7"/>
    </row>
    <row r="1440">
      <c r="A1440" s="5" t="b">
        <v>1</v>
      </c>
      <c r="B1440" s="5" t="s">
        <v>1493</v>
      </c>
      <c r="C1440" s="7" t="str">
        <f>IFERROR(__xludf.DUMMYFUNCTION("""COMPUTED_VALUE"""),"10.1109/EUROMICRO.2005.22")</f>
        <v>10.1109/EUROMICRO.2005.22</v>
      </c>
      <c r="D1440" s="7" t="str">
        <f>IFERROR(__xludf.DUMMYFUNCTION("""COMPUTED_VALUE"""),"Yang X.Y.; Hernández P.; Ripoll A.; Suppi R.; Luque E.; Cores F.")</f>
        <v>Yang X.Y.; Hernández P.; Ripoll A.; Suppi R.; Luque E.; Cores F.</v>
      </c>
      <c r="E1440" s="7" t="str">
        <f>IFERROR(__xludf.DUMMYFUNCTION("""COMPUTED_VALUE"""),"Distributed P2P merging policy to decentralize the multicasting delivery")</f>
        <v>Distributed P2P merging policy to decentralize the multicasting delivery</v>
      </c>
      <c r="F1440" s="7" t="str">
        <f>IFERROR(__xludf.DUMMYFUNCTION("""COMPUTED_VALUE"""),"SEAA")</f>
        <v>SEAA</v>
      </c>
      <c r="G1440" s="7" t="str">
        <f>IFERROR(__xludf.DUMMYFUNCTION("""COMPUTED_VALUE"""),"Advances in network technology make multicast one of the most feasible video streaming delivery techniques for the near future. However, the scalability of a multicast VoD system is limited by the server bandwidth. In this paper, we propose a new multicas"&amp;"t delivery scheme that allows every active client to collaborate with the server in order to scale the VoD system performance beyond the servers physical limitations. The solution combined the multicast delivery scheme and peer-2-peer paradigm in order to"&amp;" decentralize the delivery process. The new video delivery scheme is able to merge two or more multicast channels using distributed collaborations between a group of clients. We compared the new policy with Chaining and Patching schemes and the experiment"&amp;"al results showed that our policy is better than previous schemes in terms of reduction of resource requirements and local network load. Compared with multicast Patching policy, the new scheme reduced the resource requirement up to 77.5% while the local n"&amp;"etwork load was 66.9% lower than a peer-2-peer Chaining policy. © 2005 IEEE.")</f>
        <v>Advances in network technology make multicast one of the most feasible video streaming delivery techniques for the near future. However, the scalability of a multicast VoD system is limited by the server bandwidth. In this paper, we propose a new multicast delivery scheme that allows every active client to collaborate with the server in order to scale the VoD system performance beyond the servers physical limitations. The solution combined the multicast delivery scheme and peer-2-peer paradigm in order to decentralize the delivery process. The new video delivery scheme is able to merge two or more multicast channels using distributed collaborations between a group of clients. We compared the new policy with Chaining and Patching schemes and the experimental results showed that our policy is better than previous schemes in terms of reduction of resource requirements and local network load. Compared with multicast Patching policy, the new scheme reduced the resource requirement up to 77.5% while the local network load was 66.9% lower than a peer-2-peer Chaining policy. © 2005 IEEE.</v>
      </c>
      <c r="H1440" s="7"/>
      <c r="I1440" s="10" t="b">
        <v>0</v>
      </c>
      <c r="J1440" s="10" t="b">
        <v>0</v>
      </c>
      <c r="K1440" s="10" t="b">
        <v>0</v>
      </c>
      <c r="L1440" s="10" t="b">
        <v>0</v>
      </c>
      <c r="M1440" s="10" t="b">
        <v>0</v>
      </c>
      <c r="N1440" s="10" t="b">
        <v>0</v>
      </c>
      <c r="O1440" s="11" t="b">
        <f t="shared" si="1"/>
        <v>0</v>
      </c>
      <c r="P1440" s="16" t="b">
        <v>0</v>
      </c>
      <c r="Q1440" s="7"/>
    </row>
    <row r="1441">
      <c r="A1441" s="5" t="b">
        <v>1</v>
      </c>
      <c r="B1441" s="5" t="s">
        <v>1494</v>
      </c>
      <c r="C1441" s="7" t="str">
        <f>IFERROR(__xludf.DUMMYFUNCTION("""COMPUTED_VALUE"""),"10.1109/SEAA.2018.00036")</f>
        <v>10.1109/SEAA.2018.00036</v>
      </c>
      <c r="D1441" s="7" t="str">
        <f>IFERROR(__xludf.DUMMYFUNCTION("""COMPUTED_VALUE"""),"Amasaki S.; Leelaprute P.")</f>
        <v>Amasaki S.; Leelaprute P.</v>
      </c>
      <c r="E1441" s="7" t="str">
        <f>IFERROR(__xludf.DUMMYFUNCTION("""COMPUTED_VALUE"""),"The effects of vectorization methods on non-functional requirements classification")</f>
        <v>The effects of vectorization methods on non-functional requirements classification</v>
      </c>
      <c r="F1441" s="7" t="str">
        <f>IFERROR(__xludf.DUMMYFUNCTION("""COMPUTED_VALUE"""),"SEAA")</f>
        <v>SEAA</v>
      </c>
      <c r="G1441" s="7" t="str">
        <f>IFERROR(__xludf.DUMMYFUNCTION("""COMPUTED_VALUE"""),"CONTEXT: Architecture and design of systems are sensitive to non-functional requirements (NFRs). Identifying NFRs and their categories at early phase is an essential task for project success. Automatic classification methods for that purpose have been stu"&amp;"died for supporting requirement analysis. The past studies used simple vectorization methods and might miss semantics and interactions among words in requirements. OBJECTIVE: To examine whether different vectorization methods lead to differences in the cl"&amp;"assification performance of NFRs and their categories. METHOD: Comparative experiments were conducted with open data. Five vectorization methods including document embedding methods and four supervised classification methods were supplied. RESULTS: Some a"&amp;"dvanced methods could achieve better performance than traditional ones. The preference was dependent on classification methods. CONCLUSIONS: It is beneficial to consider using advanced methods for classifying non-functional requirements categories. © 2018"&amp;" IEEE.")</f>
        <v>CONTEXT: Architecture and design of systems are sensitive to non-functional requirements (NFRs). Identifying NFRs and their categories at early phase is an essential task for project success. Automatic classification methods for that purpose have been studied for supporting requirement analysis. The past studies used simple vectorization methods and might miss semantics and interactions among words in requirements. OBJECTIVE: To examine whether different vectorization methods lead to differences in the classification performance of NFRs and their categories. METHOD: Comparative experiments were conducted with open data. Five vectorization methods including document embedding methods and four supervised classification methods were supplied. RESULTS: Some advanced methods could achieve better performance than traditional ones. The preference was dependent on classification methods. CONCLUSIONS: It is beneficial to consider using advanced methods for classifying non-functional requirements categories. © 2018 IEEE.</v>
      </c>
      <c r="H1441" s="7" t="str">
        <f>IFERROR(__xludf.DUMMYFUNCTION("""COMPUTED_VALUE"""),"Comparative study; Requirements classification; Vectorization methods")</f>
        <v>Comparative study; Requirements classification; Vectorization methods</v>
      </c>
      <c r="I1441" s="10" t="b">
        <v>0</v>
      </c>
      <c r="J1441" s="10" t="b">
        <v>0</v>
      </c>
      <c r="K1441" s="10" t="b">
        <v>0</v>
      </c>
      <c r="L1441" s="10" t="b">
        <v>0</v>
      </c>
      <c r="M1441" s="10" t="b">
        <v>0</v>
      </c>
      <c r="N1441" s="10" t="b">
        <v>0</v>
      </c>
      <c r="O1441" s="11" t="b">
        <f t="shared" si="1"/>
        <v>0</v>
      </c>
      <c r="P1441" s="16" t="b">
        <v>0</v>
      </c>
      <c r="Q1441" s="7"/>
    </row>
    <row r="1442">
      <c r="A1442" s="5" t="b">
        <v>1</v>
      </c>
      <c r="B1442" s="5" t="s">
        <v>1495</v>
      </c>
      <c r="C1442" s="7" t="str">
        <f>IFERROR(__xludf.DUMMYFUNCTION("""COMPUTED_VALUE"""),"10.1109/SEAA.2014.37")</f>
        <v>10.1109/SEAA.2014.37</v>
      </c>
      <c r="D1442" s="7" t="str">
        <f>IFERROR(__xludf.DUMMYFUNCTION("""COMPUTED_VALUE"""),"Felderer M.; Beer A.; Peischl B.")</f>
        <v>Felderer M.; Beer A.; Peischl B.</v>
      </c>
      <c r="E1442" s="7" t="str">
        <f>IFERROR(__xludf.DUMMYFUNCTION("""COMPUTED_VALUE"""),"On the role of defect taxonomy types for testing requirements: Results of a controlled experiment")</f>
        <v>On the role of defect taxonomy types for testing requirements: Results of a controlled experiment</v>
      </c>
      <c r="F1442" s="7" t="str">
        <f>IFERROR(__xludf.DUMMYFUNCTION("""COMPUTED_VALUE"""),"SEAA")</f>
        <v>SEAA</v>
      </c>
      <c r="G1442" s="7" t="str">
        <f>IFERROR(__xludf.DUMMYFUNCTION("""COMPUTED_VALUE"""),"Context: The use of defect taxonomies and their assignment to requirements can improve system-level testing of requirements. Experiences from industrial applications indicate that the type of the underlying top-level defect categories constitutes the main"&amp;" influence factor for defining defect taxonomies. Objective: The objective addressed in this paper is to investigate the influence of the type of top-level defect categories on the quality of the created defect taxonomy, on the quality of the assignment o"&amp;"f requirements to defect categories as well as the quality of designed test cases. Method: We conducted a controlled student experiment to determine the influence of two different types of top-level defect categories, i.e., Generic and web application spe"&amp;"cific, on the quality of the created defect taxonomy, their assignment to requirements and the derived test cases. Results: The results indicate an influence of the type of the top-level defect categories on the quality of the derived defect taxonomy but "&amp;"no influence on the quality of the assignment of requirements to defect categories and the quality of the designed test cases. Contribution: The main contributions of this paper is the empirical investigation of the role of the type of top-level defect ta"&amp;"xonomies themselves for testing requirements and the consequences of the results for industrial application. © 2014 IEEE.")</f>
        <v>Context: The use of defect taxonomies and their assignment to requirements can improve system-level testing of requirements. Experiences from industrial applications indicate that the type of the underlying top-level defect categories constitutes the main influence factor for defining defect taxonomies. Objective: The objective addressed in this paper is to investigate the influence of the type of top-level defect categories on the quality of the created defect taxonomy, on the quality of the assignment of requirements to defect categories as well as the quality of designed test cases. Method: We conducted a controlled student experiment to determine the influence of two different types of top-level defect categories, i.e., Generic and web application specific, on the quality of the created defect taxonomy, their assignment to requirements and the derived test cases. Results: The results indicate an influence of the type of the top-level defect categories on the quality of the derived defect taxonomy but no influence on the quality of the assignment of requirements to defect categories and the quality of the designed test cases. Contribution: The main contributions of this paper is the empirical investigation of the role of the type of top-level defect taxonomies themselves for testing requirements and the consequences of the results for industrial application. © 2014 IEEE.</v>
      </c>
      <c r="H1442" s="7" t="str">
        <f>IFERROR(__xludf.DUMMYFUNCTION("""COMPUTED_VALUE"""),"controlled experiment; Defect taxonomy; requirements testing; software quality; system testing; test management; traceability")</f>
        <v>controlled experiment; Defect taxonomy; requirements testing; software quality; system testing; test management; traceability</v>
      </c>
      <c r="I1442" s="10" t="b">
        <v>0</v>
      </c>
      <c r="J1442" s="10" t="b">
        <v>0</v>
      </c>
      <c r="K1442" s="10" t="b">
        <v>0</v>
      </c>
      <c r="L1442" s="10" t="b">
        <v>0</v>
      </c>
      <c r="M1442" s="10" t="b">
        <v>0</v>
      </c>
      <c r="N1442" s="10" t="b">
        <v>0</v>
      </c>
      <c r="O1442" s="11" t="b">
        <f t="shared" si="1"/>
        <v>0</v>
      </c>
      <c r="P1442" s="16" t="b">
        <v>0</v>
      </c>
      <c r="Q1442" s="7"/>
    </row>
    <row r="1443">
      <c r="A1443" s="5" t="b">
        <v>1</v>
      </c>
      <c r="B1443" s="5" t="s">
        <v>1496</v>
      </c>
      <c r="C1443" s="7" t="str">
        <f>IFERROR(__xludf.DUMMYFUNCTION("""COMPUTED_VALUE"""),"10.1109/EUROMICRO.2006.31")</f>
        <v>10.1109/EUROMICRO.2006.31</v>
      </c>
      <c r="D1443" s="7" t="str">
        <f>IFERROR(__xludf.DUMMYFUNCTION("""COMPUTED_VALUE"""),"Bondarev E.; Chaudron M.R.V.; De With P.H.N.")</f>
        <v>Bondarev E.; Chaudron M.R.V.; De With P.H.N.</v>
      </c>
      <c r="E1443" s="7" t="str">
        <f>IFERROR(__xludf.DUMMYFUNCTION("""COMPUTED_VALUE"""),"Compositional performance analysis of component-based systems on heterogeneous multiprocessor platforms")</f>
        <v>Compositional performance analysis of component-based systems on heterogeneous multiprocessor platforms</v>
      </c>
      <c r="F1443" s="7" t="str">
        <f>IFERROR(__xludf.DUMMYFUNCTION("""COMPUTED_VALUE"""),"SEAA")</f>
        <v>SEAA</v>
      </c>
      <c r="G1443" s="7" t="str">
        <f>IFERROR(__xludf.DUMMYFUNCTION("""COMPUTED_VALUE"""),"This paper presents a compositional performance analysis technique, enabling predictable deployment of software components on heterogeneous multiprocessor architectures. This analysis technique introduces (a) composable software and hardware component mod"&amp;"els representing abstract specification of the component behaviour and corresponding resources, (b) operational semantics enabling composition of the models into an executable system model, and(c) simulation-based analysis of the obtained executable model"&amp;" resulting in predicted performance attributes. Example attributes are response time, throughput, utilization of processors, memory and communication lines. Special attention is paid to modeling of both passive and active components exploiting synchronous"&amp;" method invocation and asynchronous message passing interaction. We made an experimental validation of the above framework for two case studies: an MPEG-4 decoder and a car navigation system. It was found that the prediction error on task latencies and pr"&amp;"ocessor usage was within 10%. © 2006 IEEE.")</f>
        <v>This paper presents a compositional performance analysis technique, enabling predictable deployment of software components on heterogeneous multiprocessor architectures. This analysis technique introduces (a) composable software and hardware component models representing abstract specification of the component behaviour and corresponding resources, (b) operational semantics enabling composition of the models into an executable system model, and(c) simulation-based analysis of the obtained executable model resulting in predicted performance attributes. Example attributes are response time, throughput, utilization of processors, memory and communication lines. Special attention is paid to modeling of both passive and active components exploiting synchronous method invocation and asynchronous message passing interaction. We made an experimental validation of the above framework for two case studies: an MPEG-4 decoder and a car navigation system. It was found that the prediction error on task latencies and processor usage was within 10%. © 2006 IEEE.</v>
      </c>
      <c r="H1443" s="7"/>
      <c r="I1443" s="10" t="b">
        <v>0</v>
      </c>
      <c r="J1443" s="10" t="b">
        <v>0</v>
      </c>
      <c r="K1443" s="10" t="b">
        <v>0</v>
      </c>
      <c r="L1443" s="10" t="b">
        <v>0</v>
      </c>
      <c r="M1443" s="10" t="b">
        <v>0</v>
      </c>
      <c r="N1443" s="10" t="b">
        <v>0</v>
      </c>
      <c r="O1443" s="11" t="b">
        <f t="shared" si="1"/>
        <v>0</v>
      </c>
      <c r="P1443" s="16" t="b">
        <v>0</v>
      </c>
      <c r="Q1443" s="7"/>
    </row>
    <row r="1444">
      <c r="A1444" s="5" t="b">
        <v>1</v>
      </c>
      <c r="B1444" s="5" t="s">
        <v>1497</v>
      </c>
      <c r="C1444" s="7" t="str">
        <f>IFERROR(__xludf.DUMMYFUNCTION("""COMPUTED_VALUE"""),"10.1109/SEAA.2010.58")</f>
        <v>10.1109/SEAA.2010.58</v>
      </c>
      <c r="D1444" s="7" t="str">
        <f>IFERROR(__xludf.DUMMYFUNCTION("""COMPUTED_VALUE"""),"Bertolino A.; Lonetti F.; Marchetti E.")</f>
        <v>Bertolino A.; Lonetti F.; Marchetti E.</v>
      </c>
      <c r="E1444" s="7" t="str">
        <f>IFERROR(__xludf.DUMMYFUNCTION("""COMPUTED_VALUE"""),"Systematic XACML request generation for testing purposes")</f>
        <v>Systematic XACML request generation for testing purposes</v>
      </c>
      <c r="F1444" s="7" t="str">
        <f>IFERROR(__xludf.DUMMYFUNCTION("""COMPUTED_VALUE"""),"SEAA")</f>
        <v>SEAA</v>
      </c>
      <c r="G1444" s="7" t="str">
        <f>IFERROR(__xludf.DUMMYFUNCTION("""COMPUTED_VALUE"""),"A widely adopted security mechanism is the specification of access control policies by means of the XACML language. In this paper, we propose a framework, called X-CREATE, for the systematic generation of test inputs (XACML requests). Differently from exi"&amp;"sting tools, X-CREATE exploits the XACML Context Schema. In particular, the tool applies a XML-based methodology (XPT) to systematically produce a set of intermediate instances, covering the XACML Context Schema. Moreover, for request generation, X-CREATE"&amp;" applies a procedure for parsing the policy under test and assigning values to the generated intermediate instances. The aim of the proposed framework is twofold: testing of policy evaluation engines and testing of access control policies. The experimenta"&amp;"l results show that the fault detection effectiveness of X-CREATE is similar or higher than that of existing approaches. © 2010 IEEE.")</f>
        <v>A widely adopted security mechanism is the specification of access control policies by means of the XACML language. In this paper, we propose a framework, called X-CREATE, for the systematic generation of test inputs (XACML requests). Differently from existing tools, X-CREATE exploits the XACML Context Schema. In particular, the tool applies a XML-based methodology (XPT) to systematically produce a set of intermediate instances, covering the XACML Context Schema. Moreover, for request generation, X-CREATE applies a procedure for parsing the policy under test and assigning values to the generated intermediate instances. The aim of the proposed framework is twofold: testing of policy evaluation engines and testing of access control policies. The experimental results show that the fault detection effectiveness of X-CREATE is similar or higher than that of existing approaches. © 2010 IEEE.</v>
      </c>
      <c r="H1444" s="7"/>
      <c r="I1444" s="10" t="b">
        <v>0</v>
      </c>
      <c r="J1444" s="10" t="b">
        <v>0</v>
      </c>
      <c r="K1444" s="10" t="b">
        <v>0</v>
      </c>
      <c r="L1444" s="10" t="b">
        <v>0</v>
      </c>
      <c r="M1444" s="10" t="b">
        <v>0</v>
      </c>
      <c r="N1444" s="10" t="b">
        <v>0</v>
      </c>
      <c r="O1444" s="11" t="b">
        <f t="shared" si="1"/>
        <v>0</v>
      </c>
      <c r="P1444" s="16" t="b">
        <v>0</v>
      </c>
      <c r="Q1444" s="7"/>
    </row>
    <row r="1445">
      <c r="A1445" s="5" t="b">
        <v>1</v>
      </c>
      <c r="B1445" s="5" t="s">
        <v>1498</v>
      </c>
      <c r="C1445" s="7" t="str">
        <f>IFERROR(__xludf.DUMMYFUNCTION("""COMPUTED_VALUE"""),"10.1109/SEAA.2015.21")</f>
        <v>10.1109/SEAA.2015.21</v>
      </c>
      <c r="D1445" s="7" t="str">
        <f>IFERROR(__xludf.DUMMYFUNCTION("""COMPUTED_VALUE"""),"Sulaman S.M.; Weyns K.; Host M.")</f>
        <v>Sulaman S.M.; Weyns K.; Host M.</v>
      </c>
      <c r="E1445" s="7" t="str">
        <f>IFERROR(__xludf.DUMMYFUNCTION("""COMPUTED_VALUE"""),"Identification of IT Incidents for Improved Risk Analysis by Using Machine Learning")</f>
        <v>Identification of IT Incidents for Improved Risk Analysis by Using Machine Learning</v>
      </c>
      <c r="F1445" s="7" t="str">
        <f>IFERROR(__xludf.DUMMYFUNCTION("""COMPUTED_VALUE"""),"SEAA")</f>
        <v>SEAA</v>
      </c>
      <c r="G1445" s="7" t="str">
        <f>IFERROR(__xludf.DUMMYFUNCTION("""COMPUTED_VALUE"""),"Today almost every system or service is dependent on IT systems, and failure of these systems have serious and negative effects on the society. IT incidents are critical for the society as they can stop the function of critical systems and services. There"&amp;"fore, it is important to analyze these systems for potential risks before becoming dependent on them. Moreover, in a software engineering context risk analysis is an important activity for the development and operation of safe software intensive systems. "&amp;"However, the increased complexity and size of software-intensive systems put additional requirements on the effectiveness of the risk analysis process. This means that the risk analysis process needs to be improved and it is believed that this can be done"&amp;" by having an overview of already occurred IT incidents. This study investigates how difficult it is to find relevant risks from available sources and the effort required to set up such a system. It also investigates the accuracy of the found risks. In th"&amp;"is study 58% of texts that potentially can contain information about IT incidents were correctly identified from an experiment dataset by using the presented method. It is concluded that the identifying texts about IT incidents with automated methods like"&amp;" the one presented in this study is possible, but it requires some effort to set up. © 2015 IEEE.")</f>
        <v>Today almost every system or service is dependent on IT systems, and failure of these systems have serious and negative effects on the society. IT incidents are critical for the society as they can stop the function of critical systems and services. Therefore, it is important to analyze these systems for potential risks before becoming dependent on them. Moreover, in a software engineering context risk analysis is an important activity for the development and operation of safe software intensive systems. However, the increased complexity and size of software-intensive systems put additional requirements on the effectiveness of the risk analysis process. This means that the risk analysis process needs to be improved and it is believed that this can be done by having an overview of already occurred IT incidents. This study investigates how difficult it is to find relevant risks from available sources and the effort required to set up such a system. It also investigates the accuracy of the found risks. In this study 58% of texts that potentially can contain information about IT incidents were correctly identified from an experiment dataset by using the presented method. It is concluded that the identifying texts about IT incidents with automated methods like the one presented in this study is possible, but it requires some effort to set up. © 2015 IEEE.</v>
      </c>
      <c r="H1445" s="7" t="str">
        <f>IFERROR(__xludf.DUMMYFUNCTION("""COMPUTED_VALUE"""),"IT-incident; machine learning; risk analysis; text classification")</f>
        <v>IT-incident; machine learning; risk analysis; text classification</v>
      </c>
      <c r="I1445" s="10" t="b">
        <v>0</v>
      </c>
      <c r="J1445" s="10" t="b">
        <v>0</v>
      </c>
      <c r="K1445" s="10" t="b">
        <v>0</v>
      </c>
      <c r="L1445" s="10" t="b">
        <v>0</v>
      </c>
      <c r="M1445" s="10" t="b">
        <v>0</v>
      </c>
      <c r="N1445" s="10" t="b">
        <v>0</v>
      </c>
      <c r="O1445" s="11" t="b">
        <f t="shared" si="1"/>
        <v>0</v>
      </c>
      <c r="P1445" s="16" t="b">
        <v>0</v>
      </c>
      <c r="Q1445" s="7"/>
    </row>
    <row r="1446">
      <c r="A1446" s="5" t="b">
        <v>1</v>
      </c>
      <c r="B1446" s="5" t="s">
        <v>1499</v>
      </c>
      <c r="C1446" s="7" t="str">
        <f>IFERROR(__xludf.DUMMYFUNCTION("""COMPUTED_VALUE"""),"10.1109/SEAA.2013.23")</f>
        <v>10.1109/SEAA.2013.23</v>
      </c>
      <c r="D1446" s="7" t="str">
        <f>IFERROR(__xludf.DUMMYFUNCTION("""COMPUTED_VALUE"""),"Farahnakian F.; Liljeberg P.; Plosila J.")</f>
        <v>Farahnakian F.; Liljeberg P.; Plosila J.</v>
      </c>
      <c r="E1446" s="7" t="str">
        <f>IFERROR(__xludf.DUMMYFUNCTION("""COMPUTED_VALUE"""),"LiRCUP: Linear regression based CPU usage prediction algorithm for live migration of virtual machines in data centers")</f>
        <v>LiRCUP: Linear regression based CPU usage prediction algorithm for live migration of virtual machines in data centers</v>
      </c>
      <c r="F1446" s="7" t="str">
        <f>IFERROR(__xludf.DUMMYFUNCTION("""COMPUTED_VALUE"""),"SEAA")</f>
        <v>SEAA</v>
      </c>
      <c r="G1446" s="7" t="str">
        <f>IFERROR(__xludf.DUMMYFUNCTION("""COMPUTED_VALUE"""),"Virtualization is a vital technology of cloud computing which enables the partition of a physical host into several Virtual Machines (VMs). The number of active hosts can be reduced according to the resources requirements using live migration in order to "&amp;"minimize the power consumption in this technology. However, the Service Level Agreement (SLA) is essential for maintaining reliable quality of service between data centers and their users in the cloud environment. Therefore, reduction of the SLA violation"&amp;" level and power costs are considered as two objectives in this paper. We present a CPU usage prediction method based on the linear regression technique. The proposed approach approximates the short-time future CPU utilization based on the history of usag"&amp;"e in each host. It is employed in the live migration process to predict over-loaded and under-loaded hosts. When a host becomes over-loaded, some VMs migrate to other hosts to avoid SLA violation. Moreover, first all VMs migrate from a host while it becom"&amp;"es under-loaded. Then, the host switches to the sleep mode for reducing power consumption. Experimental results on the real workload traces from more than a thousand Planet Lab VMs show that the proposed technique can significantly reduce the energy consu"&amp;"mption and SLA violation rates. © 2013 IEEE.")</f>
        <v>Virtualization is a vital technology of cloud computing which enables the partition of a physical host into several Virtual Machines (VMs). The number of active hosts can be reduced according to the resources requirements using live migration in order to minimize the power consumption in this technology. However, the Service Level Agreement (SLA) is essential for maintaining reliable quality of service between data centers and their users in the cloud environment. Therefore, reduction of the SLA violation level and power costs are considered as two objectives in this paper. We present a CPU usage prediction method based on the linear regression technique. The proposed approach approximates the short-time future CPU utilization based on the history of usage in each host. It is employed in the live migration process to predict over-loaded and under-loaded hosts. When a host becomes over-loaded, some VMs migrate to other hosts to avoid SLA violation. Moreover, first all VMs migrate from a host while it becomes under-loaded. Then, the host switches to the sleep mode for reducing power consumption. Experimental results on the real workload traces from more than a thousand Planet Lab VMs show that the proposed technique can significantly reduce the energy consumption and SLA violation rates. © 2013 IEEE.</v>
      </c>
      <c r="H1446" s="7" t="str">
        <f>IFERROR(__xludf.DUMMYFUNCTION("""COMPUTED_VALUE"""),"cloud computing; dynamic consolidation; green IT; live migration; regression; virtulization")</f>
        <v>cloud computing; dynamic consolidation; green IT; live migration; regression; virtulization</v>
      </c>
      <c r="I1446" s="10" t="b">
        <v>0</v>
      </c>
      <c r="J1446" s="10" t="b">
        <v>0</v>
      </c>
      <c r="K1446" s="10" t="b">
        <v>0</v>
      </c>
      <c r="L1446" s="10" t="b">
        <v>0</v>
      </c>
      <c r="M1446" s="10" t="b">
        <v>0</v>
      </c>
      <c r="N1446" s="10" t="b">
        <v>0</v>
      </c>
      <c r="O1446" s="11" t="b">
        <f t="shared" si="1"/>
        <v>0</v>
      </c>
      <c r="P1446" s="16" t="b">
        <v>0</v>
      </c>
      <c r="Q1446" s="7"/>
    </row>
    <row r="1447">
      <c r="A1447" s="5" t="b">
        <v>1</v>
      </c>
      <c r="B1447" s="5" t="s">
        <v>1500</v>
      </c>
      <c r="C1447" s="7" t="str">
        <f>IFERROR(__xludf.DUMMYFUNCTION("""COMPUTED_VALUE"""),"10.1109/SEAA.2018.00086")</f>
        <v>10.1109/SEAA.2018.00086</v>
      </c>
      <c r="D1447" s="7" t="str">
        <f>IFERROR(__xludf.DUMMYFUNCTION("""COMPUTED_VALUE"""),"Aldossary M.; Djemame K.")</f>
        <v>Aldossary M.; Djemame K.</v>
      </c>
      <c r="E1447" s="7" t="str">
        <f>IFERROR(__xludf.DUMMYFUNCTION("""COMPUTED_VALUE"""),"Performance and energy-based cost prediction of virtual machines auto-scaling in clouds")</f>
        <v>Performance and energy-based cost prediction of virtual machines auto-scaling in clouds</v>
      </c>
      <c r="F1447" s="7" t="str">
        <f>IFERROR(__xludf.DUMMYFUNCTION("""COMPUTED_VALUE"""),"SEAA")</f>
        <v>SEAA</v>
      </c>
      <c r="G1447" s="7" t="str">
        <f>IFERROR(__xludf.DUMMYFUNCTION("""COMPUTED_VALUE"""),"Virtual Machines (VMs) auto-scaling is an important technique to provision additional resource capacity in a Cloud environment. It allows the VMs to dynamically increase or decrease the amount of resources as needed in order to meet Quality of Service (Qo"&amp;"S) requirements. However, the auto-scaling mechanism can be time-consuming to initiate (e.g. in the order of a minute), which is unacceptable for VMs that need to scale up/out during the computation, besides additional costs due to the increase of the ene"&amp;"rgy overhead. This paper introduces a Performance and Energy-based Cost Prediction Framework to estimate the total cost of VMs auto-scaling by considering the resource usage and power consumption, while maintaining the expected level of performance. A ser"&amp;"ies of experiments conducted on a Cloud testbed show that this framework is capable of predicting the auto-scaling workload, power consumption and total cost for heterogeneous VMs, with a cost-saving of up to 25% for the predicted total cost of VM self-co"&amp;"nfiguration as compared to the current approaches in literature. © 2018 IEEE.")</f>
        <v>Virtual Machines (VMs) auto-scaling is an important technique to provision additional resource capacity in a Cloud environment. It allows the VMs to dynamically increase or decrease the amount of resources as needed in order to meet Quality of Service (QoS) requirements. However, the auto-scaling mechanism can be time-consuming to initiate (e.g. in the order of a minute), which is unacceptable for VMs that need to scale up/out during the computation, besides additional costs due to the increase of the energy overhead. This paper introduces a Performance and Energy-based Cost Prediction Framework to estimate the total cost of VMs auto-scaling by considering the resource usage and power consumption, while maintaining the expected level of performance. A series of experiments conducted on a Cloud testbed show that this framework is capable of predicting the auto-scaling workload, power consumption and total cost for heterogeneous VMs, with a cost-saving of up to 25% for the predicted total cost of VM self-configuration as compared to the current approaches in literature. © 2018 IEEE.</v>
      </c>
      <c r="H1447" s="7" t="str">
        <f>IFERROR(__xludf.DUMMYFUNCTION("""COMPUTED_VALUE"""),"Auto scaling; Cloud computing; Cost prediction; Energy efficiency; Power consumption; Workload prediction")</f>
        <v>Auto scaling; Cloud computing; Cost prediction; Energy efficiency; Power consumption; Workload prediction</v>
      </c>
      <c r="I1447" s="10" t="b">
        <v>0</v>
      </c>
      <c r="J1447" s="10" t="b">
        <v>0</v>
      </c>
      <c r="K1447" s="10" t="b">
        <v>0</v>
      </c>
      <c r="L1447" s="10" t="b">
        <v>0</v>
      </c>
      <c r="M1447" s="10" t="b">
        <v>0</v>
      </c>
      <c r="N1447" s="10" t="b">
        <v>0</v>
      </c>
      <c r="O1447" s="11" t="b">
        <f t="shared" si="1"/>
        <v>0</v>
      </c>
      <c r="P1447" s="16" t="b">
        <v>0</v>
      </c>
      <c r="Q1447" s="7"/>
    </row>
  </sheetData>
  <autoFilter ref="$I$1:$P$1447"/>
  <conditionalFormatting sqref="I2:K1447">
    <cfRule type="cellIs" dxfId="0" priority="1" operator="equal">
      <formula>"TRUE"</formula>
    </cfRule>
  </conditionalFormatting>
  <conditionalFormatting sqref="L2:N1447">
    <cfRule type="cellIs" dxfId="1" priority="2" operator="equal">
      <formula>"TRUE"</formula>
    </cfRule>
  </conditionalFormatting>
  <conditionalFormatting sqref="O2:O1447">
    <cfRule type="expression" dxfId="2" priority="3">
      <formula>AND(A2, O2)</formula>
    </cfRule>
  </conditionalFormatting>
  <conditionalFormatting sqref="C2:C1447">
    <cfRule type="containsBlanks" dxfId="3" priority="4">
      <formula>LEN(TRIM(C2))=0</formula>
    </cfRule>
  </conditionalFormatting>
  <conditionalFormatting sqref="A2:B1447">
    <cfRule type="cellIs" dxfId="4" priority="5" operator="equal">
      <formula>"TRUE"</formula>
    </cfRule>
  </conditionalFormatting>
  <conditionalFormatting sqref="P2:P1447">
    <cfRule type="cellIs" dxfId="5" priority="6" operator="equal">
      <formula>"TRUE"</formula>
    </cfRule>
  </conditionalFormatting>
  <conditionalFormatting sqref="O2:O1447">
    <cfRule type="expression" dxfId="6" priority="7">
      <formula>AND(A2, NOT(O2))</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0.13"/>
    <col customWidth="1" min="4" max="4" width="5.13"/>
    <col customWidth="1" hidden="1" min="5" max="6" width="19.75"/>
    <col customWidth="1" hidden="1" min="7" max="8" width="26.5"/>
    <col customWidth="1" min="9" max="9" width="3.88"/>
    <col customWidth="1" min="10" max="10" width="5.13"/>
    <col customWidth="1" min="11" max="11" width="7.63"/>
    <col customWidth="1" min="12" max="12" width="3.88"/>
    <col customWidth="1" min="13" max="13" width="5.13"/>
    <col customWidth="1" min="14" max="14" width="7.63"/>
  </cols>
  <sheetData>
    <row r="1">
      <c r="A1" s="19" t="s">
        <v>1501</v>
      </c>
      <c r="B1" s="19" t="s">
        <v>1502</v>
      </c>
      <c r="C1" s="2" t="s">
        <v>1503</v>
      </c>
      <c r="D1" s="2" t="s">
        <v>1504</v>
      </c>
      <c r="E1" s="2" t="s">
        <v>1505</v>
      </c>
      <c r="F1" s="2" t="s">
        <v>1506</v>
      </c>
      <c r="G1" s="2" t="s">
        <v>1507</v>
      </c>
      <c r="H1" s="2" t="s">
        <v>1508</v>
      </c>
      <c r="I1" s="2" t="s">
        <v>1509</v>
      </c>
      <c r="J1" s="2" t="s">
        <v>1510</v>
      </c>
      <c r="K1" s="2" t="s">
        <v>1511</v>
      </c>
      <c r="L1" s="1" t="s">
        <v>1512</v>
      </c>
      <c r="M1" s="2" t="s">
        <v>1513</v>
      </c>
      <c r="N1" s="2" t="s">
        <v>1514</v>
      </c>
    </row>
    <row r="2">
      <c r="A2" s="20" t="str">
        <f>IFERROR(__xludf.DUMMYFUNCTION("CHOOSECOLS(IMPORTRANGE(""https://docs.google.com/spreadsheets/d/1ypnvpdDMQPpiabNFdo167qUofUQ5aZPbdghyGxX_yAc/edit#gid=678786028"", ""Selection!C2:I36""), 1,2,5, 7)"),"CSUR")</f>
        <v>CSUR</v>
      </c>
      <c r="B2" s="20" t="str">
        <f>IFERROR(__xludf.DUMMYFUNCTION("""COMPUTED_VALUE"""),"Scopus")</f>
        <v>Scopus</v>
      </c>
      <c r="C2" s="21" t="str">
        <f>IFERROR(__xludf.DUMMYFUNCTION("""COMPUTED_VALUE"""),"https://docs.google.com/spreadsheets/d/1HgVTGacHA4ooe0TRD4bHdG2wA6oy-3yVrrhxpW9jnVs/edit#gid=319269851")</f>
        <v>https://docs.google.com/spreadsheets/d/1HgVTGacHA4ooe0TRD4bHdG2wA6oy-3yVrrhxpW9jnVs/edit#gid=319269851</v>
      </c>
      <c r="D2" s="7">
        <f>IFERROR(__xludf.DUMMYFUNCTION("""COMPUTED_VALUE"""),14.0)</f>
        <v>14</v>
      </c>
      <c r="E2" s="7" t="str">
        <f t="shared" ref="E2:E36" si="1">IF(ISBLANK(C2), "", IF(B2="Scopus", "references!A2:M"&amp;(D2+1), "references!B2:R"&amp;(D2+1)))</f>
        <v>references!A2:M15</v>
      </c>
      <c r="F2" s="7" t="str">
        <f t="shared" ref="F2:F36" si="2">IF(ISBLANK(C2), "", IF(B2="Scopus", "7;1;4;12;9;10", "12; 1;2;16;13;14"))</f>
        <v>7;1;4;12;9;10</v>
      </c>
      <c r="G2" s="7" t="str">
        <f>IFERROR(__xludf.DUMMYFUNCTION("IF(B2=""Scopus"", IMPORTRANGE(C2, ""references!G2:G2""), IMPORTRANGE(C2, ""references!M2:M2""))"),"10.1145/3020266")</f>
        <v>10.1145/3020266</v>
      </c>
      <c r="H2" s="7">
        <f>COUNTIF(Candidates!F:F, A2)</f>
        <v>14</v>
      </c>
      <c r="I2" s="7" t="b">
        <f t="shared" ref="I2:I36" si="3">(H2=D2)</f>
        <v>1</v>
      </c>
      <c r="J2" s="6">
        <f>SUMPRODUCT((Candidates!A:A=TRUE) * (Candidates!F:F=A2))</f>
        <v>14</v>
      </c>
      <c r="K2" s="22">
        <f t="shared" ref="K2:K36" si="4">IF(ISBLANK(C2), 0,J2/D2)</f>
        <v>1</v>
      </c>
      <c r="L2" s="23" t="b">
        <f t="shared" ref="L2:L36" si="5">(J2=D2)</f>
        <v>1</v>
      </c>
      <c r="M2" s="7">
        <f>SUMPRODUCT((Candidates!A:A=TRUE) * (Candidates!F:F=A2) * (Candidates!O:O=TRUE))</f>
        <v>0</v>
      </c>
      <c r="N2" s="22">
        <f t="shared" ref="N2:N36" si="6">IF(J2=0, M2/D2, M2/J2)</f>
        <v>0</v>
      </c>
    </row>
    <row r="3">
      <c r="A3" s="20" t="str">
        <f>IFERROR(__xludf.DUMMYFUNCTION("""COMPUTED_VALUE"""),"TOSEM")</f>
        <v>TOSEM</v>
      </c>
      <c r="B3" s="20" t="str">
        <f>IFERROR(__xludf.DUMMYFUNCTION("""COMPUTED_VALUE"""),"Scopus")</f>
        <v>Scopus</v>
      </c>
      <c r="C3" s="21" t="str">
        <f>IFERROR(__xludf.DUMMYFUNCTION("""COMPUTED_VALUE"""),"https://docs.google.com/spreadsheets/d/1GT2KBo6IE8Zj4Z7Mmcm8HiycoqxJvg2_H_16FTYQk6M/edit#gid=93092510")</f>
        <v>https://docs.google.com/spreadsheets/d/1GT2KBo6IE8Zj4Z7Mmcm8HiycoqxJvg2_H_16FTYQk6M/edit#gid=93092510</v>
      </c>
      <c r="D3" s="7">
        <f>IFERROR(__xludf.DUMMYFUNCTION("""COMPUTED_VALUE"""),45.0)</f>
        <v>45</v>
      </c>
      <c r="E3" s="7" t="str">
        <f t="shared" si="1"/>
        <v>references!A2:M46</v>
      </c>
      <c r="F3" s="7" t="str">
        <f t="shared" si="2"/>
        <v>7;1;4;12;9;10</v>
      </c>
      <c r="G3" s="7" t="str">
        <f>IFERROR(__xludf.DUMMYFUNCTION("IF(B3=""Scopus"", IMPORTRANGE(C3, ""references!G2:G2""), IMPORTRANGE(C3, ""references!M2:M2""))"),"10.1145/2699688")</f>
        <v>10.1145/2699688</v>
      </c>
      <c r="H3" s="7">
        <f>COUNTIF(Candidates!F:F, A3)</f>
        <v>45</v>
      </c>
      <c r="I3" s="7" t="b">
        <f t="shared" si="3"/>
        <v>1</v>
      </c>
      <c r="J3" s="6">
        <f>SUMPRODUCT((Candidates!A:A=TRUE) * (Candidates!F:F=A3))</f>
        <v>45</v>
      </c>
      <c r="K3" s="22">
        <f t="shared" si="4"/>
        <v>1</v>
      </c>
      <c r="L3" s="23" t="b">
        <f t="shared" si="5"/>
        <v>1</v>
      </c>
      <c r="M3" s="7">
        <f>SUMPRODUCT((Candidates!A:A=TRUE) * (Candidates!F:F=A3) * (Candidates!O:O=TRUE))</f>
        <v>7</v>
      </c>
      <c r="N3" s="22">
        <f t="shared" si="6"/>
        <v>0.1555555556</v>
      </c>
    </row>
    <row r="4">
      <c r="A4" s="20" t="str">
        <f>IFERROR(__xludf.DUMMYFUNCTION("""COMPUTED_VALUE"""),"TSE")</f>
        <v>TSE</v>
      </c>
      <c r="B4" s="20" t="str">
        <f>IFERROR(__xludf.DUMMYFUNCTION("""COMPUTED_VALUE"""),"Scopus")</f>
        <v>Scopus</v>
      </c>
      <c r="C4" s="21" t="str">
        <f>IFERROR(__xludf.DUMMYFUNCTION("""COMPUTED_VALUE"""),"https://docs.google.com/spreadsheets/d/1v76xo1SaWAEzmLTT1gyH51xHs99CoKFRfrGW27fxilI/edit#gid=1612515869")</f>
        <v>https://docs.google.com/spreadsheets/d/1v76xo1SaWAEzmLTT1gyH51xHs99CoKFRfrGW27fxilI/edit#gid=1612515869</v>
      </c>
      <c r="D4" s="7">
        <f>IFERROR(__xludf.DUMMYFUNCTION("""COMPUTED_VALUE"""),149.0)</f>
        <v>149</v>
      </c>
      <c r="E4" s="7" t="str">
        <f t="shared" si="1"/>
        <v>references!A2:M150</v>
      </c>
      <c r="F4" s="7" t="str">
        <f t="shared" si="2"/>
        <v>7;1;4;12;9;10</v>
      </c>
      <c r="G4" s="7" t="str">
        <f>IFERROR(__xludf.DUMMYFUNCTION("IF(B4=""Scopus"", IMPORTRANGE(C4, ""references!G2:G2""), IMPORTRANGE(C4, ""references!M2:M2""))"),"10.1109/TSE.2021.3124323")</f>
        <v>10.1109/TSE.2021.3124323</v>
      </c>
      <c r="H4" s="7">
        <f>COUNTIF(Candidates!F:F, A4)</f>
        <v>149</v>
      </c>
      <c r="I4" s="7" t="b">
        <f t="shared" si="3"/>
        <v>1</v>
      </c>
      <c r="J4" s="6">
        <f>SUMPRODUCT((Candidates!A:A=TRUE) * (Candidates!F:F=A4))</f>
        <v>149</v>
      </c>
      <c r="K4" s="22">
        <f t="shared" si="4"/>
        <v>1</v>
      </c>
      <c r="L4" s="23" t="b">
        <f t="shared" si="5"/>
        <v>1</v>
      </c>
      <c r="M4" s="7">
        <f>SUMPRODUCT((Candidates!A:A=TRUE) * (Candidates!F:F=A4) * (Candidates!O:O=TRUE))</f>
        <v>15</v>
      </c>
      <c r="N4" s="22">
        <f t="shared" si="6"/>
        <v>0.1006711409</v>
      </c>
    </row>
    <row r="5">
      <c r="A5" s="20" t="str">
        <f>IFERROR(__xludf.DUMMYFUNCTION("""COMPUTED_VALUE"""),"EMSE")</f>
        <v>EMSE</v>
      </c>
      <c r="B5" s="20" t="str">
        <f>IFERROR(__xludf.DUMMYFUNCTION("""COMPUTED_VALUE"""),"Scopus")</f>
        <v>Scopus</v>
      </c>
      <c r="C5" s="21" t="str">
        <f>IFERROR(__xludf.DUMMYFUNCTION("""COMPUTED_VALUE"""),"https://docs.google.com/spreadsheets/d/1wnt4oYasCzH8UAHPj7M7MC5gGS-6FYd7YFjmLJnYTCM/edit#gid=12247619366")</f>
        <v>https://docs.google.com/spreadsheets/d/1wnt4oYasCzH8UAHPj7M7MC5gGS-6FYd7YFjmLJnYTCM/edit#gid=12247619366</v>
      </c>
      <c r="D5" s="7">
        <f>IFERROR(__xludf.DUMMYFUNCTION("""COMPUTED_VALUE"""),62.0)</f>
        <v>62</v>
      </c>
      <c r="E5" s="7" t="str">
        <f t="shared" si="1"/>
        <v>references!A2:M63</v>
      </c>
      <c r="F5" s="7" t="str">
        <f t="shared" si="2"/>
        <v>7;1;4;12;9;10</v>
      </c>
      <c r="G5" s="7" t="str">
        <f>IFERROR(__xludf.DUMMYFUNCTION("IF(B5=""Scopus"", IMPORTRANGE(C5, ""references!G2:G2""), IMPORTRANGE(C5, ""references!M2:M2""))"),"10.1007/s10664-018-9596-7")</f>
        <v>10.1007/s10664-018-9596-7</v>
      </c>
      <c r="H5" s="7">
        <f>COUNTIF(Candidates!F:F, A5)</f>
        <v>62</v>
      </c>
      <c r="I5" s="7" t="b">
        <f t="shared" si="3"/>
        <v>1</v>
      </c>
      <c r="J5" s="6">
        <f>SUMPRODUCT((Candidates!A:A=TRUE) * (Candidates!F:F=A5))</f>
        <v>62</v>
      </c>
      <c r="K5" s="22">
        <f t="shared" si="4"/>
        <v>1</v>
      </c>
      <c r="L5" s="23" t="b">
        <f t="shared" si="5"/>
        <v>1</v>
      </c>
      <c r="M5" s="7">
        <f>SUMPRODUCT((Candidates!A:A=TRUE) * (Candidates!F:F=A5) * (Candidates!O:O=TRUE))</f>
        <v>15</v>
      </c>
      <c r="N5" s="22">
        <f t="shared" si="6"/>
        <v>0.2419354839</v>
      </c>
    </row>
    <row r="6">
      <c r="A6" s="20" t="str">
        <f>IFERROR(__xludf.DUMMYFUNCTION("""COMPUTED_VALUE"""),"TOPS")</f>
        <v>TOPS</v>
      </c>
      <c r="B6" s="20" t="str">
        <f>IFERROR(__xludf.DUMMYFUNCTION("""COMPUTED_VALUE"""),"Scopus")</f>
        <v>Scopus</v>
      </c>
      <c r="C6" s="21" t="str">
        <f>IFERROR(__xludf.DUMMYFUNCTION("""COMPUTED_VALUE"""),"https://docs.google.com/spreadsheets/d/1ZorXlWn4uh3LmF59rQCShdPQEd-aFLFmH-CmDr8cOT0/edit#gid=2015104068")</f>
        <v>https://docs.google.com/spreadsheets/d/1ZorXlWn4uh3LmF59rQCShdPQEd-aFLFmH-CmDr8cOT0/edit#gid=2015104068</v>
      </c>
      <c r="D6" s="7">
        <f>IFERROR(__xludf.DUMMYFUNCTION("""COMPUTED_VALUE"""),6.0)</f>
        <v>6</v>
      </c>
      <c r="E6" s="7" t="str">
        <f t="shared" si="1"/>
        <v>references!A2:M7</v>
      </c>
      <c r="F6" s="7" t="str">
        <f t="shared" si="2"/>
        <v>7;1;4;12;9;10</v>
      </c>
      <c r="G6" s="7" t="str">
        <f>IFERROR(__xludf.DUMMYFUNCTION("IF(B6=""Scopus"", IMPORTRANGE(C6, ""references!G2:G2""), IMPORTRANGE(C6, ""references!M2:M2""))"),"10.1145/3267339")</f>
        <v>10.1145/3267339</v>
      </c>
      <c r="H6" s="7">
        <f>COUNTIF(Candidates!F:F, A6)</f>
        <v>6</v>
      </c>
      <c r="I6" s="7" t="b">
        <f t="shared" si="3"/>
        <v>1</v>
      </c>
      <c r="J6" s="6">
        <f>SUMPRODUCT((Candidates!A:A=TRUE) * (Candidates!F:F=A6))</f>
        <v>6</v>
      </c>
      <c r="K6" s="22">
        <f t="shared" si="4"/>
        <v>1</v>
      </c>
      <c r="L6" s="23" t="b">
        <f t="shared" si="5"/>
        <v>1</v>
      </c>
      <c r="M6" s="7">
        <f>SUMPRODUCT((Candidates!A:A=TRUE) * (Candidates!F:F=A6) * (Candidates!O:O=TRUE))</f>
        <v>0</v>
      </c>
      <c r="N6" s="22">
        <f t="shared" si="6"/>
        <v>0</v>
      </c>
    </row>
    <row r="7">
      <c r="A7" s="20" t="str">
        <f>IFERROR(__xludf.DUMMYFUNCTION("""COMPUTED_VALUE"""),"TDSC")</f>
        <v>TDSC</v>
      </c>
      <c r="B7" s="20" t="str">
        <f>IFERROR(__xludf.DUMMYFUNCTION("""COMPUTED_VALUE"""),"Scopus")</f>
        <v>Scopus</v>
      </c>
      <c r="C7" s="21" t="str">
        <f>IFERROR(__xludf.DUMMYFUNCTION("""COMPUTED_VALUE"""),"https://docs.google.com/spreadsheets/d/1AmhVykXSpIeaxvKY62Po1W_UOLsl3oU9tLNIWVnDFV4/edit#gid=211543681")</f>
        <v>https://docs.google.com/spreadsheets/d/1AmhVykXSpIeaxvKY62Po1W_UOLsl3oU9tLNIWVnDFV4/edit#gid=211543681</v>
      </c>
      <c r="D7" s="7">
        <f>IFERROR(__xludf.DUMMYFUNCTION("""COMPUTED_VALUE"""),72.0)</f>
        <v>72</v>
      </c>
      <c r="E7" s="7" t="str">
        <f t="shared" si="1"/>
        <v>references!A2:M73</v>
      </c>
      <c r="F7" s="7" t="str">
        <f t="shared" si="2"/>
        <v>7;1;4;12;9;10</v>
      </c>
      <c r="G7" s="7" t="str">
        <f>IFERROR(__xludf.DUMMYFUNCTION("IF(B7=""Scopus"", IMPORTRANGE(C7, ""references!G2:G2""), IMPORTRANGE(C7, ""references!M2:M2""))"),"10.1109/TDSC.2022.3226508")</f>
        <v>10.1109/TDSC.2022.3226508</v>
      </c>
      <c r="H7" s="7">
        <f>COUNTIF(Candidates!F:F, A7)</f>
        <v>72</v>
      </c>
      <c r="I7" s="7" t="b">
        <f t="shared" si="3"/>
        <v>1</v>
      </c>
      <c r="J7" s="6">
        <f>SUMPRODUCT((Candidates!A:A=TRUE) * (Candidates!F:F=A7))</f>
        <v>72</v>
      </c>
      <c r="K7" s="22">
        <f t="shared" si="4"/>
        <v>1</v>
      </c>
      <c r="L7" s="23" t="b">
        <f t="shared" si="5"/>
        <v>1</v>
      </c>
      <c r="M7" s="7">
        <f>SUMPRODUCT((Candidates!A:A=TRUE) * (Candidates!F:F=A7) * (Candidates!O:O=TRUE))</f>
        <v>0</v>
      </c>
      <c r="N7" s="22">
        <f t="shared" si="6"/>
        <v>0</v>
      </c>
    </row>
    <row r="8">
      <c r="A8" s="20" t="str">
        <f>IFERROR(__xludf.DUMMYFUNCTION("""COMPUTED_VALUE"""),"JSS")</f>
        <v>JSS</v>
      </c>
      <c r="B8" s="20" t="str">
        <f>IFERROR(__xludf.DUMMYFUNCTION("""COMPUTED_VALUE"""),"Scopus")</f>
        <v>Scopus</v>
      </c>
      <c r="C8" s="21" t="str">
        <f>IFERROR(__xludf.DUMMYFUNCTION("""COMPUTED_VALUE"""),"https://docs.google.com/spreadsheets/d/1Qe4eMGWl0MgrzUJz6H2jyygdajy5rCNSKKP_psNXv5Q/edit#gid=1917798017")</f>
        <v>https://docs.google.com/spreadsheets/d/1Qe4eMGWl0MgrzUJz6H2jyygdajy5rCNSKKP_psNXv5Q/edit#gid=1917798017</v>
      </c>
      <c r="D8" s="7">
        <f>IFERROR(__xludf.DUMMYFUNCTION("""COMPUTED_VALUE"""),175.0)</f>
        <v>175</v>
      </c>
      <c r="E8" s="7" t="str">
        <f t="shared" si="1"/>
        <v>references!A2:M176</v>
      </c>
      <c r="F8" s="7" t="str">
        <f t="shared" si="2"/>
        <v>7;1;4;12;9;10</v>
      </c>
      <c r="G8" s="7" t="str">
        <f>IFERROR(__xludf.DUMMYFUNCTION("IF(B8=""Scopus"", IMPORTRANGE(C8, ""references!G2:G2""), IMPORTRANGE(C8, ""references!M2:M2""))"),"10.1016/j.jss.2019.03.061")</f>
        <v>10.1016/j.jss.2019.03.061</v>
      </c>
      <c r="H8" s="7">
        <f>COUNTIF(Candidates!F:F, A8)</f>
        <v>175</v>
      </c>
      <c r="I8" s="7" t="b">
        <f t="shared" si="3"/>
        <v>1</v>
      </c>
      <c r="J8" s="6">
        <f>SUMPRODUCT((Candidates!A:A=TRUE) * (Candidates!F:F=A8))</f>
        <v>175</v>
      </c>
      <c r="K8" s="22">
        <f t="shared" si="4"/>
        <v>1</v>
      </c>
      <c r="L8" s="23" t="b">
        <f t="shared" si="5"/>
        <v>1</v>
      </c>
      <c r="M8" s="7">
        <f>SUMPRODUCT((Candidates!A:A=TRUE) * (Candidates!F:F=A8) * (Candidates!O:O=TRUE))</f>
        <v>21</v>
      </c>
      <c r="N8" s="22">
        <f t="shared" si="6"/>
        <v>0.12</v>
      </c>
    </row>
    <row r="9">
      <c r="A9" s="20" t="str">
        <f>IFERROR(__xludf.DUMMYFUNCTION("""COMPUTED_VALUE"""),"IST")</f>
        <v>IST</v>
      </c>
      <c r="B9" s="20" t="str">
        <f>IFERROR(__xludf.DUMMYFUNCTION("""COMPUTED_VALUE"""),"Scopus")</f>
        <v>Scopus</v>
      </c>
      <c r="C9" s="21" t="str">
        <f>IFERROR(__xludf.DUMMYFUNCTION("""COMPUTED_VALUE"""),"https://docs.google.com/spreadsheets/d/1xSFl5lTyOdJIsZZ8gRfjRd7nVnsZg8MCtX3k_QGopD8/edit#gid=67356075")</f>
        <v>https://docs.google.com/spreadsheets/d/1xSFl5lTyOdJIsZZ8gRfjRd7nVnsZg8MCtX3k_QGopD8/edit#gid=67356075</v>
      </c>
      <c r="D9" s="7">
        <f>IFERROR(__xludf.DUMMYFUNCTION("""COMPUTED_VALUE"""),164.0)</f>
        <v>164</v>
      </c>
      <c r="E9" s="7" t="str">
        <f t="shared" si="1"/>
        <v>references!A2:M165</v>
      </c>
      <c r="F9" s="7" t="str">
        <f t="shared" si="2"/>
        <v>7;1;4;12;9;10</v>
      </c>
      <c r="G9" s="7" t="str">
        <f>IFERROR(__xludf.DUMMYFUNCTION("IF(B9=""Scopus"", IMPORTRANGE(C9, ""references!G2:G2""), IMPORTRANGE(C9, ""references!M2:M2""))"),"10.1016/j.infsof.2020.106371")</f>
        <v>10.1016/j.infsof.2020.106371</v>
      </c>
      <c r="H9" s="7">
        <f>COUNTIF(Candidates!F:F, A9)</f>
        <v>164</v>
      </c>
      <c r="I9" s="7" t="b">
        <f t="shared" si="3"/>
        <v>1</v>
      </c>
      <c r="J9" s="6">
        <f>SUMPRODUCT((Candidates!A:A=TRUE) * (Candidates!F:F=A9))</f>
        <v>164</v>
      </c>
      <c r="K9" s="22">
        <f t="shared" si="4"/>
        <v>1</v>
      </c>
      <c r="L9" s="23" t="b">
        <f t="shared" si="5"/>
        <v>1</v>
      </c>
      <c r="M9" s="7">
        <f>SUMPRODUCT((Candidates!A:A=TRUE) * (Candidates!F:F=A9) * (Candidates!O:O=TRUE))</f>
        <v>24</v>
      </c>
      <c r="N9" s="22">
        <f t="shared" si="6"/>
        <v>0.1463414634</v>
      </c>
    </row>
    <row r="10">
      <c r="A10" s="20" t="str">
        <f>IFERROR(__xludf.DUMMYFUNCTION("""COMPUTED_VALUE"""),"REJ")</f>
        <v>REJ</v>
      </c>
      <c r="B10" s="20" t="str">
        <f>IFERROR(__xludf.DUMMYFUNCTION("""COMPUTED_VALUE"""),"Scopus")</f>
        <v>Scopus</v>
      </c>
      <c r="C10" s="21" t="str">
        <f>IFERROR(__xludf.DUMMYFUNCTION("""COMPUTED_VALUE"""),"https://docs.google.com/spreadsheets/d/1EKKjupCZrZeEc_gy13XtPpL77CFV-55FNyH5blcuVBM/edit#gid=975674041")</f>
        <v>https://docs.google.com/spreadsheets/d/1EKKjupCZrZeEc_gy13XtPpL77CFV-55FNyH5blcuVBM/edit#gid=975674041</v>
      </c>
      <c r="D10" s="7">
        <f>IFERROR(__xludf.DUMMYFUNCTION("""COMPUTED_VALUE"""),57.0)</f>
        <v>57</v>
      </c>
      <c r="E10" s="7" t="str">
        <f t="shared" si="1"/>
        <v>references!A2:M58</v>
      </c>
      <c r="F10" s="7" t="str">
        <f t="shared" si="2"/>
        <v>7;1;4;12;9;10</v>
      </c>
      <c r="G10" s="7" t="str">
        <f>IFERROR(__xludf.DUMMYFUNCTION("IF(B10=""Scopus"", IMPORTRANGE(C10, ""references!G2:G2""), IMPORTRANGE(C10, ""references!M2:M2""))"),"10.1007/s00766-016-0251-9")</f>
        <v>10.1007/s00766-016-0251-9</v>
      </c>
      <c r="H10" s="7">
        <f>COUNTIF(Candidates!F:F, A10)</f>
        <v>57</v>
      </c>
      <c r="I10" s="7" t="b">
        <f t="shared" si="3"/>
        <v>1</v>
      </c>
      <c r="J10" s="6">
        <f>SUMPRODUCT((Candidates!A:A=TRUE) * (Candidates!F:F=A10))</f>
        <v>57</v>
      </c>
      <c r="K10" s="22">
        <f t="shared" si="4"/>
        <v>1</v>
      </c>
      <c r="L10" s="23" t="b">
        <f t="shared" si="5"/>
        <v>1</v>
      </c>
      <c r="M10" s="7">
        <f>SUMPRODUCT((Candidates!A:A=TRUE) * (Candidates!F:F=A10) * (Candidates!O:O=TRUE))</f>
        <v>9</v>
      </c>
      <c r="N10" s="22">
        <f t="shared" si="6"/>
        <v>0.1578947368</v>
      </c>
    </row>
    <row r="11">
      <c r="A11" s="20" t="str">
        <f>IFERROR(__xludf.DUMMYFUNCTION("""COMPUTED_VALUE"""),"JSEP")</f>
        <v>JSEP</v>
      </c>
      <c r="B11" s="20" t="str">
        <f>IFERROR(__xludf.DUMMYFUNCTION("""COMPUTED_VALUE"""),"Scopus")</f>
        <v>Scopus</v>
      </c>
      <c r="C11" s="21" t="str">
        <f>IFERROR(__xludf.DUMMYFUNCTION("""COMPUTED_VALUE"""),"https://docs.google.com/spreadsheets/d/1pnqmg1SWFQ-KaQuHaN0lNzq3oYt_zFc2EsIWzAkmx64/edit#gid=1396296961")</f>
        <v>https://docs.google.com/spreadsheets/d/1pnqmg1SWFQ-KaQuHaN0lNzq3oYt_zFc2EsIWzAkmx64/edit#gid=1396296961</v>
      </c>
      <c r="D11" s="7">
        <f>IFERROR(__xludf.DUMMYFUNCTION("""COMPUTED_VALUE"""),18.0)</f>
        <v>18</v>
      </c>
      <c r="E11" s="7" t="str">
        <f t="shared" si="1"/>
        <v>references!A2:M19</v>
      </c>
      <c r="F11" s="7" t="str">
        <f t="shared" si="2"/>
        <v>7;1;4;12;9;10</v>
      </c>
      <c r="G11" s="7" t="str">
        <f>IFERROR(__xludf.DUMMYFUNCTION("IF(B11=""Scopus"", IMPORTRANGE(C11, ""references!G2:G2""), IMPORTRANGE(C11, ""references!M2:M2""))"),"10.1002/smr.1715")</f>
        <v>10.1002/smr.1715</v>
      </c>
      <c r="H11" s="7">
        <f>COUNTIF(Candidates!F:F, A11)</f>
        <v>18</v>
      </c>
      <c r="I11" s="7" t="b">
        <f t="shared" si="3"/>
        <v>1</v>
      </c>
      <c r="J11" s="6">
        <f>SUMPRODUCT((Candidates!A:A=TRUE) * (Candidates!F:F=A11))</f>
        <v>18</v>
      </c>
      <c r="K11" s="22">
        <f t="shared" si="4"/>
        <v>1</v>
      </c>
      <c r="L11" s="23" t="b">
        <f t="shared" si="5"/>
        <v>1</v>
      </c>
      <c r="M11" s="7">
        <f>SUMPRODUCT((Candidates!A:A=TRUE) * (Candidates!F:F=A11) * (Candidates!O:O=TRUE))</f>
        <v>1</v>
      </c>
      <c r="N11" s="22">
        <f t="shared" si="6"/>
        <v>0.05555555556</v>
      </c>
    </row>
    <row r="12">
      <c r="A12" s="20" t="str">
        <f>IFERROR(__xludf.DUMMYFUNCTION("""COMPUTED_VALUE"""),"ASE")</f>
        <v>ASE</v>
      </c>
      <c r="B12" s="20" t="str">
        <f>IFERROR(__xludf.DUMMYFUNCTION("""COMPUTED_VALUE"""),"Scopus")</f>
        <v>Scopus</v>
      </c>
      <c r="C12" s="21" t="str">
        <f>IFERROR(__xludf.DUMMYFUNCTION("""COMPUTED_VALUE"""),"https://docs.google.com/spreadsheets/d/11b2j1Vg6M5L1VaEyS7ZJAv2j96S9zqK05JaiHum86SY/edit")</f>
        <v>https://docs.google.com/spreadsheets/d/11b2j1Vg6M5L1VaEyS7ZJAv2j96S9zqK05JaiHum86SY/edit</v>
      </c>
      <c r="D12" s="7">
        <f>IFERROR(__xludf.DUMMYFUNCTION("""COMPUTED_VALUE"""),46.0)</f>
        <v>46</v>
      </c>
      <c r="E12" s="7" t="str">
        <f t="shared" si="1"/>
        <v>references!A2:M47</v>
      </c>
      <c r="F12" s="7" t="str">
        <f t="shared" si="2"/>
        <v>7;1;4;12;9;10</v>
      </c>
      <c r="G12" s="7" t="str">
        <f>IFERROR(__xludf.DUMMYFUNCTION("IF(B12=""Scopus"", IMPORTRANGE(C12, ""references!G2:G2""), IMPORTRANGE(C12, ""references!M2:M2""))"),"10.1109/ASE.2003.1240293")</f>
        <v>10.1109/ASE.2003.1240293</v>
      </c>
      <c r="H12" s="7">
        <f>COUNTIF(Candidates!F:F, A12)</f>
        <v>46</v>
      </c>
      <c r="I12" s="7" t="b">
        <f t="shared" si="3"/>
        <v>1</v>
      </c>
      <c r="J12" s="6">
        <f>SUMPRODUCT((Candidates!A:A=TRUE) * (Candidates!F:F=A12))</f>
        <v>46</v>
      </c>
      <c r="K12" s="22">
        <f t="shared" si="4"/>
        <v>1</v>
      </c>
      <c r="L12" s="23" t="b">
        <f t="shared" si="5"/>
        <v>1</v>
      </c>
      <c r="M12" s="7">
        <f>SUMPRODUCT((Candidates!A:A=TRUE) * (Candidates!F:F=A12) * (Candidates!O:O=TRUE))</f>
        <v>1</v>
      </c>
      <c r="N12" s="22">
        <f t="shared" si="6"/>
        <v>0.02173913043</v>
      </c>
    </row>
    <row r="13">
      <c r="A13" s="20" t="str">
        <f>IFERROR(__xludf.DUMMYFUNCTION("""COMPUTED_VALUE"""),"ESEC/FSE")</f>
        <v>ESEC/FSE</v>
      </c>
      <c r="B13" s="20" t="str">
        <f>IFERROR(__xludf.DUMMYFUNCTION("""COMPUTED_VALUE"""),"Scopus")</f>
        <v>Scopus</v>
      </c>
      <c r="C13" s="21" t="str">
        <f>IFERROR(__xludf.DUMMYFUNCTION("""COMPUTED_VALUE"""),"https://docs.google.com/spreadsheets/d/1N9ptdkqtdu9nw4JQY2xpEhPIHgHO95bnmJ9f4D5RrAo/edit#gid=1069134018")</f>
        <v>https://docs.google.com/spreadsheets/d/1N9ptdkqtdu9nw4JQY2xpEhPIHgHO95bnmJ9f4D5RrAo/edit#gid=1069134018</v>
      </c>
      <c r="D13" s="7">
        <f>IFERROR(__xludf.DUMMYFUNCTION("""COMPUTED_VALUE"""),52.0)</f>
        <v>52</v>
      </c>
      <c r="E13" s="7" t="str">
        <f t="shared" si="1"/>
        <v>references!A2:M53</v>
      </c>
      <c r="F13" s="7" t="str">
        <f t="shared" si="2"/>
        <v>7;1;4;12;9;10</v>
      </c>
      <c r="G13" s="7" t="str">
        <f>IFERROR(__xludf.DUMMYFUNCTION("IF(B13=""Scopus"", IMPORTRANGE(C13, ""references!G2:G2""), IMPORTRANGE(C13, ""references!M2:M2""))"),"10.1145/2786805.2786833")</f>
        <v>10.1145/2786805.2786833</v>
      </c>
      <c r="H13" s="7">
        <f>COUNTIF(Candidates!F:F, A13)</f>
        <v>52</v>
      </c>
      <c r="I13" s="7" t="b">
        <f t="shared" si="3"/>
        <v>1</v>
      </c>
      <c r="J13" s="6">
        <f>SUMPRODUCT((Candidates!A:A=TRUE) * (Candidates!F:F=A13))</f>
        <v>52</v>
      </c>
      <c r="K13" s="22">
        <f t="shared" si="4"/>
        <v>1</v>
      </c>
      <c r="L13" s="23" t="b">
        <f t="shared" si="5"/>
        <v>1</v>
      </c>
      <c r="M13" s="7">
        <f>SUMPRODUCT((Candidates!A:A=TRUE) * (Candidates!F:F=A13) * (Candidates!O:O=TRUE))</f>
        <v>1</v>
      </c>
      <c r="N13" s="22">
        <f t="shared" si="6"/>
        <v>0.01923076923</v>
      </c>
    </row>
    <row r="14">
      <c r="A14" s="20" t="str">
        <f>IFERROR(__xludf.DUMMYFUNCTION("""COMPUTED_VALUE"""),"ICSE")</f>
        <v>ICSE</v>
      </c>
      <c r="B14" s="20" t="str">
        <f>IFERROR(__xludf.DUMMYFUNCTION("""COMPUTED_VALUE"""),"Scopus")</f>
        <v>Scopus</v>
      </c>
      <c r="C14" s="21" t="str">
        <f>IFERROR(__xludf.DUMMYFUNCTION("""COMPUTED_VALUE"""),"https://docs.google.com/spreadsheets/d/1yEHcwI1ZRe4CXuhIG5Qk4ps6QGLJeMfUJ1ShKcAfF50/edit#gid=699010025")</f>
        <v>https://docs.google.com/spreadsheets/d/1yEHcwI1ZRe4CXuhIG5Qk4ps6QGLJeMfUJ1ShKcAfF50/edit#gid=699010025</v>
      </c>
      <c r="D14" s="7">
        <f>IFERROR(__xludf.DUMMYFUNCTION("""COMPUTED_VALUE"""),152.0)</f>
        <v>152</v>
      </c>
      <c r="E14" s="7" t="str">
        <f t="shared" si="1"/>
        <v>references!A2:M153</v>
      </c>
      <c r="F14" s="7" t="str">
        <f t="shared" si="2"/>
        <v>7;1;4;12;9;10</v>
      </c>
      <c r="G14" s="7" t="str">
        <f>IFERROR(__xludf.DUMMYFUNCTION("IF(B14=""Scopus"", IMPORTRANGE(C14, ""references!G2:G2""), IMPORTRANGE(C14, ""references!M2:M2""))"),"10.1109/ICSE48619.2023.00032")</f>
        <v>10.1109/ICSE48619.2023.00032</v>
      </c>
      <c r="H14" s="7">
        <f>COUNTIF(Candidates!F:F, A14)</f>
        <v>152</v>
      </c>
      <c r="I14" s="7" t="b">
        <f t="shared" si="3"/>
        <v>1</v>
      </c>
      <c r="J14" s="6">
        <f>SUMPRODUCT((Candidates!A:A=TRUE) * (Candidates!F:F=A14))</f>
        <v>152</v>
      </c>
      <c r="K14" s="22">
        <f t="shared" si="4"/>
        <v>1</v>
      </c>
      <c r="L14" s="23" t="b">
        <f t="shared" si="5"/>
        <v>1</v>
      </c>
      <c r="M14" s="7">
        <f>SUMPRODUCT((Candidates!A:A=TRUE) * (Candidates!F:F=A14) * (Candidates!O:O=TRUE))</f>
        <v>4</v>
      </c>
      <c r="N14" s="22">
        <f t="shared" si="6"/>
        <v>0.02631578947</v>
      </c>
    </row>
    <row r="15">
      <c r="A15" s="20" t="str">
        <f>IFERROR(__xludf.DUMMYFUNCTION("""COMPUTED_VALUE"""),"RE")</f>
        <v>RE</v>
      </c>
      <c r="B15" s="20" t="str">
        <f>IFERROR(__xludf.DUMMYFUNCTION("""COMPUTED_VALUE"""),"Scopus")</f>
        <v>Scopus</v>
      </c>
      <c r="C15" s="21" t="str">
        <f>IFERROR(__xludf.DUMMYFUNCTION("""COMPUTED_VALUE"""),"https://docs.google.com/spreadsheets/d/1ORbwp5b1r7BsonyJAfzzRqdHoehvKTg-L_okppY13XI/edit#gid=179184925")</f>
        <v>https://docs.google.com/spreadsheets/d/1ORbwp5b1r7BsonyJAfzzRqdHoehvKTg-L_okppY13XI/edit#gid=179184925</v>
      </c>
      <c r="D15" s="7">
        <f>IFERROR(__xludf.DUMMYFUNCTION("""COMPUTED_VALUE"""),120.0)</f>
        <v>120</v>
      </c>
      <c r="E15" s="7" t="str">
        <f t="shared" si="1"/>
        <v>references!A2:M121</v>
      </c>
      <c r="F15" s="7" t="str">
        <f t="shared" si="2"/>
        <v>7;1;4;12;9;10</v>
      </c>
      <c r="G15" s="7" t="str">
        <f>IFERROR(__xludf.DUMMYFUNCTION("IF(B15=""Scopus"", IMPORTRANGE(C15, ""references!G2:G2""), IMPORTRANGE(C15, ""references!M2:M2""))"),"10.1109/RE48521.2020.00048")</f>
        <v>10.1109/RE48521.2020.00048</v>
      </c>
      <c r="H15" s="7">
        <f>COUNTIF(Candidates!F:F, A15)</f>
        <v>120</v>
      </c>
      <c r="I15" s="7" t="b">
        <f t="shared" si="3"/>
        <v>1</v>
      </c>
      <c r="J15" s="6">
        <f>SUMPRODUCT((Candidates!A:A=TRUE) * (Candidates!F:F=A15))</f>
        <v>120</v>
      </c>
      <c r="K15" s="22">
        <f t="shared" si="4"/>
        <v>1</v>
      </c>
      <c r="L15" s="23" t="b">
        <f t="shared" si="5"/>
        <v>1</v>
      </c>
      <c r="M15" s="7">
        <f>SUMPRODUCT((Candidates!A:A=TRUE) * (Candidates!F:F=A15) * (Candidates!O:O=TRUE))</f>
        <v>9</v>
      </c>
      <c r="N15" s="22">
        <f t="shared" si="6"/>
        <v>0.075</v>
      </c>
    </row>
    <row r="16">
      <c r="A16" s="20" t="str">
        <f>IFERROR(__xludf.DUMMYFUNCTION("""COMPUTED_VALUE"""),"EASE")</f>
        <v>EASE</v>
      </c>
      <c r="B16" s="20" t="str">
        <f>IFERROR(__xludf.DUMMYFUNCTION("""COMPUTED_VALUE"""),"Scopus")</f>
        <v>Scopus</v>
      </c>
      <c r="C16" s="21" t="str">
        <f>IFERROR(__xludf.DUMMYFUNCTION("""COMPUTED_VALUE"""),"https://docs.google.com/spreadsheets/d/1LOuzVp4h4PqWtcsuvvzpwJV2-4Vx5A1SWHHtwCwYYUw/edit#gid=124726605")</f>
        <v>https://docs.google.com/spreadsheets/d/1LOuzVp4h4PqWtcsuvvzpwJV2-4Vx5A1SWHHtwCwYYUw/edit#gid=124726605</v>
      </c>
      <c r="D16" s="7">
        <f>IFERROR(__xludf.DUMMYFUNCTION("""COMPUTED_VALUE"""),3.0)</f>
        <v>3</v>
      </c>
      <c r="E16" s="7" t="str">
        <f t="shared" si="1"/>
        <v>references!A2:M4</v>
      </c>
      <c r="F16" s="7" t="str">
        <f t="shared" si="2"/>
        <v>7;1;4;12;9;10</v>
      </c>
      <c r="G16" s="7" t="str">
        <f>IFERROR(__xludf.DUMMYFUNCTION("IF(B16=""Scopus"", IMPORTRANGE(C16, ""references!G2:G2""), IMPORTRANGE(C16, ""references!M2:M2""))"),"10.14236/ewic/ease2009.3")</f>
        <v>10.14236/ewic/ease2009.3</v>
      </c>
      <c r="H16" s="7">
        <f>COUNTIF(Candidates!F:F, A16)</f>
        <v>3</v>
      </c>
      <c r="I16" s="7" t="b">
        <f t="shared" si="3"/>
        <v>1</v>
      </c>
      <c r="J16" s="6">
        <f>SUMPRODUCT((Candidates!A:A=TRUE) * (Candidates!F:F=A16))</f>
        <v>3</v>
      </c>
      <c r="K16" s="22">
        <f t="shared" si="4"/>
        <v>1</v>
      </c>
      <c r="L16" s="23" t="b">
        <f t="shared" si="5"/>
        <v>1</v>
      </c>
      <c r="M16" s="7">
        <f>SUMPRODUCT((Candidates!A:A=TRUE) * (Candidates!F:F=A16) * (Candidates!O:O=TRUE))</f>
        <v>1</v>
      </c>
      <c r="N16" s="22">
        <f t="shared" si="6"/>
        <v>0.3333333333</v>
      </c>
    </row>
    <row r="17">
      <c r="A17" s="20" t="str">
        <f>IFERROR(__xludf.DUMMYFUNCTION("""COMPUTED_VALUE"""),"ECOOP")</f>
        <v>ECOOP</v>
      </c>
      <c r="B17" s="20" t="str">
        <f>IFERROR(__xludf.DUMMYFUNCTION("""COMPUTED_VALUE"""),"Scopus")</f>
        <v>Scopus</v>
      </c>
      <c r="C17" s="21" t="str">
        <f>IFERROR(__xludf.DUMMYFUNCTION("""COMPUTED_VALUE"""),"https://docs.google.com/spreadsheets/d/1MGOL2ZCWdHLea3lqRfyc3oA33YwUUmM2jaOlotpvAmA/edit#gid=278406573")</f>
        <v>https://docs.google.com/spreadsheets/d/1MGOL2ZCWdHLea3lqRfyc3oA33YwUUmM2jaOlotpvAmA/edit#gid=278406573</v>
      </c>
      <c r="D17" s="7">
        <f>IFERROR(__xludf.DUMMYFUNCTION("""COMPUTED_VALUE"""),1.0)</f>
        <v>1</v>
      </c>
      <c r="E17" s="7" t="str">
        <f t="shared" si="1"/>
        <v>references!A2:M2</v>
      </c>
      <c r="F17" s="7" t="str">
        <f t="shared" si="2"/>
        <v>7;1;4;12;9;10</v>
      </c>
      <c r="G17" s="7" t="str">
        <f>IFERROR(__xludf.DUMMYFUNCTION("IF(B17=""Scopus"", IMPORTRANGE(C17, ""references!G2:G2""), IMPORTRANGE(C17, ""references!M2:M2""))"),"10.1145/1921705.1921710")</f>
        <v>10.1145/1921705.1921710</v>
      </c>
      <c r="H17" s="7">
        <f>COUNTIF(Candidates!F:F, A17)</f>
        <v>1</v>
      </c>
      <c r="I17" s="7" t="b">
        <f t="shared" si="3"/>
        <v>1</v>
      </c>
      <c r="J17" s="6">
        <f>SUMPRODUCT((Candidates!A:A=TRUE) * (Candidates!F:F=A17))</f>
        <v>1</v>
      </c>
      <c r="K17" s="22">
        <f t="shared" si="4"/>
        <v>1</v>
      </c>
      <c r="L17" s="23" t="b">
        <f t="shared" si="5"/>
        <v>1</v>
      </c>
      <c r="M17" s="7">
        <f>SUMPRODUCT((Candidates!A:A=TRUE) * (Candidates!F:F=A17) * (Candidates!O:O=TRUE))</f>
        <v>1</v>
      </c>
      <c r="N17" s="22">
        <f t="shared" si="6"/>
        <v>1</v>
      </c>
    </row>
    <row r="18">
      <c r="A18" s="20" t="str">
        <f>IFERROR(__xludf.DUMMYFUNCTION("""COMPUTED_VALUE"""),"ECSA")</f>
        <v>ECSA</v>
      </c>
      <c r="B18" s="20" t="str">
        <f>IFERROR(__xludf.DUMMYFUNCTION("""COMPUTED_VALUE"""),"Scopus")</f>
        <v>Scopus</v>
      </c>
      <c r="C18" s="21" t="str">
        <f>IFERROR(__xludf.DUMMYFUNCTION("""COMPUTED_VALUE"""),"https://docs.google.com/spreadsheets/d/1ydLDiVXetbV4i8Mpnmvo_ATQI7KY_RmrUy3GMNPGz_g/edit#gid=148061028")</f>
        <v>https://docs.google.com/spreadsheets/d/1ydLDiVXetbV4i8Mpnmvo_ATQI7KY_RmrUy3GMNPGz_g/edit#gid=148061028</v>
      </c>
      <c r="D18" s="7">
        <f>IFERROR(__xludf.DUMMYFUNCTION("""COMPUTED_VALUE"""),1.0)</f>
        <v>1</v>
      </c>
      <c r="E18" s="7" t="str">
        <f t="shared" si="1"/>
        <v>references!A2:M2</v>
      </c>
      <c r="F18" s="7" t="str">
        <f t="shared" si="2"/>
        <v>7;1;4;12;9;10</v>
      </c>
      <c r="G18" s="7" t="str">
        <f>IFERROR(__xludf.DUMMYFUNCTION("IF(B18=""Scopus"", IMPORTRANGE(C18, ""references!G2:G2""), IMPORTRANGE(C18, ""references!M2:M2""))"),"10.1109/WICSA.2009.5290813")</f>
        <v>10.1109/WICSA.2009.5290813</v>
      </c>
      <c r="H18" s="7">
        <f>COUNTIF(Candidates!F:F, A18)</f>
        <v>1</v>
      </c>
      <c r="I18" s="7" t="b">
        <f t="shared" si="3"/>
        <v>1</v>
      </c>
      <c r="J18" s="6">
        <f>SUMPRODUCT((Candidates!A:A=TRUE) * (Candidates!F:F=A18))</f>
        <v>1</v>
      </c>
      <c r="K18" s="22">
        <f t="shared" si="4"/>
        <v>1</v>
      </c>
      <c r="L18" s="23" t="b">
        <f t="shared" si="5"/>
        <v>1</v>
      </c>
      <c r="M18" s="7">
        <f>SUMPRODUCT((Candidates!A:A=TRUE) * (Candidates!F:F=A18) * (Candidates!O:O=TRUE))</f>
        <v>0</v>
      </c>
      <c r="N18" s="22">
        <f t="shared" si="6"/>
        <v>0</v>
      </c>
    </row>
    <row r="19">
      <c r="A19" s="20" t="str">
        <f>IFERROR(__xludf.DUMMYFUNCTION("""COMPUTED_VALUE"""),"ESEM")</f>
        <v>ESEM</v>
      </c>
      <c r="B19" s="20" t="str">
        <f>IFERROR(__xludf.DUMMYFUNCTION("""COMPUTED_VALUE"""),"Scopus")</f>
        <v>Scopus</v>
      </c>
      <c r="C19" s="21" t="str">
        <f>IFERROR(__xludf.DUMMYFUNCTION("""COMPUTED_VALUE"""),"https://docs.google.com/spreadsheets/d/14xdpeMA2XsF7qxyajHuAMxKGRGhL0v78q0ZPOeK6EH0/edit#gid=6035656")</f>
        <v>https://docs.google.com/spreadsheets/d/14xdpeMA2XsF7qxyajHuAMxKGRGhL0v78q0ZPOeK6EH0/edit#gid=6035656</v>
      </c>
      <c r="D19" s="7">
        <f>IFERROR(__xludf.DUMMYFUNCTION("""COMPUTED_VALUE"""),39.0)</f>
        <v>39</v>
      </c>
      <c r="E19" s="7" t="str">
        <f t="shared" si="1"/>
        <v>references!A2:M40</v>
      </c>
      <c r="F19" s="7" t="str">
        <f t="shared" si="2"/>
        <v>7;1;4;12;9;10</v>
      </c>
      <c r="G19" s="7" t="str">
        <f>IFERROR(__xludf.DUMMYFUNCTION("IF(B19=""Scopus"", IMPORTRANGE(C19, ""references!G2:G2""), IMPORTRANGE(C19, ""references!M2:M2""))"),"10.1109/ESEM.2017.41")</f>
        <v>10.1109/ESEM.2017.41</v>
      </c>
      <c r="H19" s="7">
        <f>COUNTIF(Candidates!F:F, A19)</f>
        <v>39</v>
      </c>
      <c r="I19" s="7" t="b">
        <f t="shared" si="3"/>
        <v>1</v>
      </c>
      <c r="J19" s="6">
        <f>SUMPRODUCT((Candidates!A:A=TRUE) * (Candidates!F:F=A19))</f>
        <v>39</v>
      </c>
      <c r="K19" s="22">
        <f t="shared" si="4"/>
        <v>1</v>
      </c>
      <c r="L19" s="23" t="b">
        <f t="shared" si="5"/>
        <v>1</v>
      </c>
      <c r="M19" s="7">
        <f>SUMPRODUCT((Candidates!A:A=TRUE) * (Candidates!F:F=A19) * (Candidates!O:O=TRUE))</f>
        <v>14</v>
      </c>
      <c r="N19" s="22">
        <f t="shared" si="6"/>
        <v>0.358974359</v>
      </c>
    </row>
    <row r="20">
      <c r="A20" s="20" t="str">
        <f>IFERROR(__xludf.DUMMYFUNCTION("""COMPUTED_VALUE"""),"FM")</f>
        <v>FM</v>
      </c>
      <c r="B20" s="20" t="str">
        <f>IFERROR(__xludf.DUMMYFUNCTION("""COMPUTED_VALUE"""),"ACM Library")</f>
        <v>ACM Library</v>
      </c>
      <c r="C20" s="21" t="str">
        <f>IFERROR(__xludf.DUMMYFUNCTION("""COMPUTED_VALUE"""),"https://docs.google.com/spreadsheets/d/1DKaAElaMhyZsU2x1MJIjX8Hf0KXMMbcm4DSYnPUvifQ/edit#gid=1595065698")</f>
        <v>https://docs.google.com/spreadsheets/d/1DKaAElaMhyZsU2x1MJIjX8Hf0KXMMbcm4DSYnPUvifQ/edit#gid=1595065698</v>
      </c>
      <c r="D20" s="7">
        <f>IFERROR(__xludf.DUMMYFUNCTION("""COMPUTED_VALUE"""),1.0)</f>
        <v>1</v>
      </c>
      <c r="E20" s="7" t="str">
        <f t="shared" si="1"/>
        <v>references!B2:R2</v>
      </c>
      <c r="F20" s="7" t="str">
        <f t="shared" si="2"/>
        <v>12; 1;2;16;13;14</v>
      </c>
      <c r="G20" s="7" t="str">
        <f>IFERROR(__xludf.DUMMYFUNCTION("IF(B20=""Scopus"", IMPORTRANGE(C20, ""references!G2:G2""), IMPORTRANGE(C20, ""references!M2:M2""))"),"10.1007/978-3-540-68237-0_11")</f>
        <v>10.1007/978-3-540-68237-0_11</v>
      </c>
      <c r="H20" s="7">
        <f>COUNTIF(Candidates!F:F, A20)</f>
        <v>1</v>
      </c>
      <c r="I20" s="7" t="b">
        <f t="shared" si="3"/>
        <v>1</v>
      </c>
      <c r="J20" s="6">
        <f>SUMPRODUCT((Candidates!A:A=TRUE) * (Candidates!F:F=A20))</f>
        <v>1</v>
      </c>
      <c r="K20" s="22">
        <f t="shared" si="4"/>
        <v>1</v>
      </c>
      <c r="L20" s="23" t="b">
        <f t="shared" si="5"/>
        <v>1</v>
      </c>
      <c r="M20" s="7">
        <f>SUMPRODUCT((Candidates!A:A=TRUE) * (Candidates!F:F=A20) * (Candidates!O:O=TRUE))</f>
        <v>0</v>
      </c>
      <c r="N20" s="22">
        <f t="shared" si="6"/>
        <v>0</v>
      </c>
    </row>
    <row r="21">
      <c r="A21" s="20" t="str">
        <f>IFERROR(__xludf.DUMMYFUNCTION("""COMPUTED_VALUE"""),"ICFP")</f>
        <v>ICFP</v>
      </c>
      <c r="B21" s="20" t="str">
        <f>IFERROR(__xludf.DUMMYFUNCTION("""COMPUTED_VALUE"""),"Scopus")</f>
        <v>Scopus</v>
      </c>
      <c r="C21" s="21" t="str">
        <f>IFERROR(__xludf.DUMMYFUNCTION("""COMPUTED_VALUE"""),"https://docs.google.com/spreadsheets/d/13_V1bFgl5VY4egORwspdNfkmDLk-pFeD_PKYC7-zK0c/edit#gid=242159364")</f>
        <v>https://docs.google.com/spreadsheets/d/13_V1bFgl5VY4egORwspdNfkmDLk-pFeD_PKYC7-zK0c/edit#gid=242159364</v>
      </c>
      <c r="D21" s="7">
        <f>IFERROR(__xludf.DUMMYFUNCTION("""COMPUTED_VALUE"""),4.0)</f>
        <v>4</v>
      </c>
      <c r="E21" s="7" t="str">
        <f t="shared" si="1"/>
        <v>references!A2:M5</v>
      </c>
      <c r="F21" s="7" t="str">
        <f t="shared" si="2"/>
        <v>7;1;4;12;9;10</v>
      </c>
      <c r="G21" s="7" t="str">
        <f>IFERROR(__xludf.DUMMYFUNCTION("IF(B21=""Scopus"", IMPORTRANGE(C21, ""references!G2:G2""), IMPORTRANGE(C21, ""references!M2:M2""))"),"10.1145/2628136.2628143")</f>
        <v>10.1145/2628136.2628143</v>
      </c>
      <c r="H21" s="7">
        <f>COUNTIF(Candidates!F:F, A21)</f>
        <v>4</v>
      </c>
      <c r="I21" s="7" t="b">
        <f t="shared" si="3"/>
        <v>1</v>
      </c>
      <c r="J21" s="6">
        <f>SUMPRODUCT((Candidates!A:A=TRUE) * (Candidates!F:F=A21))</f>
        <v>4</v>
      </c>
      <c r="K21" s="22">
        <f t="shared" si="4"/>
        <v>1</v>
      </c>
      <c r="L21" s="23" t="b">
        <f t="shared" si="5"/>
        <v>1</v>
      </c>
      <c r="M21" s="7">
        <f>SUMPRODUCT((Candidates!A:A=TRUE) * (Candidates!F:F=A21) * (Candidates!O:O=TRUE))</f>
        <v>0</v>
      </c>
      <c r="N21" s="22">
        <f t="shared" si="6"/>
        <v>0</v>
      </c>
    </row>
    <row r="22">
      <c r="A22" s="20" t="str">
        <f>IFERROR(__xludf.DUMMYFUNCTION("""COMPUTED_VALUE"""),"ICPC")</f>
        <v>ICPC</v>
      </c>
      <c r="B22" s="20" t="str">
        <f>IFERROR(__xludf.DUMMYFUNCTION("""COMPUTED_VALUE"""),"Scopus")</f>
        <v>Scopus</v>
      </c>
      <c r="C22" s="21" t="str">
        <f>IFERROR(__xludf.DUMMYFUNCTION("""COMPUTED_VALUE"""),"https://docs.google.com/spreadsheets/d/1otqpvZcxkrW5NLrajDI_wtL-PwyIAjIZesWebL8rEFA/edit#gid=1799234774")</f>
        <v>https://docs.google.com/spreadsheets/d/1otqpvZcxkrW5NLrajDI_wtL-PwyIAjIZesWebL8rEFA/edit#gid=1799234774</v>
      </c>
      <c r="D22" s="7">
        <f>IFERROR(__xludf.DUMMYFUNCTION("""COMPUTED_VALUE"""),12.0)</f>
        <v>12</v>
      </c>
      <c r="E22" s="7" t="str">
        <f t="shared" si="1"/>
        <v>references!A2:M13</v>
      </c>
      <c r="F22" s="7" t="str">
        <f t="shared" si="2"/>
        <v>7;1;4;12;9;10</v>
      </c>
      <c r="G22" s="7" t="str">
        <f>IFERROR(__xludf.DUMMYFUNCTION("IF(B22=""Scopus"", IMPORTRANGE(C22, ""references!G2:G2""), IMPORTRANGE(C22, ""references!M2:M2""))"),"")</f>
        <v/>
      </c>
      <c r="H22" s="7">
        <f>COUNTIF(Candidates!F:F, A22)</f>
        <v>12</v>
      </c>
      <c r="I22" s="7" t="b">
        <f t="shared" si="3"/>
        <v>1</v>
      </c>
      <c r="J22" s="6">
        <f>SUMPRODUCT((Candidates!A:A=TRUE) * (Candidates!F:F=A22))</f>
        <v>12</v>
      </c>
      <c r="K22" s="22">
        <f t="shared" si="4"/>
        <v>1</v>
      </c>
      <c r="L22" s="23" t="b">
        <f t="shared" si="5"/>
        <v>1</v>
      </c>
      <c r="M22" s="7">
        <f>SUMPRODUCT((Candidates!A:A=TRUE) * (Candidates!F:F=A22) * (Candidates!O:O=TRUE))</f>
        <v>2</v>
      </c>
      <c r="N22" s="22">
        <f t="shared" si="6"/>
        <v>0.1666666667</v>
      </c>
    </row>
    <row r="23">
      <c r="A23" s="20" t="str">
        <f>IFERROR(__xludf.DUMMYFUNCTION("""COMPUTED_VALUE"""),"ICSA")</f>
        <v>ICSA</v>
      </c>
      <c r="B23" s="20" t="str">
        <f>IFERROR(__xludf.DUMMYFUNCTION("""COMPUTED_VALUE"""),"Scopus")</f>
        <v>Scopus</v>
      </c>
      <c r="C23" s="21" t="str">
        <f>IFERROR(__xludf.DUMMYFUNCTION("""COMPUTED_VALUE"""),"https://docs.google.com/spreadsheets/d/1cvXGnCvcOQT6ErQ_c1Lx9satDg-8z3kF_ngk_2pCHF0/edit#gid=520454048")</f>
        <v>https://docs.google.com/spreadsheets/d/1cvXGnCvcOQT6ErQ_c1Lx9satDg-8z3kF_ngk_2pCHF0/edit#gid=520454048</v>
      </c>
      <c r="D23" s="7">
        <f>IFERROR(__xludf.DUMMYFUNCTION("""COMPUTED_VALUE"""),4.0)</f>
        <v>4</v>
      </c>
      <c r="E23" s="7" t="str">
        <f t="shared" si="1"/>
        <v>references!A2:M5</v>
      </c>
      <c r="F23" s="7" t="str">
        <f t="shared" si="2"/>
        <v>7;1;4;12;9;10</v>
      </c>
      <c r="G23" s="7" t="str">
        <f>IFERROR(__xludf.DUMMYFUNCTION("IF(B23=""Scopus"", IMPORTRANGE(C23, ""references!G2:G2""), IMPORTRANGE(C23, ""references!M2:M2""))"),"10.1109/ICSA.2017.22")</f>
        <v>10.1109/ICSA.2017.22</v>
      </c>
      <c r="H23" s="7">
        <f>COUNTIF(Candidates!F:F, A23)</f>
        <v>4</v>
      </c>
      <c r="I23" s="7" t="b">
        <f t="shared" si="3"/>
        <v>1</v>
      </c>
      <c r="J23" s="6">
        <f>SUMPRODUCT((Candidates!A:A=TRUE) * (Candidates!F:F=A23))</f>
        <v>4</v>
      </c>
      <c r="K23" s="22">
        <f t="shared" si="4"/>
        <v>1</v>
      </c>
      <c r="L23" s="23" t="b">
        <f t="shared" si="5"/>
        <v>1</v>
      </c>
      <c r="M23" s="7">
        <f>SUMPRODUCT((Candidates!A:A=TRUE) * (Candidates!F:F=A23) * (Candidates!O:O=TRUE))</f>
        <v>0</v>
      </c>
      <c r="N23" s="22">
        <f t="shared" si="6"/>
        <v>0</v>
      </c>
    </row>
    <row r="24">
      <c r="A24" s="20" t="str">
        <f>IFERROR(__xludf.DUMMYFUNCTION("""COMPUTED_VALUE"""),"ICSME")</f>
        <v>ICSME</v>
      </c>
      <c r="B24" s="20" t="str">
        <f>IFERROR(__xludf.DUMMYFUNCTION("""COMPUTED_VALUE"""),"Scopus")</f>
        <v>Scopus</v>
      </c>
      <c r="C24" s="21" t="str">
        <f>IFERROR(__xludf.DUMMYFUNCTION("""COMPUTED_VALUE"""),"https://docs.google.com/spreadsheets/d/1vNCSvwWkknUK8DSp0lA6cuRU8u41V_baEsPCEy1aH9c/edit#gid=2125832681")</f>
        <v>https://docs.google.com/spreadsheets/d/1vNCSvwWkknUK8DSp0lA6cuRU8u41V_baEsPCEy1aH9c/edit#gid=2125832681</v>
      </c>
      <c r="D24" s="7">
        <f>IFERROR(__xludf.DUMMYFUNCTION("""COMPUTED_VALUE"""),8.0)</f>
        <v>8</v>
      </c>
      <c r="E24" s="7" t="str">
        <f t="shared" si="1"/>
        <v>references!A2:M9</v>
      </c>
      <c r="F24" s="7" t="str">
        <f t="shared" si="2"/>
        <v>7;1;4;12;9;10</v>
      </c>
      <c r="G24" s="7" t="str">
        <f>IFERROR(__xludf.DUMMYFUNCTION("IF(B24=""Scopus"", IMPORTRANGE(C24, ""references!G2:G2""), IMPORTRANGE(C24, ""references!M2:M2""))"),"10.1109/ICSME.2019.00063")</f>
        <v>10.1109/ICSME.2019.00063</v>
      </c>
      <c r="H24" s="7">
        <f>COUNTIF(Candidates!F:F, A24)</f>
        <v>8</v>
      </c>
      <c r="I24" s="7" t="b">
        <f t="shared" si="3"/>
        <v>1</v>
      </c>
      <c r="J24" s="6">
        <f>SUMPRODUCT((Candidates!A:A=TRUE) * (Candidates!F:F=A24))</f>
        <v>8</v>
      </c>
      <c r="K24" s="22">
        <f t="shared" si="4"/>
        <v>1</v>
      </c>
      <c r="L24" s="23" t="b">
        <f t="shared" si="5"/>
        <v>1</v>
      </c>
      <c r="M24" s="7">
        <f>SUMPRODUCT((Candidates!A:A=TRUE) * (Candidates!F:F=A24) * (Candidates!O:O=TRUE))</f>
        <v>0</v>
      </c>
      <c r="N24" s="22">
        <f t="shared" si="6"/>
        <v>0</v>
      </c>
    </row>
    <row r="25">
      <c r="A25" s="20" t="str">
        <f>IFERROR(__xludf.DUMMYFUNCTION("""COMPUTED_VALUE"""),"ICST")</f>
        <v>ICST</v>
      </c>
      <c r="B25" s="20" t="str">
        <f>IFERROR(__xludf.DUMMYFUNCTION("""COMPUTED_VALUE"""),"Scopus")</f>
        <v>Scopus</v>
      </c>
      <c r="C25" s="21" t="str">
        <f>IFERROR(__xludf.DUMMYFUNCTION("""COMPUTED_VALUE"""),"https://docs.google.com/spreadsheets/d/1MxY-sMyOvfkwK73Y1Ht5_-Gw1SH9uj4CPqjX2DliC28/edit#gid=1318743233")</f>
        <v>https://docs.google.com/spreadsheets/d/1MxY-sMyOvfkwK73Y1Ht5_-Gw1SH9uj4CPqjX2DliC28/edit#gid=1318743233</v>
      </c>
      <c r="D25" s="7">
        <f>IFERROR(__xludf.DUMMYFUNCTION("""COMPUTED_VALUE"""),28.0)</f>
        <v>28</v>
      </c>
      <c r="E25" s="7" t="str">
        <f t="shared" si="1"/>
        <v>references!A2:M29</v>
      </c>
      <c r="F25" s="7" t="str">
        <f t="shared" si="2"/>
        <v>7;1;4;12;9;10</v>
      </c>
      <c r="G25" s="7" t="str">
        <f>IFERROR(__xludf.DUMMYFUNCTION("IF(B25=""Scopus"", IMPORTRANGE(C25, ""references!G2:G2""), IMPORTRANGE(C25, ""references!M2:M2""))"),"10.1109/ICST.2017.22")</f>
        <v>10.1109/ICST.2017.22</v>
      </c>
      <c r="H25" s="7">
        <f>COUNTIF(Candidates!F:F, A25)</f>
        <v>28</v>
      </c>
      <c r="I25" s="7" t="b">
        <f t="shared" si="3"/>
        <v>1</v>
      </c>
      <c r="J25" s="6">
        <f>SUMPRODUCT((Candidates!A:A=TRUE) * (Candidates!F:F=A25))</f>
        <v>28</v>
      </c>
      <c r="K25" s="22">
        <f t="shared" si="4"/>
        <v>1</v>
      </c>
      <c r="L25" s="23" t="b">
        <f t="shared" si="5"/>
        <v>1</v>
      </c>
      <c r="M25" s="7">
        <f>SUMPRODUCT((Candidates!A:A=TRUE) * (Candidates!F:F=A25) * (Candidates!O:O=TRUE))</f>
        <v>1</v>
      </c>
      <c r="N25" s="22">
        <f t="shared" si="6"/>
        <v>0.03571428571</v>
      </c>
    </row>
    <row r="26">
      <c r="A26" s="20" t="str">
        <f>IFERROR(__xludf.DUMMYFUNCTION("""COMPUTED_VALUE"""),"ISSRE")</f>
        <v>ISSRE</v>
      </c>
      <c r="B26" s="20" t="str">
        <f>IFERROR(__xludf.DUMMYFUNCTION("""COMPUTED_VALUE"""),"Scopus")</f>
        <v>Scopus</v>
      </c>
      <c r="C26" s="21" t="str">
        <f>IFERROR(__xludf.DUMMYFUNCTION("""COMPUTED_VALUE"""),"https://docs.google.com/spreadsheets/d/1n1M7_FqvKoTpe5lFsLRmdLcUszH7SotDzdmoNe6o_o0/edit")</f>
        <v>https://docs.google.com/spreadsheets/d/1n1M7_FqvKoTpe5lFsLRmdLcUszH7SotDzdmoNe6o_o0/edit</v>
      </c>
      <c r="D26" s="7">
        <f>IFERROR(__xludf.DUMMYFUNCTION("""COMPUTED_VALUE"""),38.0)</f>
        <v>38</v>
      </c>
      <c r="E26" s="7" t="str">
        <f t="shared" si="1"/>
        <v>references!A2:M39</v>
      </c>
      <c r="F26" s="7" t="str">
        <f t="shared" si="2"/>
        <v>7;1;4;12;9;10</v>
      </c>
      <c r="G26" s="7" t="str">
        <f>IFERROR(__xludf.DUMMYFUNCTION("IF(B26=""Scopus"", IMPORTRANGE(C26, ""references!G2:G2""), IMPORTRANGE(C26, ""references!M2:M2""))"),"")</f>
        <v/>
      </c>
      <c r="H26" s="7">
        <f>COUNTIF(Candidates!F:F, A26)</f>
        <v>38</v>
      </c>
      <c r="I26" s="7" t="b">
        <f t="shared" si="3"/>
        <v>1</v>
      </c>
      <c r="J26" s="6">
        <f>SUMPRODUCT((Candidates!A:A=TRUE) * (Candidates!F:F=A26))</f>
        <v>38</v>
      </c>
      <c r="K26" s="22">
        <f t="shared" si="4"/>
        <v>1</v>
      </c>
      <c r="L26" s="23" t="b">
        <f t="shared" si="5"/>
        <v>1</v>
      </c>
      <c r="M26" s="7">
        <f>SUMPRODUCT((Candidates!A:A=TRUE) * (Candidates!F:F=A26) * (Candidates!O:O=TRUE))</f>
        <v>2</v>
      </c>
      <c r="N26" s="22">
        <f t="shared" si="6"/>
        <v>0.05263157895</v>
      </c>
    </row>
    <row r="27">
      <c r="A27" s="20" t="str">
        <f>IFERROR(__xludf.DUMMYFUNCTION("""COMPUTED_VALUE"""),"ISSTA")</f>
        <v>ISSTA</v>
      </c>
      <c r="B27" s="20" t="str">
        <f>IFERROR(__xludf.DUMMYFUNCTION("""COMPUTED_VALUE"""),"Scopus")</f>
        <v>Scopus</v>
      </c>
      <c r="C27" s="21" t="str">
        <f>IFERROR(__xludf.DUMMYFUNCTION("""COMPUTED_VALUE"""),"https://docs.google.com/spreadsheets/d/1Q4exiBVwfWsuUZ_snN6jj6cFug95FyCJhA_jQw-I0QU/edit#gid=1293119058")</f>
        <v>https://docs.google.com/spreadsheets/d/1Q4exiBVwfWsuUZ_snN6jj6cFug95FyCJhA_jQw-I0QU/edit#gid=1293119058</v>
      </c>
      <c r="D27" s="7">
        <f>IFERROR(__xludf.DUMMYFUNCTION("""COMPUTED_VALUE"""),43.0)</f>
        <v>43</v>
      </c>
      <c r="E27" s="7" t="str">
        <f t="shared" si="1"/>
        <v>references!A2:M44</v>
      </c>
      <c r="F27" s="7" t="str">
        <f t="shared" si="2"/>
        <v>7;1;4;12;9;10</v>
      </c>
      <c r="G27" s="7" t="str">
        <f>IFERROR(__xludf.DUMMYFUNCTION("IF(B27=""Scopus"", IMPORTRANGE(C27, ""references!G2:G2""), IMPORTRANGE(C27, ""references!M2:M2""))"),"10.1145/1013886.1007531")</f>
        <v>10.1145/1013886.1007531</v>
      </c>
      <c r="H27" s="7">
        <f>COUNTIF(Candidates!F:F, A27)</f>
        <v>43</v>
      </c>
      <c r="I27" s="7" t="b">
        <f t="shared" si="3"/>
        <v>1</v>
      </c>
      <c r="J27" s="6">
        <f>SUMPRODUCT((Candidates!A:A=TRUE) * (Candidates!F:F=A27))</f>
        <v>43</v>
      </c>
      <c r="K27" s="22">
        <f t="shared" si="4"/>
        <v>1</v>
      </c>
      <c r="L27" s="23" t="b">
        <f t="shared" si="5"/>
        <v>1</v>
      </c>
      <c r="M27" s="7">
        <f>SUMPRODUCT((Candidates!A:A=TRUE) * (Candidates!F:F=A27) * (Candidates!O:O=TRUE))</f>
        <v>0</v>
      </c>
      <c r="N27" s="22">
        <f t="shared" si="6"/>
        <v>0</v>
      </c>
    </row>
    <row r="28">
      <c r="A28" s="20" t="str">
        <f>IFERROR(__xludf.DUMMYFUNCTION("""COMPUTED_VALUE"""),"MODELS")</f>
        <v>MODELS</v>
      </c>
      <c r="B28" s="20" t="str">
        <f>IFERROR(__xludf.DUMMYFUNCTION("""COMPUTED_VALUE"""),"Scopus")</f>
        <v>Scopus</v>
      </c>
      <c r="C28" s="21" t="str">
        <f>IFERROR(__xludf.DUMMYFUNCTION("""COMPUTED_VALUE"""),"https://docs.google.com/spreadsheets/d/1XvzaxhnVLonnLZfMCl1tEyfNSsdoznN8KzIk9jWkVto/edit#gid=1078202975")</f>
        <v>https://docs.google.com/spreadsheets/d/1XvzaxhnVLonnLZfMCl1tEyfNSsdoznN8KzIk9jWkVto/edit#gid=1078202975</v>
      </c>
      <c r="D28" s="7">
        <f>IFERROR(__xludf.DUMMYFUNCTION("""COMPUTED_VALUE"""),13.0)</f>
        <v>13</v>
      </c>
      <c r="E28" s="7" t="str">
        <f t="shared" si="1"/>
        <v>references!A2:M14</v>
      </c>
      <c r="F28" s="7" t="str">
        <f t="shared" si="2"/>
        <v>7;1;4;12;9;10</v>
      </c>
      <c r="G28" s="7" t="str">
        <f>IFERROR(__xludf.DUMMYFUNCTION("IF(B28=""Scopus"", IMPORTRANGE(C28, ""references!G2:G2""), IMPORTRANGE(C28, ""references!M2:M2""))"),"")</f>
        <v/>
      </c>
      <c r="H28" s="7">
        <f>COUNTIF(Candidates!F:F, A28)</f>
        <v>13</v>
      </c>
      <c r="I28" s="7" t="b">
        <f t="shared" si="3"/>
        <v>1</v>
      </c>
      <c r="J28" s="6">
        <f>SUMPRODUCT((Candidates!A:A=TRUE) * (Candidates!F:F=A28))</f>
        <v>13</v>
      </c>
      <c r="K28" s="22">
        <f t="shared" si="4"/>
        <v>1</v>
      </c>
      <c r="L28" s="23" t="b">
        <f t="shared" si="5"/>
        <v>1</v>
      </c>
      <c r="M28" s="7">
        <f>SUMPRODUCT((Candidates!A:A=TRUE) * (Candidates!F:F=A28) * (Candidates!O:O=TRUE))</f>
        <v>1</v>
      </c>
      <c r="N28" s="22">
        <f t="shared" si="6"/>
        <v>0.07692307692</v>
      </c>
    </row>
    <row r="29">
      <c r="A29" s="20" t="str">
        <f>IFERROR(__xludf.DUMMYFUNCTION("""COMPUTED_VALUE"""),"MSR")</f>
        <v>MSR</v>
      </c>
      <c r="B29" s="20" t="str">
        <f>IFERROR(__xludf.DUMMYFUNCTION("""COMPUTED_VALUE"""),"Scopus")</f>
        <v>Scopus</v>
      </c>
      <c r="C29" s="21" t="str">
        <f>IFERROR(__xludf.DUMMYFUNCTION("""COMPUTED_VALUE"""),"https://docs.google.com/spreadsheets/d/14l31fNEvi89F0F7bmRDtqu7pCCTEbenFJswg1FrP9Mo/edit#gid=6775946144")</f>
        <v>https://docs.google.com/spreadsheets/d/14l31fNEvi89F0F7bmRDtqu7pCCTEbenFJswg1FrP9Mo/edit#gid=6775946144</v>
      </c>
      <c r="D29" s="7">
        <f>IFERROR(__xludf.DUMMYFUNCTION("""COMPUTED_VALUE"""),1.0)</f>
        <v>1</v>
      </c>
      <c r="E29" s="7" t="str">
        <f t="shared" si="1"/>
        <v>references!A2:M2</v>
      </c>
      <c r="F29" s="7" t="str">
        <f t="shared" si="2"/>
        <v>7;1;4;12;9;10</v>
      </c>
      <c r="G29" s="7" t="str">
        <f>IFERROR(__xludf.DUMMYFUNCTION("IF(B29=""Scopus"", IMPORTRANGE(C29, ""references!G2:G2""), IMPORTRANGE(C29, ""references!M2:M2""))"),"10.1109/MSR.2013.6624059")</f>
        <v>10.1109/MSR.2013.6624059</v>
      </c>
      <c r="H29" s="7">
        <f>COUNTIF(Candidates!F:F, A29)</f>
        <v>1</v>
      </c>
      <c r="I29" s="7" t="b">
        <f t="shared" si="3"/>
        <v>1</v>
      </c>
      <c r="J29" s="6">
        <f>SUMPRODUCT((Candidates!A:A=TRUE) * (Candidates!F:F=A29))</f>
        <v>1</v>
      </c>
      <c r="K29" s="22">
        <f t="shared" si="4"/>
        <v>1</v>
      </c>
      <c r="L29" s="23" t="b">
        <f t="shared" si="5"/>
        <v>1</v>
      </c>
      <c r="M29" s="7">
        <f>SUMPRODUCT((Candidates!A:A=TRUE) * (Candidates!F:F=A29) * (Candidates!O:O=TRUE))</f>
        <v>0</v>
      </c>
      <c r="N29" s="22">
        <f t="shared" si="6"/>
        <v>0</v>
      </c>
    </row>
    <row r="30">
      <c r="A30" s="20" t="str">
        <f>IFERROR(__xludf.DUMMYFUNCTION("""COMPUTED_VALUE"""),"OOPSLA")</f>
        <v>OOPSLA</v>
      </c>
      <c r="B30" s="20" t="str">
        <f>IFERROR(__xludf.DUMMYFUNCTION("""COMPUTED_VALUE"""),"Scopus")</f>
        <v>Scopus</v>
      </c>
      <c r="C30" s="21" t="str">
        <f>IFERROR(__xludf.DUMMYFUNCTION("""COMPUTED_VALUE"""),"https://docs.google.com/spreadsheets/d/1wUWDU9Y-P5rIV4Y9kJOUvoHAeI7ArnzQK-loWlW_8vQ/edit#gid=237537826")</f>
        <v>https://docs.google.com/spreadsheets/d/1wUWDU9Y-P5rIV4Y9kJOUvoHAeI7ArnzQK-loWlW_8vQ/edit#gid=237537826</v>
      </c>
      <c r="D30" s="7">
        <f>IFERROR(__xludf.DUMMYFUNCTION("""COMPUTED_VALUE"""),28.0)</f>
        <v>28</v>
      </c>
      <c r="E30" s="7" t="str">
        <f t="shared" si="1"/>
        <v>references!A2:M29</v>
      </c>
      <c r="F30" s="7" t="str">
        <f t="shared" si="2"/>
        <v>7;1;4;12;9;10</v>
      </c>
      <c r="G30" s="7" t="str">
        <f>IFERROR(__xludf.DUMMYFUNCTION("IF(B30=""Scopus"", IMPORTRANGE(C30, ""references!G2:G2""), IMPORTRANGE(C30, ""references!M2:M2""))"),"10.1145/1297027.1297069")</f>
        <v>10.1145/1297027.1297069</v>
      </c>
      <c r="H30" s="7">
        <f>COUNTIF(Candidates!F:F, A30)</f>
        <v>28</v>
      </c>
      <c r="I30" s="7" t="b">
        <f t="shared" si="3"/>
        <v>1</v>
      </c>
      <c r="J30" s="6">
        <f>SUMPRODUCT((Candidates!A:A=TRUE) * (Candidates!F:F=A30))</f>
        <v>28</v>
      </c>
      <c r="K30" s="22">
        <f t="shared" si="4"/>
        <v>1</v>
      </c>
      <c r="L30" s="23" t="b">
        <f t="shared" si="5"/>
        <v>1</v>
      </c>
      <c r="M30" s="7">
        <f>SUMPRODUCT((Candidates!A:A=TRUE) * (Candidates!F:F=A30) * (Candidates!O:O=TRUE))</f>
        <v>1</v>
      </c>
      <c r="N30" s="22">
        <f t="shared" si="6"/>
        <v>0.03571428571</v>
      </c>
    </row>
    <row r="31">
      <c r="A31" s="20" t="str">
        <f>IFERROR(__xludf.DUMMYFUNCTION("""COMPUTED_VALUE"""),"SANER")</f>
        <v>SANER</v>
      </c>
      <c r="B31" s="20" t="str">
        <f>IFERROR(__xludf.DUMMYFUNCTION("""COMPUTED_VALUE"""),"Scopus")</f>
        <v>Scopus</v>
      </c>
      <c r="C31" s="21" t="str">
        <f>IFERROR(__xludf.DUMMYFUNCTION("""COMPUTED_VALUE"""),"https://docs.google.com/spreadsheets/d/1VZrLz8Ro4R0S3x_x_qLBQ2aSTs58uxaYToKZHOkG7PQ/edit#gid=1394394135")</f>
        <v>https://docs.google.com/spreadsheets/d/1VZrLz8Ro4R0S3x_x_qLBQ2aSTs58uxaYToKZHOkG7PQ/edit#gid=1394394135</v>
      </c>
      <c r="D31" s="7">
        <f>IFERROR(__xludf.DUMMYFUNCTION("""COMPUTED_VALUE"""),16.0)</f>
        <v>16</v>
      </c>
      <c r="E31" s="7" t="str">
        <f t="shared" si="1"/>
        <v>references!A2:M17</v>
      </c>
      <c r="F31" s="7" t="str">
        <f t="shared" si="2"/>
        <v>7;1;4;12;9;10</v>
      </c>
      <c r="G31" s="7" t="str">
        <f>IFERROR(__xludf.DUMMYFUNCTION("IF(B31=""Scopus"", IMPORTRANGE(C31, ""references!G2:G2""), IMPORTRANGE(C31, ""references!M2:M2""))"),"10.1109/SANER56733.2023.00021")</f>
        <v>10.1109/SANER56733.2023.00021</v>
      </c>
      <c r="H31" s="7">
        <f>COUNTIF(Candidates!F:F, A31)</f>
        <v>16</v>
      </c>
      <c r="I31" s="7" t="b">
        <f t="shared" si="3"/>
        <v>1</v>
      </c>
      <c r="J31" s="6">
        <f>SUMPRODUCT((Candidates!A:A=TRUE) * (Candidates!F:F=A31))</f>
        <v>16</v>
      </c>
      <c r="K31" s="22">
        <f t="shared" si="4"/>
        <v>1</v>
      </c>
      <c r="L31" s="23" t="b">
        <f t="shared" si="5"/>
        <v>1</v>
      </c>
      <c r="M31" s="7">
        <f>SUMPRODUCT((Candidates!A:A=TRUE) * (Candidates!F:F=A31) * (Candidates!O:O=TRUE))</f>
        <v>0</v>
      </c>
      <c r="N31" s="22">
        <f t="shared" si="6"/>
        <v>0</v>
      </c>
    </row>
    <row r="32">
      <c r="A32" s="20" t="str">
        <f>IFERROR(__xludf.DUMMYFUNCTION("""COMPUTED_VALUE"""),"SEAMS")</f>
        <v>SEAMS</v>
      </c>
      <c r="B32" s="20" t="str">
        <f>IFERROR(__xludf.DUMMYFUNCTION("""COMPUTED_VALUE"""),"Scopus")</f>
        <v>Scopus</v>
      </c>
      <c r="C32" s="21" t="str">
        <f>IFERROR(__xludf.DUMMYFUNCTION("""COMPUTED_VALUE"""),"https://docs.google.com/spreadsheets/d/1llNi2OVof2gqxemSkuwWz01E-vjrMO8gdTVzRueBqjw/edit#gid=11668175")</f>
        <v>https://docs.google.com/spreadsheets/d/1llNi2OVof2gqxemSkuwWz01E-vjrMO8gdTVzRueBqjw/edit#gid=11668175</v>
      </c>
      <c r="D32" s="7">
        <f>IFERROR(__xludf.DUMMYFUNCTION("""COMPUTED_VALUE"""),8.0)</f>
        <v>8</v>
      </c>
      <c r="E32" s="7" t="str">
        <f t="shared" si="1"/>
        <v>references!A2:M9</v>
      </c>
      <c r="F32" s="7" t="str">
        <f t="shared" si="2"/>
        <v>7;1;4;12;9;10</v>
      </c>
      <c r="G32" s="7" t="str">
        <f>IFERROR(__xludf.DUMMYFUNCTION("IF(B32=""Scopus"", IMPORTRANGE(C32, ""references!G2:G2""), IMPORTRANGE(C32, ""references!M2:M2""))"),"10.1145/3387939.3391599")</f>
        <v>10.1145/3387939.3391599</v>
      </c>
      <c r="H32" s="7">
        <f>COUNTIF(Candidates!F:F, A32)</f>
        <v>8</v>
      </c>
      <c r="I32" s="7" t="b">
        <f t="shared" si="3"/>
        <v>1</v>
      </c>
      <c r="J32" s="6">
        <f>SUMPRODUCT((Candidates!A:A=TRUE) * (Candidates!F:F=A32))</f>
        <v>8</v>
      </c>
      <c r="K32" s="22">
        <f t="shared" si="4"/>
        <v>1</v>
      </c>
      <c r="L32" s="23" t="b">
        <f t="shared" si="5"/>
        <v>1</v>
      </c>
      <c r="M32" s="7">
        <f>SUMPRODUCT((Candidates!A:A=TRUE) * (Candidates!F:F=A32) * (Candidates!O:O=TRUE))</f>
        <v>0</v>
      </c>
      <c r="N32" s="22">
        <f t="shared" si="6"/>
        <v>0</v>
      </c>
    </row>
    <row r="33">
      <c r="A33" s="20" t="str">
        <f>IFERROR(__xludf.DUMMYFUNCTION("""COMPUTED_VALUE"""),"TACAS")</f>
        <v>TACAS</v>
      </c>
      <c r="B33" s="20" t="str">
        <f>IFERROR(__xludf.DUMMYFUNCTION("""COMPUTED_VALUE"""),"ACM Library")</f>
        <v>ACM Library</v>
      </c>
      <c r="C33" s="21" t="str">
        <f>IFERROR(__xludf.DUMMYFUNCTION("""COMPUTED_VALUE"""),"https://docs.google.com/spreadsheets/d/165YlaQC88FZroM_RxAEAnEs-SprSVDk8VJOJFu9zcVY/edit#gid=1918850643")</f>
        <v>https://docs.google.com/spreadsheets/d/165YlaQC88FZroM_RxAEAnEs-SprSVDk8VJOJFu9zcVY/edit#gid=1918850643</v>
      </c>
      <c r="D33" s="7">
        <f>IFERROR(__xludf.DUMMYFUNCTION("""COMPUTED_VALUE"""),1.0)</f>
        <v>1</v>
      </c>
      <c r="E33" s="7" t="str">
        <f t="shared" si="1"/>
        <v>references!B2:R2</v>
      </c>
      <c r="F33" s="7" t="str">
        <f t="shared" si="2"/>
        <v>12; 1;2;16;13;14</v>
      </c>
      <c r="G33" s="7" t="str">
        <f>IFERROR(__xludf.DUMMYFUNCTION("IF(B33=""Scopus"", IMPORTRANGE(C33, ""references!G2:G2""), IMPORTRANGE(C33, ""references!M2:M2""))"),"10.1007/3-540-46419-0_10")</f>
        <v>10.1007/3-540-46419-0_10</v>
      </c>
      <c r="H33" s="7">
        <f>COUNTIF(Candidates!F:F, A33)</f>
        <v>1</v>
      </c>
      <c r="I33" s="7" t="b">
        <f t="shared" si="3"/>
        <v>1</v>
      </c>
      <c r="J33" s="6">
        <f>SUMPRODUCT((Candidates!A:A=TRUE) * (Candidates!F:F=A33))</f>
        <v>1</v>
      </c>
      <c r="K33" s="22">
        <f t="shared" si="4"/>
        <v>1</v>
      </c>
      <c r="L33" s="23" t="b">
        <f t="shared" si="5"/>
        <v>1</v>
      </c>
      <c r="M33" s="7">
        <f>SUMPRODUCT((Candidates!A:A=TRUE) * (Candidates!F:F=A33) * (Candidates!O:O=TRUE))</f>
        <v>0</v>
      </c>
      <c r="N33" s="22">
        <f t="shared" si="6"/>
        <v>0</v>
      </c>
    </row>
    <row r="34">
      <c r="A34" s="20" t="str">
        <f>IFERROR(__xludf.DUMMYFUNCTION("""COMPUTED_VALUE"""),"REFSQ")</f>
        <v>REFSQ</v>
      </c>
      <c r="B34" s="20" t="str">
        <f>IFERROR(__xludf.DUMMYFUNCTION("""COMPUTED_VALUE"""),"ACM Library")</f>
        <v>ACM Library</v>
      </c>
      <c r="C34" s="21" t="str">
        <f>IFERROR(__xludf.DUMMYFUNCTION("""COMPUTED_VALUE"""),"https://docs.google.com/spreadsheets/d/1b_UQms0QKKtKjwMuCe5uK2SxR_MQGt42Aw06k4MwB6g/edit#gid=931158059")</f>
        <v>https://docs.google.com/spreadsheets/d/1b_UQms0QKKtKjwMuCe5uK2SxR_MQGt42Aw06k4MwB6g/edit#gid=931158059</v>
      </c>
      <c r="D34" s="7">
        <f>IFERROR(__xludf.DUMMYFUNCTION("""COMPUTED_VALUE"""),20.0)</f>
        <v>20</v>
      </c>
      <c r="E34" s="7" t="str">
        <f t="shared" si="1"/>
        <v>references!B2:R21</v>
      </c>
      <c r="F34" s="7" t="str">
        <f t="shared" si="2"/>
        <v>12; 1;2;16;13;14</v>
      </c>
      <c r="G34" s="7" t="str">
        <f>IFERROR(__xludf.DUMMYFUNCTION("IF(B34=""Scopus"", IMPORTRANGE(C34, ""references!G2:G2""), IMPORTRANGE(C34, ""references!M2:M2""))"),"10.1007/978-3-030-44429-7_3")</f>
        <v>10.1007/978-3-030-44429-7_3</v>
      </c>
      <c r="H34" s="7">
        <f>COUNTIF(Candidates!F:F, A34)</f>
        <v>20</v>
      </c>
      <c r="I34" s="7" t="b">
        <f t="shared" si="3"/>
        <v>1</v>
      </c>
      <c r="J34" s="6">
        <f>SUMPRODUCT((Candidates!A:A=TRUE) * (Candidates!F:F=A34))</f>
        <v>20</v>
      </c>
      <c r="K34" s="22">
        <f t="shared" si="4"/>
        <v>1</v>
      </c>
      <c r="L34" s="23" t="b">
        <f t="shared" si="5"/>
        <v>1</v>
      </c>
      <c r="M34" s="7">
        <f>SUMPRODUCT((Candidates!A:A=TRUE) * (Candidates!F:F=A34) * (Candidates!O:O=TRUE))</f>
        <v>10</v>
      </c>
      <c r="N34" s="22">
        <f t="shared" si="6"/>
        <v>0.5</v>
      </c>
    </row>
    <row r="35">
      <c r="A35" s="20" t="str">
        <f>IFERROR(__xludf.DUMMYFUNCTION("""COMPUTED_VALUE"""),"PROFES")</f>
        <v>PROFES</v>
      </c>
      <c r="B35" s="20" t="str">
        <f>IFERROR(__xludf.DUMMYFUNCTION("""COMPUTED_VALUE"""),"ACM Library")</f>
        <v>ACM Library</v>
      </c>
      <c r="C35" s="21" t="str">
        <f>IFERROR(__xludf.DUMMYFUNCTION("""COMPUTED_VALUE"""),"https://docs.google.com/spreadsheets/d/13yiTLz32wg5tqFLjhBf1tw27MsPFcOOPWintxS5dKT0/edit#gid=1923005921")</f>
        <v>https://docs.google.com/spreadsheets/d/13yiTLz32wg5tqFLjhBf1tw27MsPFcOOPWintxS5dKT0/edit#gid=1923005921</v>
      </c>
      <c r="D35" s="7">
        <f>IFERROR(__xludf.DUMMYFUNCTION("""COMPUTED_VALUE"""),22.0)</f>
        <v>22</v>
      </c>
      <c r="E35" s="7" t="str">
        <f t="shared" si="1"/>
        <v>references!B2:R23</v>
      </c>
      <c r="F35" s="7" t="str">
        <f t="shared" si="2"/>
        <v>12; 1;2;16;13;14</v>
      </c>
      <c r="G35" s="7" t="str">
        <f>IFERROR(__xludf.DUMMYFUNCTION("IF(B35=""Scopus"", IMPORTRANGE(C35, ""references!G2:G2""), IMPORTRANGE(C35, ""references!M2:M2""))"),"10.1007/978-3-030-91452-3_8")</f>
        <v>10.1007/978-3-030-91452-3_8</v>
      </c>
      <c r="H35" s="7">
        <f>COUNTIF(Candidates!F:F, A35)</f>
        <v>22</v>
      </c>
      <c r="I35" s="7" t="b">
        <f t="shared" si="3"/>
        <v>1</v>
      </c>
      <c r="J35" s="6">
        <f>SUMPRODUCT((Candidates!A:A=TRUE) * (Candidates!F:F=A35))</f>
        <v>22</v>
      </c>
      <c r="K35" s="22">
        <f t="shared" si="4"/>
        <v>1</v>
      </c>
      <c r="L35" s="23" t="b">
        <f t="shared" si="5"/>
        <v>1</v>
      </c>
      <c r="M35" s="7">
        <f>SUMPRODUCT((Candidates!A:A=TRUE) * (Candidates!F:F=A35) * (Candidates!O:O=TRUE))</f>
        <v>3</v>
      </c>
      <c r="N35" s="22">
        <f t="shared" si="6"/>
        <v>0.1363636364</v>
      </c>
    </row>
    <row r="36">
      <c r="A36" s="20" t="str">
        <f>IFERROR(__xludf.DUMMYFUNCTION("""COMPUTED_VALUE"""),"SEAA")</f>
        <v>SEAA</v>
      </c>
      <c r="B36" s="20" t="str">
        <f>IFERROR(__xludf.DUMMYFUNCTION("""COMPUTED_VALUE"""),"Scopus")</f>
        <v>Scopus</v>
      </c>
      <c r="C36" s="21" t="str">
        <f>IFERROR(__xludf.DUMMYFUNCTION("""COMPUTED_VALUE"""),"https://docs.google.com/spreadsheets/d/1Js0x7bebVjhhmgXh6NoE9pShBVhNkoBLXPa6xmtvDnw/edit#gid=494709066")</f>
        <v>https://docs.google.com/spreadsheets/d/1Js0x7bebVjhhmgXh6NoE9pShBVhNkoBLXPa6xmtvDnw/edit#gid=494709066</v>
      </c>
      <c r="D36" s="7">
        <f>IFERROR(__xludf.DUMMYFUNCTION("""COMPUTED_VALUE"""),23.0)</f>
        <v>23</v>
      </c>
      <c r="E36" s="7" t="str">
        <f t="shared" si="1"/>
        <v>references!A2:M24</v>
      </c>
      <c r="F36" s="7" t="str">
        <f t="shared" si="2"/>
        <v>7;1;4;12;9;10</v>
      </c>
      <c r="G36" s="7" t="str">
        <f>IFERROR(__xludf.DUMMYFUNCTION("IF(B36=""Scopus"", IMPORTRANGE(C36, ""references!G2:G2""), IMPORTRANGE(C36, ""references!M2:M2""))"),"10.1109/SEAA.2017.34")</f>
        <v>10.1109/SEAA.2017.34</v>
      </c>
      <c r="H36" s="7">
        <f>COUNTIF(Candidates!F:F, A36)</f>
        <v>23</v>
      </c>
      <c r="I36" s="7" t="b">
        <f t="shared" si="3"/>
        <v>1</v>
      </c>
      <c r="J36" s="6">
        <f>SUMPRODUCT((Candidates!A:A=TRUE) * (Candidates!F:F=A36))</f>
        <v>23</v>
      </c>
      <c r="K36" s="22">
        <f t="shared" si="4"/>
        <v>1</v>
      </c>
      <c r="L36" s="23" t="b">
        <f t="shared" si="5"/>
        <v>1</v>
      </c>
      <c r="M36" s="7">
        <f>SUMPRODUCT((Candidates!A:A=TRUE) * (Candidates!F:F=A36) * (Candidates!O:O=TRUE))</f>
        <v>2</v>
      </c>
      <c r="N36" s="22">
        <f t="shared" si="6"/>
        <v>0.08695652174</v>
      </c>
    </row>
    <row r="37">
      <c r="A37" s="24"/>
      <c r="B37" s="24"/>
      <c r="C37" s="25"/>
      <c r="D37" s="25">
        <f>SUM(D2:D36)</f>
        <v>1446</v>
      </c>
      <c r="E37" s="25"/>
      <c r="F37" s="25"/>
      <c r="G37" s="25"/>
      <c r="H37" s="25"/>
      <c r="I37" s="25" t="b">
        <v>0</v>
      </c>
      <c r="J37" s="25">
        <f>SUM(J2:J36)</f>
        <v>1446</v>
      </c>
      <c r="K37" s="26">
        <f>J37/D37</f>
        <v>1</v>
      </c>
      <c r="L37" s="27" t="b">
        <v>0</v>
      </c>
      <c r="M37" s="25">
        <f>SUM(M2:M36)</f>
        <v>145</v>
      </c>
      <c r="N37" s="26">
        <f>M37/J37</f>
        <v>0.1002766252</v>
      </c>
    </row>
  </sheetData>
  <conditionalFormatting sqref="N2:N36">
    <cfRule type="colorScale" priority="1">
      <colorScale>
        <cfvo type="min"/>
        <cfvo type="percentile" val="50"/>
        <cfvo type="max"/>
        <color rgb="FFCFE2F3"/>
        <color rgb="FF6FA8DC"/>
        <color rgb="FF0B5394"/>
      </colorScale>
    </cfRule>
  </conditionalFormatting>
  <conditionalFormatting sqref="K2:L37">
    <cfRule type="cellIs" dxfId="7" priority="2" operator="equal">
      <formula>1</formula>
    </cfRule>
  </conditionalFormatting>
  <conditionalFormatting sqref="H2:I37">
    <cfRule type="cellIs" dxfId="8" priority="3" operator="equal">
      <formula>D2</formula>
    </cfRule>
  </conditionalFormatting>
  <conditionalFormatting sqref="I2:I37 L2:L37">
    <cfRule type="cellIs" dxfId="9" priority="4" operator="equal">
      <formula>"TRUE"</formula>
    </cfRule>
  </conditionalFormatting>
  <conditionalFormatting sqref="K2:K36">
    <cfRule type="colorScale" priority="5">
      <colorScale>
        <cfvo type="formula" val="0%"/>
        <cfvo type="formula" val="100%"/>
        <color rgb="FFFFFFFF"/>
        <color rgb="FF0B5394"/>
      </colorScale>
    </cfRule>
  </conditionalFormatting>
  <hyperlinks>
    <hyperlink r:id="rId1" location="gid=319269851" ref="C2"/>
    <hyperlink r:id="rId2" location="gid=93092510" ref="C3"/>
    <hyperlink r:id="rId3" location="gid=1612515869" ref="C4"/>
    <hyperlink r:id="rId4" location="gid=1224761936" ref="C5"/>
    <hyperlink r:id="rId5" location="gid=2015104068" ref="C6"/>
    <hyperlink r:id="rId6" location="gid=211543681" ref="C7"/>
    <hyperlink r:id="rId7" location="gid=1917798017" ref="C8"/>
    <hyperlink r:id="rId8" location="gid=67356075" ref="C9"/>
    <hyperlink r:id="rId9" location="gid=975674041" ref="C10"/>
    <hyperlink r:id="rId10" location="gid=1396296961" ref="C11"/>
    <hyperlink r:id="rId11" ref="C12"/>
    <hyperlink r:id="rId12" location="gid=1069134018" ref="C13"/>
    <hyperlink r:id="rId13" location="gid=699010025" ref="C14"/>
    <hyperlink r:id="rId14" location="gid=179184925" ref="C15"/>
    <hyperlink r:id="rId15" location="gid=124726605" ref="C16"/>
    <hyperlink r:id="rId16" location="gid=278406573" ref="C17"/>
    <hyperlink r:id="rId17" location="gid=148061028" ref="C18"/>
    <hyperlink r:id="rId18" location="gid=6035656" ref="C19"/>
    <hyperlink r:id="rId19" location="gid=1595065698" ref="C20"/>
    <hyperlink r:id="rId20" location="gid=242159364" ref="C21"/>
    <hyperlink r:id="rId21" location="gid=1799234774" ref="C22"/>
    <hyperlink r:id="rId22" location="gid=520454048" ref="C23"/>
    <hyperlink r:id="rId23" location="gid=2125832681" ref="C24"/>
    <hyperlink r:id="rId24" location="gid=131874323" ref="C25"/>
    <hyperlink r:id="rId25" ref="C26"/>
    <hyperlink r:id="rId26" location="gid=1293119058" ref="C27"/>
    <hyperlink r:id="rId27" location="gid=1078202975" ref="C28"/>
    <hyperlink r:id="rId28" location="gid=677594614" ref="C29"/>
    <hyperlink r:id="rId29" location="gid=237537826" ref="C30"/>
    <hyperlink r:id="rId30" location="gid=1394394135" ref="C31"/>
    <hyperlink r:id="rId31" location="gid=11668175" ref="C32"/>
    <hyperlink r:id="rId32" location="gid=1918850643" ref="C33"/>
    <hyperlink r:id="rId33" location="gid=931158059" ref="C34"/>
    <hyperlink r:id="rId34" location="gid=1923005921" ref="C35"/>
    <hyperlink r:id="rId35" location="gid=494709066" ref="C36"/>
  </hyperlinks>
  <drawing r:id="rId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8"/>
    <col customWidth="1" min="2" max="2" width="6.38"/>
    <col customWidth="1" min="3" max="4" width="25.13"/>
    <col customWidth="1" min="5" max="5" width="37.63"/>
    <col customWidth="1" min="6" max="6" width="8.88"/>
    <col customWidth="1" min="7" max="7" width="87.63"/>
    <col customWidth="1" min="8" max="8" width="31.38"/>
    <col customWidth="1" min="9" max="16" width="5.13"/>
    <col customWidth="1" min="17" max="17" width="50.13"/>
  </cols>
  <sheetData>
    <row r="1">
      <c r="A1" s="1" t="b">
        <v>1</v>
      </c>
      <c r="B1" s="1" t="s">
        <v>0</v>
      </c>
      <c r="C1" s="2" t="s">
        <v>1</v>
      </c>
      <c r="D1" s="2" t="s">
        <v>2</v>
      </c>
      <c r="E1" s="2" t="s">
        <v>3</v>
      </c>
      <c r="F1" s="2" t="s">
        <v>4</v>
      </c>
      <c r="G1" s="2" t="s">
        <v>5</v>
      </c>
      <c r="H1" s="2" t="s">
        <v>6</v>
      </c>
      <c r="I1" s="28" t="s">
        <v>7</v>
      </c>
      <c r="J1" s="28" t="s">
        <v>8</v>
      </c>
      <c r="K1" s="28" t="s">
        <v>9</v>
      </c>
      <c r="L1" s="28" t="s">
        <v>10</v>
      </c>
      <c r="M1" s="28" t="s">
        <v>11</v>
      </c>
      <c r="N1" s="28" t="s">
        <v>12</v>
      </c>
      <c r="O1" s="4" t="s">
        <v>13</v>
      </c>
      <c r="P1" s="4" t="s">
        <v>14</v>
      </c>
      <c r="Q1" s="2" t="s">
        <v>15</v>
      </c>
    </row>
    <row r="2">
      <c r="A2" s="29" t="b">
        <v>1</v>
      </c>
      <c r="B2" s="29" t="s">
        <v>25</v>
      </c>
      <c r="C2" s="20" t="str">
        <f>IF(ISBLANK(B2), "", VLOOKUP(B2, Candidates!B$2:H$1447, 2, FALSE))</f>
        <v>10.1145/3444689</v>
      </c>
      <c r="D2" s="7" t="str">
        <f>IF(ISBLANK(B2), "", VLOOKUP(B2, Candidates!B$2:H$1447, 3, FALSE))</f>
        <v>Zhao L.; Alhoshan W.; Ferrari A.; Letsholo K.J.; Ajagbe M.A.; Chioasca E.-V.; Batista-Navarro R.T.</v>
      </c>
      <c r="E2" s="7" t="str">
        <f>IF(ISBLANK(B2), "", VLOOKUP(B2, Candidates!B$2:H$1447, 4, FALSE))</f>
        <v>Natural Language Processing for Requirements Engineering</v>
      </c>
      <c r="F2" s="20" t="str">
        <f>IF(ISBLANK(B2), "", VLOOKUP(B2, Candidates!B$2:H$1447, 5, FALSE))</f>
        <v>CSUR</v>
      </c>
      <c r="G2" s="7" t="str">
        <f>IF(ISBLANK(B2), "", VLOOKUP(B2, Candidates!B$2:H$1447, 6, FALSE))</f>
        <v>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 2021 ACM.</v>
      </c>
      <c r="H2" s="7" t="str">
        <f>IF(ISBLANK(B2), "", VLOOKUP(B2, Candidates!B$2:H$1447, 7, FALSE))</f>
        <v>natural language processing (NLP); Requirements engineering (RE); software engineering (SE); systematic mapping study; systematic review</v>
      </c>
      <c r="I2" s="30" t="b">
        <v>0</v>
      </c>
      <c r="J2" s="9" t="b">
        <v>0</v>
      </c>
      <c r="K2" s="9" t="b">
        <v>0</v>
      </c>
      <c r="L2" s="10" t="b">
        <v>0</v>
      </c>
      <c r="M2" s="9" t="b">
        <v>0</v>
      </c>
      <c r="N2" s="31" t="b">
        <v>0</v>
      </c>
      <c r="O2" s="10" t="b">
        <f t="shared" ref="O2:O21" si="1">AND(I2,J2,K2,NOT(L2),NOT(M2),NOT(N2))</f>
        <v>0</v>
      </c>
      <c r="P2" s="32" t="b">
        <v>0</v>
      </c>
      <c r="Q2" s="13" t="s">
        <v>1515</v>
      </c>
    </row>
    <row r="3">
      <c r="A3" s="29" t="b">
        <v>1</v>
      </c>
      <c r="B3" s="29" t="s">
        <v>28</v>
      </c>
      <c r="C3" s="20" t="str">
        <f>IF(ISBLANK(B3), "", VLOOKUP(B3, Candidates!B$2:H$1447, 2, FALSE))</f>
        <v>10.1145/2699688</v>
      </c>
      <c r="D3" s="7" t="str">
        <f>IF(ISBLANK(B3), "", VLOOKUP(B3, Candidates!B$2:H$1447, 3, FALSE))</f>
        <v>Fraser G.; Staats M.; McMinn P.; Arcuri A.; Padberg F.</v>
      </c>
      <c r="E3" s="7" t="str">
        <f>IF(ISBLANK(B3), "", VLOOKUP(B3, Candidates!B$2:H$1447, 4, FALSE))</f>
        <v>Does automated unit test generation really help software testers? A controlled empirical study</v>
      </c>
      <c r="F3" s="20" t="str">
        <f>IF(ISBLANK(B3), "", VLOOKUP(B3, Candidates!B$2:H$1447, 5, FALSE))</f>
        <v>TOSEM</v>
      </c>
      <c r="G3" s="7" t="str">
        <f>IF(ISBLANK(B3), "", VLOOKUP(B3, Candidates!B$2:H$1447, 6, FALSE))</f>
        <v>Work on automated test generation has produced several tools capable of generating test data which achieves high structural coverage over a program. In the absence of a specification, developers are expected to manually construct or verify the test oracle for each test input. Nevertheless, it is assumed that these generated tests ease the task of testing for the developer, as testing is reduced to checking the results of tests. While this assumption has persisted for decades, there has been no conclusive evidence to date confirming it. However, the limited adoption in industry indicates this assumption may not be correct, and calls into question the practical value of test generation tools. To investigate this issue, we performed two controlled experiments comparing a total of 97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2015 ACM.</v>
      </c>
      <c r="H3" s="7" t="str">
        <f>IF(ISBLANK(B3), "", VLOOKUP(B3, Candidates!B$2:H$1447, 7, FALSE))</f>
        <v>Automated test generation; Branch coverage; Empirical software engineering; Unit testing</v>
      </c>
      <c r="I3" s="30" t="b">
        <v>1</v>
      </c>
      <c r="J3" s="10" t="b">
        <v>0</v>
      </c>
      <c r="K3" s="10" t="b">
        <v>0</v>
      </c>
      <c r="L3" s="10" t="b">
        <v>0</v>
      </c>
      <c r="M3" s="10" t="b">
        <v>0</v>
      </c>
      <c r="N3" s="31" t="b">
        <v>0</v>
      </c>
      <c r="O3" s="10" t="b">
        <f t="shared" si="1"/>
        <v>0</v>
      </c>
      <c r="P3" s="31" t="b">
        <v>0</v>
      </c>
      <c r="Q3" s="7"/>
    </row>
    <row r="4">
      <c r="A4" s="29" t="b">
        <v>1</v>
      </c>
      <c r="B4" s="29" t="s">
        <v>33</v>
      </c>
      <c r="C4" s="20" t="str">
        <f>IF(ISBLANK(B4), "", VLOOKUP(B4, Candidates!B$2:H$1447, 2, FALSE))</f>
        <v>10.1145/2904904</v>
      </c>
      <c r="D4" s="7" t="str">
        <f>IF(ISBLANK(B4), "", VLOOKUP(B4, Candidates!B$2:H$1447, 3, FALSE))</f>
        <v>Baki I.; Sahraoui H.</v>
      </c>
      <c r="E4" s="7" t="str">
        <f>IF(ISBLANK(B4), "", VLOOKUP(B4, Candidates!B$2:H$1447, 4, FALSE))</f>
        <v>Multi-step learning and adaptive search for learning complex model transformations from examples</v>
      </c>
      <c r="F4" s="20" t="str">
        <f>IF(ISBLANK(B4), "", VLOOKUP(B4, Candidates!B$2:H$1447, 5, FALSE))</f>
        <v>TOSEM</v>
      </c>
      <c r="G4" s="7" t="str">
        <f>IF(ISBLANK(B4), "", VLOOKUP(B4, Candidates!B$2:H$1447, 6, FALSE))</f>
        <v>Model-driven engineering promotes models as main development artifacts. As several models may be manipulated during the software-development life cycle, model transformations ensure their consistency by automating model generation and update tasks. However, writing model transformations requires much knowledge and effort that detract from their benefits. To address this issue, Model Transformation by Example (MTBE) aims to learn transformation programs from source and target model pairs supplied as examples. In this article, we tackle the fundamental issues that prevent the existing MTBE approaches from efficiently solving the problem of learning model transformations. We show that, when considering complex transformations, the search space is too large to be explored by naive search techniques. We propose an MTBE process to learn complex model transformations by considering three common requirements: element context and state dependencies and complex value derivation. Our process relies on two strategies to reduce the size of the search space and to better explore it, namely, multi-step learning and adaptive search. We experimentally evaluate our approach on seven model transformation problems. The learned transformation programs are able to produce perfect target models in three transformation cases, whereas precision and recall values larger than 90% are recorded for the four remaining cases. © 2016 ACM.</v>
      </c>
      <c r="H4" s="7" t="str">
        <f>IF(ISBLANK(B4), "", VLOOKUP(B4, Candidates!B$2:H$1447, 7, FALSE))</f>
        <v>Genetic programming; Model transformation; Model transformation by example; Model-driven engineering; Simulated annealing</v>
      </c>
      <c r="I4" s="33" t="b">
        <v>0</v>
      </c>
      <c r="J4" s="10" t="b">
        <v>0</v>
      </c>
      <c r="K4" s="10" t="b">
        <v>0</v>
      </c>
      <c r="L4" s="10" t="b">
        <v>0</v>
      </c>
      <c r="M4" s="10" t="b">
        <v>0</v>
      </c>
      <c r="N4" s="31" t="b">
        <v>0</v>
      </c>
      <c r="O4" s="10" t="b">
        <f t="shared" si="1"/>
        <v>0</v>
      </c>
      <c r="P4" s="31" t="b">
        <v>0</v>
      </c>
      <c r="Q4" s="7"/>
    </row>
    <row r="5">
      <c r="A5" s="29" t="b">
        <v>1</v>
      </c>
      <c r="B5" s="29" t="s">
        <v>35</v>
      </c>
      <c r="C5" s="20" t="str">
        <f>IF(ISBLANK(B5), "", VLOOKUP(B5, Candidates!B$2:H$1447, 2, FALSE))</f>
        <v>10.1145/2491509.2491515</v>
      </c>
      <c r="D5" s="7" t="str">
        <f>IF(ISBLANK(B5), "", VLOOKUP(B5, Candidates!B$2:H$1447, 3, FALSE))</f>
        <v>Falessi D.; Briand L.C.; Cantone G.; Capilla R.; Kruchten P.</v>
      </c>
      <c r="E5" s="7" t="str">
        <f>IF(ISBLANK(B5), "", VLOOKUP(B5, Candidates!B$2:H$1447, 4, FALSE))</f>
        <v>The value of design rationale information</v>
      </c>
      <c r="F5" s="20" t="str">
        <f>IF(ISBLANK(B5), "", VLOOKUP(B5, Candidates!B$2:H$1447, 5, FALSE))</f>
        <v>TOSEM</v>
      </c>
      <c r="G5" s="7" t="str">
        <f>IF(ISBLANK(B5), "", VLOOKUP(B5, Candidates!B$2:H$1447, 6, FALSE))</f>
        <v>A complete and detailed (full) Design Rationale Documentation (DRD) could support many software development activities, such as an impact analysis or a major redesign. However, this is typically too onerous for systematic industrial use as it is not cost effective to write, maintain, or read. The key idea investigated in this article is that DRD should be developed only to the extent required to support activities particularly difficult to execute or in need of significant improvement in a particular context. The aim of this article is to empirically investigate the customization of the DRD by documenting only the information items that will probably be required for executing an activity. This customization strategy relies on the hypothesis that the value of a specific DRD information item depends on its category (e.g., assumptions, related requirements, etc.) and on the activity it is meant to support. We investigate this hypothesis through two controlled experiments involving a total of 75 master students as experimental subjects. Results show that the value of a DRD information item significantly depends on its category and, within a given category, on the activity it supports. Furthermore, on average among activities, documenting only the information items that have been required at least half of the time (i.e., the information that will probably be required in the future) leads to a customized DRD containing about half the information items of a full documentation. We expect that such a significant reduction in DRD information should mitigate the effects of some inhibitors that currently prevent practitioners from documenting design decision rationale. © 2013 ACM.</v>
      </c>
      <c r="H5" s="7" t="str">
        <f>IF(ISBLANK(B5), "", VLOOKUP(B5, Candidates!B$2:H$1447, 7, FALSE))</f>
        <v>Design decisions; Empirical software engineering; Software architecture; Software maintenance; Value-based software engineering</v>
      </c>
      <c r="I5" s="30" t="b">
        <v>1</v>
      </c>
      <c r="J5" s="9" t="b">
        <v>0</v>
      </c>
      <c r="K5" s="10" t="b">
        <v>0</v>
      </c>
      <c r="L5" s="10" t="b">
        <v>0</v>
      </c>
      <c r="M5" s="10" t="b">
        <v>0</v>
      </c>
      <c r="N5" s="31" t="b">
        <v>0</v>
      </c>
      <c r="O5" s="10" t="b">
        <f t="shared" si="1"/>
        <v>0</v>
      </c>
      <c r="P5" s="31" t="b">
        <v>0</v>
      </c>
      <c r="Q5" s="13" t="s">
        <v>1516</v>
      </c>
    </row>
    <row r="6">
      <c r="A6" s="29" t="b">
        <v>1</v>
      </c>
      <c r="B6" s="29" t="s">
        <v>45</v>
      </c>
      <c r="C6" s="20" t="str">
        <f>IF(ISBLANK(B6), "", VLOOKUP(B6, Candidates!B$2:H$1447, 2, FALSE))</f>
        <v>10.1145/3517194</v>
      </c>
      <c r="D6" s="7" t="str">
        <f>IF(ISBLANK(B6), "", VLOOKUP(B6, Candidates!B$2:H$1447, 3, FALSE))</f>
        <v>Waga M.; André É.; Hasuo I.</v>
      </c>
      <c r="E6" s="7" t="str">
        <f>IF(ISBLANK(B6), "", VLOOKUP(B6, Candidates!B$2:H$1447, 4, FALSE))</f>
        <v>Parametric Timed Pattern Matching</v>
      </c>
      <c r="F6" s="20" t="str">
        <f>IF(ISBLANK(B6), "", VLOOKUP(B6, Candidates!B$2:H$1447, 5, FALSE))</f>
        <v>TOSEM</v>
      </c>
      <c r="G6" s="7" t="str">
        <f>IF(ISBLANK(B6), "", VLOOKUP(B6, Candidates!B$2:H$1447, 6, FALSE))</f>
        <v>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v>
      </c>
      <c r="H6" s="7" t="str">
        <f>IF(ISBLANK(B6), "", VLOOKUP(B6, Candidates!B$2:H$1447, 7, FALSE))</f>
        <v>Monitoring; parametric timed automata; real-time systems</v>
      </c>
      <c r="I6" s="33" t="b">
        <v>0</v>
      </c>
      <c r="J6" s="9" t="b">
        <v>1</v>
      </c>
      <c r="K6" s="10" t="b">
        <v>0</v>
      </c>
      <c r="L6" s="10" t="b">
        <v>0</v>
      </c>
      <c r="M6" s="10" t="b">
        <v>0</v>
      </c>
      <c r="N6" s="31" t="b">
        <v>0</v>
      </c>
      <c r="O6" s="10" t="b">
        <f t="shared" si="1"/>
        <v>0</v>
      </c>
      <c r="P6" s="31" t="b">
        <v>0</v>
      </c>
      <c r="Q6" s="13" t="s">
        <v>1517</v>
      </c>
    </row>
    <row r="7">
      <c r="A7" s="29" t="b">
        <v>1</v>
      </c>
      <c r="B7" s="29" t="s">
        <v>49</v>
      </c>
      <c r="C7" s="20" t="str">
        <f>IF(ISBLANK(B7), "", VLOOKUP(B7, Candidates!B$2:H$1447, 2, FALSE))</f>
        <v>10.1145/3419017</v>
      </c>
      <c r="D7" s="7" t="str">
        <f>IF(ISBLANK(B7), "", VLOOKUP(B7, Candidates!B$2:H$1447, 3, FALSE))</f>
        <v>Ohrndorf M.; Pietsch C.; Kelter U.; Grunske L.; Kehrer T.</v>
      </c>
      <c r="E7" s="7" t="str">
        <f>IF(ISBLANK(B7), "", VLOOKUP(B7, Candidates!B$2:H$1447, 4, FALSE))</f>
        <v>History-based Model Repair Recommendations</v>
      </c>
      <c r="F7" s="20" t="str">
        <f>IF(ISBLANK(B7), "", VLOOKUP(B7, Candidates!B$2:H$1447, 5, FALSE))</f>
        <v>TOSEM</v>
      </c>
      <c r="G7" s="7" t="str">
        <f>IF(ISBLANK(B7), "", VLOOKUP(B7, Candidates!B$2:H$1447, 6, FALSE))</f>
        <v>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v>
      </c>
      <c r="H7" s="7" t="str">
        <f>IF(ISBLANK(B7), "", VLOOKUP(B7, Candidates!B$2:H$1447, 7, FALSE))</f>
        <v>consistency; history analysis; Model repair; recommendations</v>
      </c>
      <c r="I7" s="33" t="b">
        <v>0</v>
      </c>
      <c r="J7" s="10" t="b">
        <v>0</v>
      </c>
      <c r="K7" s="10" t="b">
        <v>0</v>
      </c>
      <c r="L7" s="10" t="b">
        <v>0</v>
      </c>
      <c r="M7" s="10" t="b">
        <v>0</v>
      </c>
      <c r="N7" s="31" t="b">
        <v>0</v>
      </c>
      <c r="O7" s="10" t="b">
        <f t="shared" si="1"/>
        <v>0</v>
      </c>
      <c r="P7" s="31" t="b">
        <v>0</v>
      </c>
      <c r="Q7" s="7"/>
    </row>
    <row r="8">
      <c r="A8" s="29" t="b">
        <v>1</v>
      </c>
      <c r="B8" s="29" t="s">
        <v>53</v>
      </c>
      <c r="C8" s="20" t="str">
        <f>IF(ISBLANK(B8), "", VLOOKUP(B8, Candidates!B$2:H$1447, 2, FALSE))</f>
        <v>10.1145/3306608</v>
      </c>
      <c r="D8" s="7" t="str">
        <f>IF(ISBLANK(B8), "", VLOOKUP(B8, Candidates!B$2:H$1447, 3, FALSE))</f>
        <v>Czepa C.; Zdun U.</v>
      </c>
      <c r="E8" s="7" t="str">
        <f>IF(ISBLANK(B8), "", VLOOKUP(B8, Candidates!B$2:H$1447, 4, FALSE))</f>
        <v>How understandable are pattern-based behavioral constraints for novice software designers?</v>
      </c>
      <c r="F8" s="20" t="str">
        <f>IF(ISBLANK(B8), "", VLOOKUP(B8, Candidates!B$2:H$1447, 5, FALSE))</f>
        <v>TOSEM</v>
      </c>
      <c r="G8" s="7" t="str">
        <f>IF(ISBLANK(B8), "", VLOOKUP(B8, Candidates!B$2:H$1447, 6, FALSE))</f>
        <v>This article reports a controlled experiment with 116 participants on the understandability of representative graphical and textual pattern-based behavioral constraint representations from the viewpoint of novice software designers. Particularly, graphical and textual behavioral constraint patterns present in the declarative business process language Declare and textual behavioral constraints based on Property Specification Patterns are the subjects of this study. In addition to measuring the understandability construct, this study assesses subjective aspects such as perceived difficulties regarding learning and application of the tested approaches. An interesting finding of this study is the overall low achieved correctness in the experimental tasks, which seems to indicate that pattern-based behavioral constraint representations are hard to understand for novice software designers in the absence of additional supportive measures. The results of the descriptive statistics regarding achieved correctness are slightly in favor of the textual representations, but the inference statistics do not indicate any significant differences in terms of understandability between graphical and textual behavioral constraint representations. © 2019 Copyright held by the owner/author(s). Publication rights licensed to ACM.</v>
      </c>
      <c r="H8" s="7" t="str">
        <f>IF(ISBLANK(B8), "", VLOOKUP(B8, Candidates!B$2:H$1447, 7, FALSE))</f>
        <v>Behavioral constraints; Controlled experiment; Declarative business processes; Property specification patterns; Understandability</v>
      </c>
      <c r="I8" s="30" t="b">
        <v>1</v>
      </c>
      <c r="J8" s="10" t="b">
        <v>0</v>
      </c>
      <c r="K8" s="10" t="b">
        <v>0</v>
      </c>
      <c r="L8" s="10" t="b">
        <v>0</v>
      </c>
      <c r="M8" s="10" t="b">
        <v>0</v>
      </c>
      <c r="N8" s="31" t="b">
        <v>0</v>
      </c>
      <c r="O8" s="10" t="b">
        <f t="shared" si="1"/>
        <v>0</v>
      </c>
      <c r="P8" s="31" t="b">
        <v>0</v>
      </c>
      <c r="Q8" s="13" t="s">
        <v>1518</v>
      </c>
    </row>
    <row r="9">
      <c r="A9" s="29" t="b">
        <v>1</v>
      </c>
      <c r="B9" s="29" t="s">
        <v>58</v>
      </c>
      <c r="C9" s="20" t="str">
        <f>IF(ISBLANK(B9), "", VLOOKUP(B9, Candidates!B$2:H$1447, 2, FALSE))</f>
        <v>10.1145/2522920.2522929</v>
      </c>
      <c r="D9" s="7" t="str">
        <f>IF(ISBLANK(B9), "", VLOOKUP(B9, Candidates!B$2:H$1447, 3, FALSE))</f>
        <v>Lizcano D.; Alonso F.; Soriano J.; Lopez G.</v>
      </c>
      <c r="E9" s="7" t="str">
        <f>IF(ISBLANK(B9), "", VLOOKUP(B9, Candidates!B$2:H$1447, 4, FALSE))</f>
        <v>A web-centred approach to end-user software engineering</v>
      </c>
      <c r="F9" s="20" t="str">
        <f>IF(ISBLANK(B9), "", VLOOKUP(B9, Candidates!B$2:H$1447, 5, FALSE))</f>
        <v>TOSEM</v>
      </c>
      <c r="G9" s="7" t="str">
        <f>IF(ISBLANK(B9), "", VLOOKUP(B9, Candidates!B$2:H$1447, 6, FALSE))</f>
        <v>This article addresses one of the major end-user software engineering (EUSE) challenges, namely, how to motivate end users to apply unfamiliar software engineering techniques and activities to achieve their goal: translate requirements into software that meets their needs. EUSE activities are secondary to the goal that the program is helping to achieve and end-user programming is opportunistic. The challenge is then to find ways to incorporate EUSE activities into the existing workflow without users having to make substantial changes to the type of work they do or their priorities. In this article, we set out an approach to EUSE for webbased applications.We also propose a software lifecycle that is consistent with the conditions and priorities of end users without programming skills and is well-aligned with EUSE's characteristic informality, ambiguity and opportunisticness.Users applying this lifecyclemanage to find solutions tha theywould otherwise be unable to identify. They also develop quality products. Users of this approach will not have to be acquainted with software engineering, as a framework will take them through the web-centred EUSE lifecycle step-by-step. We also report a statistical experiment in which users develop web software with and without a framework to guide them through the lifecycle. Its aim is to validate the applicability of our framework-driven lifecycle. © 2013 ACM.</v>
      </c>
      <c r="H9" s="7" t="str">
        <f>IF(ISBLANK(B9), "", VLOOKUP(B9, Candidates!B$2:H$1447, 7, FALSE))</f>
        <v>End-user development; End-user programming; Human-computer interaction; Visual programming</v>
      </c>
      <c r="I9" s="30" t="b">
        <v>1</v>
      </c>
      <c r="J9" s="9" t="b">
        <v>1</v>
      </c>
      <c r="K9" s="9" t="b">
        <v>1</v>
      </c>
      <c r="L9" s="9" t="b">
        <v>0</v>
      </c>
      <c r="M9" s="10" t="b">
        <v>0</v>
      </c>
      <c r="N9" s="31" t="b">
        <v>0</v>
      </c>
      <c r="O9" s="10" t="b">
        <f t="shared" si="1"/>
        <v>1</v>
      </c>
      <c r="P9" s="32" t="b">
        <v>1</v>
      </c>
      <c r="Q9" s="13" t="s">
        <v>1519</v>
      </c>
    </row>
    <row r="10">
      <c r="A10" s="29" t="b">
        <v>1</v>
      </c>
      <c r="B10" s="29" t="s">
        <v>61</v>
      </c>
      <c r="C10" s="20" t="str">
        <f>IF(ISBLANK(B10), "", VLOOKUP(B10, Candidates!B$2:H$1447, 2, FALSE))</f>
        <v>10.1145/3450968</v>
      </c>
      <c r="D10" s="7" t="str">
        <f>IF(ISBLANK(B10), "", VLOOKUP(B10, Candidates!B$2:H$1447, 3, FALSE))</f>
        <v>Paulweber P.; Simhandl G.; Zdun U.</v>
      </c>
      <c r="E10" s="7" t="str">
        <f>IF(ISBLANK(B10), "", VLOOKUP(B10, Candidates!B$2:H$1447, 4, FALSE))</f>
        <v>Specifying with Interface and Trait Abstractions in Abstract State Machines: A Controlled Experiment</v>
      </c>
      <c r="F10" s="20" t="str">
        <f>IF(ISBLANK(B10), "", VLOOKUP(B10, Candidates!B$2:H$1447, 5, FALSE))</f>
        <v>TOSEM</v>
      </c>
      <c r="G10" s="7" t="str">
        <f>IF(ISBLANK(B10), "", VLOOKUP(B10, Candidates!B$2:H$1447, 6, FALSE))</f>
        <v>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v>
      </c>
      <c r="H10" s="7" t="str">
        <f>IF(ISBLANK(B10), "", VLOOKUP(B10, Candidates!B$2:H$1447, 7, FALSE))</f>
        <v>abstract state machines; CASM; controlled experiment; effectiveness; efficiency; Empirical software engineering; interfaces; language constructs; specification; traits</v>
      </c>
      <c r="I10" s="30" t="b">
        <v>1</v>
      </c>
      <c r="J10" s="9" t="b">
        <v>1</v>
      </c>
      <c r="K10" s="9" t="b">
        <v>1</v>
      </c>
      <c r="L10" s="10" t="b">
        <v>0</v>
      </c>
      <c r="M10" s="10" t="b">
        <v>0</v>
      </c>
      <c r="N10" s="31" t="b">
        <v>0</v>
      </c>
      <c r="O10" s="10" t="b">
        <f t="shared" si="1"/>
        <v>1</v>
      </c>
      <c r="P10" s="31" t="b">
        <v>0</v>
      </c>
      <c r="Q10" s="7"/>
    </row>
    <row r="11">
      <c r="A11" s="29" t="b">
        <v>1</v>
      </c>
      <c r="B11" s="29" t="s">
        <v>68</v>
      </c>
      <c r="C11" s="20" t="str">
        <f>IF(ISBLANK(B11), "", VLOOKUP(B11, Candidates!B$2:H$1447, 2, FALSE))</f>
        <v>10.1145/234426.234431</v>
      </c>
      <c r="D11" s="7" t="str">
        <f>IF(ISBLANK(B11), "", VLOOKUP(B11, Candidates!B$2:H$1447, 3, FALSE))</f>
        <v>Heitmeyer C.L.; Jeffords R.D.; Labaw B.G.</v>
      </c>
      <c r="E11" s="7" t="str">
        <f>IF(ISBLANK(B11), "", VLOOKUP(B11, Candidates!B$2:H$1447, 4, FALSE))</f>
        <v>Automated Consistency Checking of Requirements Specifications</v>
      </c>
      <c r="F11" s="20" t="str">
        <f>IF(ISBLANK(B11), "", VLOOKUP(B11, Candidates!B$2:H$1447, 5, FALSE))</f>
        <v>TOSEM</v>
      </c>
      <c r="G11" s="7" t="str">
        <f>IF(ISBLANK(B11), "", VLOOKUP(B11, Candidates!B$2:H$1447, 6, FALSE))</f>
        <v>This article describes a formal analysis technique, called consistency checking, for automatic detection of errors, such as type errors, nondeterminism, missing cases, and circular definitions, in requirements specifications. The technique is designed to analyze requirements specifications expressed in the SCR (Software Cost Reduction) tabular notation. As background, the SCR approach to specifying requirements is reviewed. To provide a formal semantics for the SCR notation and a foundation for consistency checking, a formal requirements model is introduced; the model represents a software system as a finite-state automaton, which produces externally visible outputs in response to changes in monitored environmental quantities. Results of two experiments are presented which evaluated the utility and scalability of our technique for consistency checking in a real-world avionics application. The role of consistency checking during the requirements phase of software development is discussed.</v>
      </c>
      <c r="H11" s="7" t="str">
        <f>IF(ISBLANK(B11), "", VLOOKUP(B11, Candidates!B$2:H$1447, 7, FALSE))</f>
        <v>D.2.1 [Software Engineering]: Requirements/Specifications; D.2.2 [Software Engineering]: Tools and Techniques; D.2.4 [Software Engineering]: Program Verification; D.2.7 [Software Engineering]: Distribution and Maintenance - Documentation</v>
      </c>
      <c r="I11" s="30" t="b">
        <v>1</v>
      </c>
      <c r="J11" s="9" t="b">
        <v>1</v>
      </c>
      <c r="K11" s="9" t="b">
        <v>1</v>
      </c>
      <c r="L11" s="10" t="b">
        <v>0</v>
      </c>
      <c r="M11" s="10" t="b">
        <v>0</v>
      </c>
      <c r="N11" s="31" t="b">
        <v>0</v>
      </c>
      <c r="O11" s="10" t="b">
        <f t="shared" si="1"/>
        <v>1</v>
      </c>
      <c r="P11" s="32" t="b">
        <v>1</v>
      </c>
      <c r="Q11" s="13" t="s">
        <v>1520</v>
      </c>
    </row>
    <row r="12">
      <c r="A12" s="29" t="b">
        <v>1</v>
      </c>
      <c r="B12" s="29" t="s">
        <v>71</v>
      </c>
      <c r="C12" s="20" t="str">
        <f>IF(ISBLANK(B12), "", VLOOKUP(B12, Candidates!B$2:H$1447, 2, FALSE))</f>
        <v>10.1145/2537853</v>
      </c>
      <c r="D12" s="7" t="str">
        <f>IF(ISBLANK(B12), "", VLOOKUP(B12, Candidates!B$2:H$1447, 3, FALSE))</f>
        <v>Harman M.; Krinke J.; Medina-Bulo I.; Palomo-Lozano F.; Ren J.; Yoo S.</v>
      </c>
      <c r="E12" s="7" t="str">
        <f>IF(ISBLANK(B12), "", VLOOKUP(B12, Candidates!B$2:H$1447, 4, FALSE))</f>
        <v>Exact scalable sensitivity analysis for the next release problem</v>
      </c>
      <c r="F12" s="20" t="str">
        <f>IF(ISBLANK(B12), "", VLOOKUP(B12, Candidates!B$2:H$1447, 5, FALSE))</f>
        <v>TOSEM</v>
      </c>
      <c r="G12" s="7" t="str">
        <f>IF(ISBLANK(B12), "", VLOOKUP(B12, Candidates!B$2:H$1447, 6, FALSE))</f>
        <v>The nature of the requirements analysis problem, based as it is on uncertain and often inaccurate estimates of costs and effort, makes sensitivity analysis important. Sensitivity analysis allows the decision maker to identify those requirements and budgets that are particularly sensitive to misestimation. However, finding scalable sensitivity analysis techniques is not easy because the underlying optimization problem is NP-hard. This article introduces an approach to sensitivity analysis based on exact optimization.We implemented this approach as a tool, OATSAC, which allowed us to experimentally evaluate the scalability and applicability of Requirements Sensitivity Analysis (RSA). Our results show that OATSAC scales sufficiently well for practical applications in Requirements Sensitivity Analysis. We also show how the sensitivity analysis can yield insights into difficult and otherwise obscure interactions between budgets, requirements costs, and estimate inaccuracies using a real-world case study. © 2014 ACM.</v>
      </c>
      <c r="H12" s="7" t="str">
        <f>IF(ISBLANK(B12), "", VLOOKUP(B12, Candidates!B$2:H$1447, 7, FALSE))</f>
        <v>Next release problem; Requirement engineering; Sensitivity analysis</v>
      </c>
      <c r="I12" s="33" t="b">
        <v>0</v>
      </c>
      <c r="J12" s="9" t="b">
        <v>1</v>
      </c>
      <c r="K12" s="9" t="b">
        <v>1</v>
      </c>
      <c r="L12" s="10" t="b">
        <v>0</v>
      </c>
      <c r="M12" s="10" t="b">
        <v>0</v>
      </c>
      <c r="N12" s="31" t="b">
        <v>0</v>
      </c>
      <c r="O12" s="10" t="b">
        <f t="shared" si="1"/>
        <v>0</v>
      </c>
      <c r="P12" s="32" t="b">
        <v>1</v>
      </c>
      <c r="Q12" s="13" t="s">
        <v>1521</v>
      </c>
    </row>
    <row r="13">
      <c r="A13" s="29" t="b">
        <v>1</v>
      </c>
      <c r="B13" s="29" t="s">
        <v>78</v>
      </c>
      <c r="C13" s="20" t="str">
        <f>IF(ISBLANK(B13), "", VLOOKUP(B13, Candidates!B$2:H$1447, 2, FALSE))</f>
        <v>10.1145/2629457</v>
      </c>
      <c r="D13" s="7" t="str">
        <f>IF(ISBLANK(B13), "", VLOOKUP(B13, Candidates!B$2:H$1447, 3, FALSE))</f>
        <v>Ricca F.; Scanniello G.; Torchiano M.; Reggio G.; Astesiano E.</v>
      </c>
      <c r="E13" s="7" t="str">
        <f>IF(ISBLANK(B13), "", VLOOKUP(B13, Candidates!B$2:H$1447, 4, FALSE))</f>
        <v>Assessing the effect of screen mockups on the comprehension of functional requirements</v>
      </c>
      <c r="F13" s="20" t="str">
        <f>IF(ISBLANK(B13), "", VLOOKUP(B13, Candidates!B$2:H$1447, 5, FALSE))</f>
        <v>TOSEM</v>
      </c>
      <c r="G13" s="7" t="str">
        <f>IF(ISBLANK(B13), "", VLOOKUP(B13, Candidates!B$2:H$1447, 6, FALSE))</f>
        <v>Over the last few years, the software engineering community has proposed a number of modeling methods to represent functional requirements. Among them, use cases are recognized as an easy to use and intuitive way to capture and define such requirements. Screen mockups (also called user-interface sketches or user interface-mockups) have been proposed as a complement to use cases for improving the comprehension of functional requirements. In this article, we aim at quantifying the benefits achievable by augmenting use cases with screen mockups in the comprehension of functional requirements with respect to effectiveness, effort, and efficiency. For this purpose, we conducted a family of four controlled experiments, involving 139 participants having different profiles. The experiments involved comprehension tasks performed on the requirements documents of two desktop applications. Independently from the participants' profile, we found a statistically significant large effect of the presence of screen mockups on both comprehension effectiveness and comprehension task efficiency. No significant effect was observed on the effort to complete tasks. The main pragmatic lesson is that the screen mockups addition to use cases is able to almost double the efficiency of comprehension tasks. © 2014 ACM.</v>
      </c>
      <c r="H13" s="7" t="str">
        <f>IF(ISBLANK(B13), "", VLOOKUP(B13, Candidates!B$2:H$1447, 7, FALSE))</f>
        <v>analysis models; controlled experiment; family of experiments; replicated experiments; Screen mockups; use cases</v>
      </c>
      <c r="I13" s="30" t="b">
        <v>1</v>
      </c>
      <c r="J13" s="9" t="b">
        <v>1</v>
      </c>
      <c r="K13" s="9" t="b">
        <v>1</v>
      </c>
      <c r="L13" s="10" t="b">
        <v>0</v>
      </c>
      <c r="M13" s="10" t="b">
        <v>0</v>
      </c>
      <c r="N13" s="31" t="b">
        <v>0</v>
      </c>
      <c r="O13" s="10" t="b">
        <f t="shared" si="1"/>
        <v>1</v>
      </c>
      <c r="P13" s="31" t="b">
        <v>0</v>
      </c>
      <c r="Q13" s="7"/>
    </row>
    <row r="14">
      <c r="A14" s="29" t="b">
        <v>1</v>
      </c>
      <c r="B14" s="29" t="s">
        <v>80</v>
      </c>
      <c r="C14" s="20" t="str">
        <f>IF(ISBLANK(B14), "", VLOOKUP(B14, Candidates!B$2:H$1447, 2, FALSE))</f>
        <v>10.1145/128894.128897</v>
      </c>
      <c r="D14" s="7" t="str">
        <f>IF(ISBLANK(B14), "", VLOOKUP(B14, Candidates!B$2:H$1447, 3, FALSE))</f>
        <v>Schneider G.M.; Martin J.; Tsai W.T.</v>
      </c>
      <c r="E14" s="7" t="str">
        <f>IF(ISBLANK(B14), "", VLOOKUP(B14, Candidates!B$2:H$1447, 4, FALSE))</f>
        <v>An Experimental Study of Fault Detection in User Requirements Documents</v>
      </c>
      <c r="F14" s="20" t="str">
        <f>IF(ISBLANK(B14), "", VLOOKUP(B14, Candidates!B$2:H$1447, 5, FALSE))</f>
        <v>TOSEM</v>
      </c>
      <c r="G14" s="7" t="str">
        <f>IF(ISBLANK(B14), "", VLOOKUP(B14, Candidates!B$2:H$1447, 6, FALSE))</f>
        <v>This paper describes a software engineering experiment designed to confirm results from an earlier project which measured fault detection rates in user requirements documents 1992. The experiment described in this paper involves the creation of a standardized URD with a known number of injected faults of specific type. Nine independent inspection teams were given this URD with instructions to locate as many faults as possible using the N-fold requirements inspection technique developed by the authors. Results obtained from this experiment confirm earlier conclusions about the low rate of fault detection in requirements documents using formal inspections and the advantages to be gained using the N-fold inspection method. The experiment also provides new results concerning variability in inspection team performance and the relative difficulty of locating different classes of URD faults. © 1992, ACM. All rights reserved.</v>
      </c>
      <c r="H14" s="7" t="str">
        <f>IF(ISBLANK(B14), "", VLOOKUP(B14, Candidates!B$2:H$1447, 7, FALSE))</f>
        <v>fault detection; inspections; user requirements</v>
      </c>
      <c r="I14" s="30" t="b">
        <v>1</v>
      </c>
      <c r="J14" s="9" t="b">
        <v>1</v>
      </c>
      <c r="K14" s="10" t="b">
        <v>0</v>
      </c>
      <c r="L14" s="10" t="b">
        <v>0</v>
      </c>
      <c r="M14" s="10" t="b">
        <v>0</v>
      </c>
      <c r="N14" s="31" t="b">
        <v>0</v>
      </c>
      <c r="O14" s="10" t="b">
        <f t="shared" si="1"/>
        <v>0</v>
      </c>
      <c r="P14" s="31" t="b">
        <v>0</v>
      </c>
      <c r="Q14" s="13" t="s">
        <v>1522</v>
      </c>
    </row>
    <row r="15">
      <c r="A15" s="29" t="b">
        <v>1</v>
      </c>
      <c r="B15" s="29" t="s">
        <v>81</v>
      </c>
      <c r="C15" s="20" t="str">
        <f>IF(ISBLANK(B15), "", VLOOKUP(B15, Candidates!B$2:H$1447, 2, FALSE))</f>
        <v>10.1145/2491912</v>
      </c>
      <c r="D15" s="7" t="str">
        <f>IF(ISBLANK(B15), "", VLOOKUP(B15, Candidates!B$2:H$1447, 3, FALSE))</f>
        <v>Scanniello G.; Gravino C.; Genero M.; Cruz-Lemus J.A.; Tortora G.</v>
      </c>
      <c r="E15" s="7" t="str">
        <f>IF(ISBLANK(B15), "", VLOOKUP(B15, Candidates!B$2:H$1447, 4, FALSE))</f>
        <v>On the impact of UML analysis models on source-code comprehensibility and modifiability</v>
      </c>
      <c r="F15" s="20" t="str">
        <f>IF(ISBLANK(B15), "", VLOOKUP(B15, Candidates!B$2:H$1447, 5, FALSE))</f>
        <v>TOSEM</v>
      </c>
      <c r="G15" s="7" t="str">
        <f>IF(ISBLANK(B15), "", VLOOKUP(B15, Candidates!B$2:H$1447, 6, FALSE))</f>
        <v>We carried out a family of experiments to investigate whether the use of UML models produced in the requirements analysis process helps in the comprehensibility and modifiability of source code. The family consists of a controlled experiment and 3 external replications carried out with students and professionals from Italy and Spain. 86 participants with different abilities and levels of experience with UML took part. The results of the experiments were integrated through the use of meta-analysis. The results of both the individual experiments and meta-analysis indicate that UML models produced in the requirements analysis process influence neither the comprehensibility of source code nor its modifiability. © 2014 ACM.</v>
      </c>
      <c r="H15" s="7" t="str">
        <f>IF(ISBLANK(B15), "", VLOOKUP(B15, Candidates!B$2:H$1447, 7, FALSE))</f>
        <v>Analysis models; Comprehensibility; Controlled experiment; Family of experiments; Maintenance; Modifiability; Replicated experiments; UML</v>
      </c>
      <c r="I15" s="30" t="b">
        <v>1</v>
      </c>
      <c r="J15" s="9" t="b">
        <v>1</v>
      </c>
      <c r="K15" s="9" t="b">
        <v>1</v>
      </c>
      <c r="L15" s="10" t="b">
        <v>0</v>
      </c>
      <c r="M15" s="10" t="b">
        <v>0</v>
      </c>
      <c r="N15" s="31" t="b">
        <v>0</v>
      </c>
      <c r="O15" s="10" t="b">
        <f t="shared" si="1"/>
        <v>1</v>
      </c>
      <c r="P15" s="31" t="b">
        <v>0</v>
      </c>
      <c r="Q15" s="7"/>
    </row>
    <row r="16">
      <c r="A16" s="29" t="b">
        <v>1</v>
      </c>
      <c r="B16" s="29" t="s">
        <v>85</v>
      </c>
      <c r="C16" s="20" t="str">
        <f>IF(ISBLANK(B16), "", VLOOKUP(B16, Candidates!B$2:H$1447, 2, FALSE))</f>
        <v>10.1109/TSE.2019.2901468</v>
      </c>
      <c r="D16" s="7" t="str">
        <f>IF(ISBLANK(B16), "", VLOOKUP(B16, Candidates!B$2:H$1447, 3, FALSE))</f>
        <v>Scalabrino S.; Bavota G.; Vendome C.; Linares-Vasquez M.; Poshyvanyk D.; Oliveto R.</v>
      </c>
      <c r="E16" s="7" t="str">
        <f>IF(ISBLANK(B16), "", VLOOKUP(B16, Candidates!B$2:H$1447, 4, FALSE))</f>
        <v>Automatically Assessing Code Understandability</v>
      </c>
      <c r="F16" s="20" t="str">
        <f>IF(ISBLANK(B16), "", VLOOKUP(B16, Candidates!B$2:H$1447, 5, FALSE))</f>
        <v>TSE</v>
      </c>
      <c r="G16" s="7" t="str">
        <f>IF(ISBLANK(B16), "", VLOOKUP(B16, Candidates!B$2:H$1447, 6, FALSE))</f>
        <v>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v>
      </c>
      <c r="H16" s="7" t="str">
        <f>IF(ISBLANK(B16), "", VLOOKUP(B16, Candidates!B$2:H$1447, 7, FALSE))</f>
        <v>code understandability; empirical study; negative result; Software metrics</v>
      </c>
      <c r="I16" s="30" t="b">
        <v>1</v>
      </c>
      <c r="J16" s="10" t="b">
        <v>0</v>
      </c>
      <c r="K16" s="10" t="b">
        <v>0</v>
      </c>
      <c r="L16" s="10" t="b">
        <v>0</v>
      </c>
      <c r="M16" s="10" t="b">
        <v>0</v>
      </c>
      <c r="N16" s="31" t="b">
        <v>0</v>
      </c>
      <c r="O16" s="10" t="b">
        <f t="shared" si="1"/>
        <v>0</v>
      </c>
      <c r="P16" s="31" t="b">
        <v>0</v>
      </c>
      <c r="Q16" s="7"/>
    </row>
    <row r="17">
      <c r="A17" s="29" t="b">
        <v>1</v>
      </c>
      <c r="B17" s="29" t="s">
        <v>91</v>
      </c>
      <c r="C17" s="20" t="str">
        <f>IF(ISBLANK(B17), "", VLOOKUP(B17, Candidates!B$2:H$1447, 2, FALSE))</f>
        <v>10.1109/TSE.2018.2861735</v>
      </c>
      <c r="D17" s="7" t="str">
        <f>IF(ISBLANK(B17), "", VLOOKUP(B17, Candidates!B$2:H$1447, 3, FALSE))</f>
        <v>Falessi D.; Roll J.; Guo J.L.C.; Cleland-Huang J.</v>
      </c>
      <c r="E17" s="7" t="str">
        <f>IF(ISBLANK(B17), "", VLOOKUP(B17, Candidates!B$2:H$1447, 4, FALSE))</f>
        <v>Leveraging historical associations between requirements and source code to identify impacted classes</v>
      </c>
      <c r="F17" s="20" t="str">
        <f>IF(ISBLANK(B17), "", VLOOKUP(B17, Candidates!B$2:H$1447, 5, FALSE))</f>
        <v>TSE</v>
      </c>
      <c r="G17" s="7" t="str">
        <f>IF(ISBLANK(B17), "", VLOOKUP(B17, Candidates!B$2:H$1447, 6, FALSE))</f>
        <v>As new requirements are introduced and implemented in a software system, developers must identify the set of source code classes which need to be changed. Therefore, past effort has focused on predicting the set of classes impacted by a requirement. In this paper, we introduce and evaluate a new type of information based on the intuition that the set of requirements which are associated with historical changes to a specific class are likely to exhibit semantic similarity to new requirements which impact that class. This new Requirements to Requirements Set (R2RS) family of metrics captures the semantic similarity between a new requirement and the set of existing requirements previously associated with a class. The aim of this paper is to present and evaluate the usefulness of R2RS metrics in predicting the set of classes impacted by a requirement. We consider 18 different R2RS metrics by combining six natural language processing techniques to measure the semantic similarity among texts (e.g., VSM) and three distribution scores to compute overall similarity (e.g., average among similarity scores). We evaluate if R2RS is useful for predicting impacted classes in combination and against four other families of metrics that are based upon temporal locality of changes, direct similarity to code, complexity metrics, and code smells. Our evaluation features five classifiers and 78 releases belonging to four large open-source projects, which result in over 700,000 candidate impacted classes. Experimental results show that leveraging R2RS information increases the accuracy of predicting impacted classes practically by an average of more than 60 percent across the various classifiers and projects. © 1976-2012 IEEE.</v>
      </c>
      <c r="H17" s="7" t="str">
        <f>IF(ISBLANK(B17), "", VLOOKUP(B17, Candidates!B$2:H$1447, 7, FALSE))</f>
        <v>Impact analysis; mining software repositories; traceability</v>
      </c>
      <c r="I17" s="33" t="b">
        <v>0</v>
      </c>
      <c r="J17" s="9" t="b">
        <v>1</v>
      </c>
      <c r="K17" s="9" t="b">
        <v>1</v>
      </c>
      <c r="L17" s="10" t="b">
        <v>0</v>
      </c>
      <c r="M17" s="10" t="b">
        <v>0</v>
      </c>
      <c r="N17" s="31" t="b">
        <v>0</v>
      </c>
      <c r="O17" s="10" t="b">
        <f t="shared" si="1"/>
        <v>0</v>
      </c>
      <c r="P17" s="31" t="b">
        <v>0</v>
      </c>
      <c r="Q17" s="7"/>
    </row>
    <row r="18">
      <c r="A18" s="29" t="b">
        <v>1</v>
      </c>
      <c r="B18" s="29" t="s">
        <v>94</v>
      </c>
      <c r="C18" s="20" t="str">
        <f>IF(ISBLANK(B18), "", VLOOKUP(B18, Candidates!B$2:H$1447, 2, FALSE))</f>
        <v>10.1109/TSE.2021.3112503</v>
      </c>
      <c r="D18" s="7" t="str">
        <f>IF(ISBLANK(B18), "", VLOOKUP(B18, Candidates!B$2:H$1447, 3, FALSE))</f>
        <v>Mohanani R.; Ralph P.; Turhan B.; Mandic V.</v>
      </c>
      <c r="E18" s="7" t="str">
        <f>IF(ISBLANK(B18), "", VLOOKUP(B18, Candidates!B$2:H$1447, 4, FALSE))</f>
        <v>How Templated Requirements Specifications Inhibit Creativity in Software Engineering</v>
      </c>
      <c r="F18" s="20" t="str">
        <f>IF(ISBLANK(B18), "", VLOOKUP(B18, Candidates!B$2:H$1447, 5, FALSE))</f>
        <v>TSE</v>
      </c>
      <c r="G18" s="7" t="str">
        <f>IF(ISBLANK(B18), "", VLOOKUP(B18, Candidates!B$2:H$1447, 6, FALSE))</f>
        <v>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v>
      </c>
      <c r="H18" s="7" t="str">
        <f>IF(ISBLANK(B18), "", VLOOKUP(B18, Candidates!B$2:H$1447, 7, FALSE))</f>
        <v>Cognitive bias; critical thinking; fixation; protocol analysis; requirements; requirements engineering; software design</v>
      </c>
      <c r="I18" s="33" t="b">
        <v>0</v>
      </c>
      <c r="J18" s="9" t="b">
        <v>1</v>
      </c>
      <c r="K18" s="9" t="b">
        <v>1</v>
      </c>
      <c r="L18" s="10" t="b">
        <v>0</v>
      </c>
      <c r="M18" s="10" t="b">
        <v>0</v>
      </c>
      <c r="N18" s="31" t="b">
        <v>0</v>
      </c>
      <c r="O18" s="10" t="b">
        <f t="shared" si="1"/>
        <v>0</v>
      </c>
      <c r="P18" s="31" t="b">
        <v>0</v>
      </c>
      <c r="Q18" s="13" t="s">
        <v>1523</v>
      </c>
    </row>
    <row r="19">
      <c r="A19" s="29" t="b">
        <v>1</v>
      </c>
      <c r="B19" s="29" t="s">
        <v>104</v>
      </c>
      <c r="C19" s="20" t="str">
        <f>IF(ISBLANK(B19), "", VLOOKUP(B19, Candidates!B$2:H$1447, 2, FALSE))</f>
        <v>10.1109/TSE.2020.3027522</v>
      </c>
      <c r="D19" s="7" t="str">
        <f>IF(ISBLANK(B19), "", VLOOKUP(B19, Candidates!B$2:H$1447, 3, FALSE))</f>
        <v>Papis B.; Grochowski K.; Subzda K.; Sijko K.</v>
      </c>
      <c r="E19" s="7" t="str">
        <f>IF(ISBLANK(B19), "", VLOOKUP(B19, Candidates!B$2:H$1447, 4, FALSE))</f>
        <v>Experimental Evaluation of Test-Driven Development With Interns Working on a Real Industrial Project</v>
      </c>
      <c r="F19" s="20" t="str">
        <f>IF(ISBLANK(B19), "", VLOOKUP(B19, Candidates!B$2:H$1447, 5, FALSE))</f>
        <v>TSE</v>
      </c>
      <c r="G19" s="7" t="str">
        <f>IF(ISBLANK(B19), "", VLOOKUP(B19, Candidates!B$2:H$1447, 6, FALSE))</f>
        <v>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v>
      </c>
      <c r="H19" s="7" t="str">
        <f>IF(ISBLANK(B19), "", VLOOKUP(B19, Candidates!B$2:H$1447, 7, FALSE))</f>
        <v>Empirical software engineering; iterative test last development; Test driven development</v>
      </c>
      <c r="I19" s="30" t="b">
        <v>1</v>
      </c>
      <c r="J19" s="9" t="b">
        <v>1</v>
      </c>
      <c r="K19" s="9" t="b">
        <v>1</v>
      </c>
      <c r="L19" s="10" t="b">
        <v>0</v>
      </c>
      <c r="M19" s="10" t="b">
        <v>0</v>
      </c>
      <c r="N19" s="31" t="b">
        <v>0</v>
      </c>
      <c r="O19" s="10" t="b">
        <f t="shared" si="1"/>
        <v>1</v>
      </c>
      <c r="P19" s="31" t="b">
        <v>0</v>
      </c>
      <c r="Q19" s="7"/>
    </row>
    <row r="20">
      <c r="A20" s="29" t="b">
        <v>1</v>
      </c>
      <c r="B20" s="29" t="s">
        <v>105</v>
      </c>
      <c r="C20" s="20" t="str">
        <f>IF(ISBLANK(B20), "", VLOOKUP(B20, Candidates!B$2:H$1447, 2, FALSE))</f>
        <v>10.1109/TSE.2020.3014394</v>
      </c>
      <c r="D20" s="7" t="str">
        <f>IF(ISBLANK(B20), "", VLOOKUP(B20, Candidates!B$2:H$1447, 3, FALSE))</f>
        <v>Kallehbasti M.M.P.; Rossi M.; Baresi L.</v>
      </c>
      <c r="E20" s="7" t="str">
        <f>IF(ISBLANK(B20), "", VLOOKUP(B20, Candidates!B$2:H$1447, 4, FALSE))</f>
        <v>On How Bit-Vector Logic Can Help Verify LTL-Based Specifications</v>
      </c>
      <c r="F20" s="20" t="str">
        <f>IF(ISBLANK(B20), "", VLOOKUP(B20, Candidates!B$2:H$1447, 5, FALSE))</f>
        <v>TSE</v>
      </c>
      <c r="G20" s="7" t="str">
        <f>IF(ISBLANK(B20), "", VLOOKUP(B20, Candidates!B$2:H$1447, 6, FALSE))</f>
        <v>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v>
      </c>
      <c r="H20" s="7" t="str">
        <f>IF(ISBLANK(B20), "", VLOOKUP(B20, Candidates!B$2:H$1447, 7, FALSE))</f>
        <v>bit-vector logic; bounded satisfiability checking; Formal methods; linear temporal logic</v>
      </c>
      <c r="I20" s="33" t="b">
        <v>0</v>
      </c>
      <c r="J20" s="10" t="b">
        <v>0</v>
      </c>
      <c r="K20" s="10" t="b">
        <v>0</v>
      </c>
      <c r="L20" s="10" t="b">
        <v>0</v>
      </c>
      <c r="M20" s="10" t="b">
        <v>0</v>
      </c>
      <c r="N20" s="31" t="b">
        <v>0</v>
      </c>
      <c r="O20" s="10" t="b">
        <f t="shared" si="1"/>
        <v>0</v>
      </c>
      <c r="P20" s="31" t="b">
        <v>0</v>
      </c>
      <c r="Q20" s="7"/>
    </row>
    <row r="21">
      <c r="A21" s="29" t="b">
        <v>1</v>
      </c>
      <c r="B21" s="29" t="s">
        <v>107</v>
      </c>
      <c r="C21" s="20" t="str">
        <f>IF(ISBLANK(B21), "", VLOOKUP(B21, Candidates!B$2:H$1447, 2, FALSE))</f>
        <v>10.1109/32.988711</v>
      </c>
      <c r="D21" s="7" t="str">
        <f>IF(ISBLANK(B21), "", VLOOKUP(B21, Candidates!B$2:H$1447, 3, FALSE))</f>
        <v>Prechelt L.; Unger B.; Tichy W.F.; Brössler P.; Votta L.G.</v>
      </c>
      <c r="E21" s="7" t="str">
        <f>IF(ISBLANK(B21), "", VLOOKUP(B21, Candidates!B$2:H$1447, 4, FALSE))</f>
        <v>A controlled experiment in maintenance comparing design patterns to simpler solutions</v>
      </c>
      <c r="F21" s="20" t="str">
        <f>IF(ISBLANK(B21), "", VLOOKUP(B21, Candidates!B$2:H$1447, 5, FALSE))</f>
        <v>TSE</v>
      </c>
      <c r="G21" s="7" t="str">
        <f>IF(ISBLANK(B21), "", VLOOKUP(B21, Candidates!B$2:H$1447, 6, FALSE))</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21" s="7" t="str">
        <f>IF(ISBLANK(B21), "", VLOOKUP(B21, Candidates!B$2:H$1447, 7, FALSE))</f>
        <v>Change effort; Controlled experiment; Design alternatives; Design pattern; Maintenance</v>
      </c>
      <c r="I21" s="33" t="b">
        <v>0</v>
      </c>
      <c r="J21" s="10" t="b">
        <v>0</v>
      </c>
      <c r="K21" s="10" t="b">
        <v>0</v>
      </c>
      <c r="L21" s="10" t="b">
        <v>0</v>
      </c>
      <c r="M21" s="10" t="b">
        <v>0</v>
      </c>
      <c r="N21" s="31" t="b">
        <v>0</v>
      </c>
      <c r="O21" s="10" t="b">
        <f t="shared" si="1"/>
        <v>0</v>
      </c>
      <c r="P21" s="31" t="b">
        <v>0</v>
      </c>
      <c r="Q21" s="7"/>
    </row>
  </sheetData>
  <conditionalFormatting sqref="A2:A21">
    <cfRule type="cellIs" dxfId="4" priority="1" operator="equal">
      <formula>"TRUE"</formula>
    </cfRule>
  </conditionalFormatting>
  <conditionalFormatting sqref="I2:K21">
    <cfRule type="cellIs" dxfId="10" priority="2" operator="equal">
      <formula>"TRUE"</formula>
    </cfRule>
  </conditionalFormatting>
  <conditionalFormatting sqref="L2:N21">
    <cfRule type="cellIs" dxfId="11" priority="3" operator="equal">
      <formula>"TRUE"</formula>
    </cfRule>
  </conditionalFormatting>
  <conditionalFormatting sqref="O2:O21">
    <cfRule type="expression" dxfId="4" priority="4">
      <formula>AND(A2, O2)</formula>
    </cfRule>
  </conditionalFormatting>
  <conditionalFormatting sqref="P2:P21">
    <cfRule type="cellIs" dxfId="12" priority="5" operator="equal">
      <formula>"TRUE"</formula>
    </cfRule>
  </conditionalFormatting>
  <conditionalFormatting sqref="O2:O21">
    <cfRule type="expression" dxfId="13" priority="6">
      <formula>AND(A2, NOT(O2))</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8"/>
    <col customWidth="1" min="2" max="2" width="6.38"/>
    <col customWidth="1" min="3" max="4" width="25.13"/>
    <col customWidth="1" min="5" max="5" width="37.63"/>
    <col customWidth="1" min="6" max="6" width="8.88"/>
    <col customWidth="1" min="7" max="7" width="87.63"/>
    <col customWidth="1" min="8" max="8" width="31.38"/>
    <col customWidth="1" min="9" max="16" width="5.13"/>
    <col customWidth="1" min="17" max="17" width="50.13"/>
  </cols>
  <sheetData>
    <row r="1">
      <c r="A1" s="1" t="b">
        <v>1</v>
      </c>
      <c r="B1" s="1" t="s">
        <v>0</v>
      </c>
      <c r="C1" s="2" t="s">
        <v>1</v>
      </c>
      <c r="D1" s="2" t="s">
        <v>2</v>
      </c>
      <c r="E1" s="2" t="s">
        <v>3</v>
      </c>
      <c r="F1" s="2" t="s">
        <v>4</v>
      </c>
      <c r="G1" s="2" t="s">
        <v>5</v>
      </c>
      <c r="H1" s="2" t="s">
        <v>6</v>
      </c>
      <c r="I1" s="28" t="s">
        <v>7</v>
      </c>
      <c r="J1" s="28" t="s">
        <v>8</v>
      </c>
      <c r="K1" s="28" t="s">
        <v>9</v>
      </c>
      <c r="L1" s="28" t="s">
        <v>10</v>
      </c>
      <c r="M1" s="28" t="s">
        <v>11</v>
      </c>
      <c r="N1" s="28" t="s">
        <v>12</v>
      </c>
      <c r="O1" s="4" t="s">
        <v>13</v>
      </c>
      <c r="P1" s="4" t="s">
        <v>14</v>
      </c>
      <c r="Q1" s="2" t="s">
        <v>15</v>
      </c>
    </row>
    <row r="2">
      <c r="A2" s="29" t="b">
        <v>1</v>
      </c>
      <c r="B2" s="29" t="s">
        <v>32</v>
      </c>
      <c r="C2" s="20" t="str">
        <f>IF(ISBLANK(B2), "", VLOOKUP(B2, Candidates!B$2:H$1447, 2, FALSE))</f>
        <v>10.1145/2660767</v>
      </c>
      <c r="D2" s="7" t="str">
        <f>IF(ISBLANK(B2), "", VLOOKUP(B2, Candidates!B$2:H$1447, 3, FALSE))</f>
        <v>Gligoric M.; Groce A.; Zhang C.; Sharma R.; Alipour M.A.; Marinov D.</v>
      </c>
      <c r="E2" s="7" t="str">
        <f>IF(ISBLANK(B2), "", VLOOKUP(B2, Candidates!B$2:H$1447, 4, FALSE))</f>
        <v>Guidelines for coverage-based comparisons of non-adequate test suites</v>
      </c>
      <c r="F2" s="20" t="str">
        <f>IF(ISBLANK(B2), "", VLOOKUP(B2, Candidates!B$2:H$1447, 5, FALSE))</f>
        <v>TOSEM</v>
      </c>
      <c r="G2" s="7" t="str">
        <f>IF(ISBLANK(B2), "", VLOOKUP(B2, Candidates!B$2:H$1447, 6, FALSE))</f>
        <v>A fundamental question in software testing research is how to compare test suites, often as a means for comparing test-generation techniques that produce those test suites. Researchers frequently compare test suites by measuring their coverage. A coverage criterion C provides a set of test requirements and measures how many requirements a given suite satisfies. A suite that satisfies 100% of the feasible requirements is called C-adequate. Previous rigorous evaluations of coverage criteria mostly focused on such adequate test suites: given two criteria C and C, are C-adequate suites on average more effective than C-adequate suites? However, in many realistic cases, producing adequate suites is impractical or even impossible. This article presents the first extensive study that evaluates coverage criteria for the common case of nonadequate test suites: given two criteria C and C, which one is better to use to compare test suites? Namely, if suites T1, T2, . . . , Tn have coverage values c1, c2, . . . , cn for C and c 1, c2, . . . , c n for C, is it better to compare suites based on c1, c2, . . . , cn or based on c 1, c 2, . . . , c n? We evaluate a large set of plausible criteria, including basic criteria such as statement and branch coverage, as well as stronger criteria used in recent studies, including criteria based on program paths, equivalence classes of covered statements, and predicate states. The criteria are evaluated on a set of Java and C programs with both manually written and automatically generated test suites. The evaluation uses three correlation measures. Based on these experiments, two criteria perform best: branch coverage and an intraprocedural acyclic path coverage. We provide guidelines for testing researchers aiming to evaluate test suites using coverage criteria as well as for other researchers evaluating coverage criteria for research use. © 2015 ACM.</v>
      </c>
      <c r="H2" s="7" t="str">
        <f>IF(ISBLANK(B2), "", VLOOKUP(B2, Candidates!B$2:H$1447, 7, FALSE))</f>
        <v>Coverage criteria; Non-adequate test suites</v>
      </c>
      <c r="I2" s="30" t="b">
        <v>0</v>
      </c>
      <c r="J2" s="9" t="b">
        <v>0</v>
      </c>
      <c r="K2" s="9" t="b">
        <v>0</v>
      </c>
      <c r="L2" s="10" t="b">
        <v>0</v>
      </c>
      <c r="M2" s="9" t="b">
        <v>0</v>
      </c>
      <c r="N2" s="31" t="b">
        <v>0</v>
      </c>
      <c r="O2" s="10" t="b">
        <f t="shared" ref="O2:O76" si="1">AND(I2,J2,K2,NOT(L2),NOT(M2),NOT(N2))</f>
        <v>0</v>
      </c>
      <c r="P2" s="32" t="b">
        <v>0</v>
      </c>
      <c r="Q2" s="13"/>
    </row>
    <row r="3">
      <c r="A3" s="29" t="b">
        <v>1</v>
      </c>
      <c r="B3" s="29" t="s">
        <v>83</v>
      </c>
      <c r="C3" s="20" t="str">
        <f>IF(ISBLANK(B3), "", VLOOKUP(B3, Candidates!B$2:H$1447, 2, FALSE))</f>
        <v>10.1145/3392093</v>
      </c>
      <c r="D3" s="7" t="str">
        <f>IF(ISBLANK(B3), "", VLOOKUP(B3, Candidates!B$2:H$1447, 3, FALSE))</f>
        <v>Bao L.; Xing Z.; Xia X.; Lo D.; Wu M.; Yang X.</v>
      </c>
      <c r="E3" s="7" t="str">
        <f>IF(ISBLANK(B3), "", VLOOKUP(B3, Candidates!B$2:H$1447, 4, FALSE))</f>
        <v>Psc2code: Denoising Code Extraction from Programming Screencasts</v>
      </c>
      <c r="F3" s="20" t="str">
        <f>IF(ISBLANK(B3), "", VLOOKUP(B3, Candidates!B$2:H$1447, 5, FALSE))</f>
        <v>TOSEM</v>
      </c>
      <c r="G3" s="7" t="str">
        <f>IF(ISBLANK(B3), "", VLOOKUP(B3, Candidates!B$2:H$1447, 6, FALSE))</f>
        <v>Programming screencasts have become a pervasive resource on the Internet, which help developers learn new programming technologies or skills. The source code in programming screencasts is an important and valuable information for developers. But the streaming nature of programming screencasts (i.e., a sequence of screen-captured images) limits the ways that developers can interact with the source code in the screencasts. Many studies use the Optical Character Recognition (OCR) technique to convert screen images (also referred to as video frames) into textual content, which can then be indexed and searched easily. However, noisy screen images significantly affect the quality of source code extracted by OCR, for example, no-code frames (e.g., PowerPoint slides, web pages of API specification), non-code regions (e.g., Package Explorer view, Console view), and noisy code regions with code in completion suggestion popups. Furthermore, due to the code characteristics (e.g., long compound identifiers like ItemListener), even professional OCR tools cannot extract source code without errors from screen images. The noisy OCRed source code will negatively affect the downstream applications, such as the effective search and navigation of the source code content in programming screencasts. In this article, we propose an approach named psc2code to denoise the process of extracting source code from programming screencasts. First, psc2code leverages the Convolutional Neural Network (CNN) based image classification to remove non-code and noisy-code frames. Then, psc2code performs edge detection and clustering-based image segmentation to detect sub-windows in a code frame, and based on the detected sub-windows, it identifies and crops the screen region that is most likely to be a code editor. Finally, psc2code calls the API of a professional OCR tool to extract source code from the cropped code regions and leverages the OCRed cross-frame information in the programming screencast and the statistical language model of a large corpus of source code to correct errors in the OCRed source code. We conduct an experiment on 1,142 programming screencasts from YouTube. We find that our CNN-based image classification technique can effectively remove the non-code and noisy-code frames, which achieves an F1-score of 0.95 on the valid code frames. We also find that psc2code can significantly improve the quality of the OCRed source code by truly correcting about half of incorrectly OCRed words. Based on the source code denoised by psc2code, we implement two applications: (1) a programming screencast search engine; (2) an interaction-enhanced programming screencast watching tool. Based on the source code extracted from the 1,142 collected programming screencasts, our experiments show that our programming screencast search engine achieves the precision@5, 10, and 20 of 0.93, 0.81, and 0.63, respectively. We also conduct a user study of our interaction-enhanced programming screencast watching tool with 10 participants. This user study shows that our interaction-enhanced watching tool can help participants learn the knowledge in the programming video more efficiently and effectively. © 2020 ACM.</v>
      </c>
      <c r="H3" s="7" t="str">
        <f>IF(ISBLANK(B3), "", VLOOKUP(B3, Candidates!B$2:H$1447, 7, FALSE))</f>
        <v>code search; deep learning; Programming videos</v>
      </c>
      <c r="I3" s="30" t="b">
        <v>0</v>
      </c>
      <c r="J3" s="10" t="b">
        <v>0</v>
      </c>
      <c r="K3" s="10" t="b">
        <v>0</v>
      </c>
      <c r="L3" s="10" t="b">
        <v>0</v>
      </c>
      <c r="M3" s="10" t="b">
        <v>0</v>
      </c>
      <c r="N3" s="31" t="b">
        <v>0</v>
      </c>
      <c r="O3" s="10" t="b">
        <f t="shared" si="1"/>
        <v>0</v>
      </c>
      <c r="P3" s="31" t="b">
        <v>0</v>
      </c>
      <c r="Q3" s="7"/>
    </row>
    <row r="4">
      <c r="A4" s="29" t="b">
        <v>1</v>
      </c>
      <c r="B4" s="29" t="s">
        <v>107</v>
      </c>
      <c r="C4" s="20" t="str">
        <f>IF(ISBLANK(B4), "", VLOOKUP(B4, Candidates!B$2:H$1447, 2, FALSE))</f>
        <v>10.1109/32.988711</v>
      </c>
      <c r="D4" s="7" t="str">
        <f>IF(ISBLANK(B4), "", VLOOKUP(B4, Candidates!B$2:H$1447, 3, FALSE))</f>
        <v>Prechelt L.; Unger B.; Tichy W.F.; Brössler P.; Votta L.G.</v>
      </c>
      <c r="E4" s="7" t="str">
        <f>IF(ISBLANK(B4), "", VLOOKUP(B4, Candidates!B$2:H$1447, 4, FALSE))</f>
        <v>A controlled experiment in maintenance comparing design patterns to simpler solutions</v>
      </c>
      <c r="F4" s="20" t="str">
        <f>IF(ISBLANK(B4), "", VLOOKUP(B4, Candidates!B$2:H$1447, 5, FALSE))</f>
        <v>TSE</v>
      </c>
      <c r="G4" s="7" t="str">
        <f>IF(ISBLANK(B4), "", VLOOKUP(B4, Candidates!B$2:H$1447, 6, FALSE))</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4" s="7" t="str">
        <f>IF(ISBLANK(B4), "", VLOOKUP(B4, Candidates!B$2:H$1447, 7, FALSE))</f>
        <v>Change effort; Controlled experiment; Design alternatives; Design pattern; Maintenance</v>
      </c>
      <c r="I4" s="30" t="b">
        <v>1</v>
      </c>
      <c r="J4" s="10" t="b">
        <v>0</v>
      </c>
      <c r="K4" s="9" t="b">
        <v>1</v>
      </c>
      <c r="L4" s="10" t="b">
        <v>0</v>
      </c>
      <c r="M4" s="10" t="b">
        <v>0</v>
      </c>
      <c r="N4" s="31" t="b">
        <v>0</v>
      </c>
      <c r="O4" s="10" t="b">
        <f t="shared" si="1"/>
        <v>0</v>
      </c>
      <c r="P4" s="32" t="b">
        <v>1</v>
      </c>
      <c r="Q4" s="13" t="s">
        <v>1524</v>
      </c>
    </row>
    <row r="5">
      <c r="A5" s="29" t="b">
        <v>1</v>
      </c>
      <c r="B5" s="29" t="s">
        <v>121</v>
      </c>
      <c r="C5" s="20" t="str">
        <f>IF(ISBLANK(B5), "", VLOOKUP(B5, Candidates!B$2:H$1447, 2, FALSE))</f>
        <v>10.1109/32.588520</v>
      </c>
      <c r="D5" s="7" t="str">
        <f>IF(ISBLANK(B5), "", VLOOKUP(B5, Candidates!B$2:H$1447, 3, FALSE))</f>
        <v>Dutertre B.; Stavridou V.</v>
      </c>
      <c r="E5" s="7" t="str">
        <f>IF(ISBLANK(B5), "", VLOOKUP(B5, Candidates!B$2:H$1447, 4, FALSE))</f>
        <v>Formal requirements analysis of an avionics control system</v>
      </c>
      <c r="F5" s="20" t="str">
        <f>IF(ISBLANK(B5), "", VLOOKUP(B5, Candidates!B$2:H$1447, 5, FALSE))</f>
        <v>TSE</v>
      </c>
      <c r="G5" s="7" t="str">
        <f>IF(ISBLANK(B5), "", VLOOKUP(B5, Candidates!B$2:H$1447, 6, FALSE))</f>
        <v>We report on a formal requirements analysis experiment involving an avionics control system. We describe a method for specifying and verifying real-time systems with PVS. The experiment involves the formalization of the functional and safety requirements of the avionics system as well as its multilevel verification. First level verification demonstrates the consistency of the specifications whilst the second level shows that certain system safety properties are satisfied by the specification. We critically analyze methodological issues of large scale verification and propose some practical ways of structuring verification activities for optimizing the benefits. © 1997 IEEE.</v>
      </c>
      <c r="H5" s="7" t="str">
        <f>IF(ISBLANK(B5), "", VLOOKUP(B5, Candidates!B$2:H$1447, 7, FALSE))</f>
        <v>Avionics systems; Formal specification; Formal verification; Requirements analysis; Safety critical systems</v>
      </c>
      <c r="I5" s="30" t="b">
        <v>0</v>
      </c>
      <c r="J5" s="9" t="b">
        <v>0</v>
      </c>
      <c r="K5" s="10" t="b">
        <v>0</v>
      </c>
      <c r="L5" s="10" t="b">
        <v>0</v>
      </c>
      <c r="M5" s="10" t="b">
        <v>0</v>
      </c>
      <c r="N5" s="31" t="b">
        <v>0</v>
      </c>
      <c r="O5" s="10" t="b">
        <f t="shared" si="1"/>
        <v>0</v>
      </c>
      <c r="P5" s="31" t="b">
        <v>0</v>
      </c>
      <c r="Q5" s="13" t="s">
        <v>1525</v>
      </c>
    </row>
    <row r="6">
      <c r="A6" s="29" t="b">
        <v>1</v>
      </c>
      <c r="B6" s="29" t="s">
        <v>123</v>
      </c>
      <c r="C6" s="20" t="str">
        <f>IF(ISBLANK(B6), "", VLOOKUP(B6, Candidates!B$2:H$1447, 2, FALSE))</f>
        <v>10.1109/TSE.2003.1214328</v>
      </c>
      <c r="D6" s="7" t="str">
        <f>IF(ISBLANK(B6), "", VLOOKUP(B6, Candidates!B$2:H$1447, 3, FALSE))</f>
        <v>Vitharana P.; Zahedi F.M.; Jain H.</v>
      </c>
      <c r="E6" s="7" t="str">
        <f>IF(ISBLANK(B6), "", VLOOKUP(B6, Candidates!B$2:H$1447, 4, FALSE))</f>
        <v>Knowledge-based repository scheme for storing and retrieving business components: A theoretical design and an empirical analysis</v>
      </c>
      <c r="F6" s="20" t="str">
        <f>IF(ISBLANK(B6), "", VLOOKUP(B6, Candidates!B$2:H$1447, 5, FALSE))</f>
        <v>TSE</v>
      </c>
      <c r="G6" s="7" t="str">
        <f>IF(ISBLANK(B6), "", VLOOKUP(B6, Candidates!B$2:H$1447, 6, FALSE))</f>
        <v>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v>
      </c>
      <c r="H6" s="7" t="str">
        <f>IF(ISBLANK(B6), "", VLOOKUP(B6, Candidates!B$2:H$1447, 7, FALSE))</f>
        <v>Business component; Component repository; Empirical study; Software library; Software reuse</v>
      </c>
      <c r="I6" s="33" t="b">
        <v>0</v>
      </c>
      <c r="J6" s="9" t="b">
        <v>0</v>
      </c>
      <c r="K6" s="10" t="b">
        <v>0</v>
      </c>
      <c r="L6" s="10" t="b">
        <v>0</v>
      </c>
      <c r="M6" s="10" t="b">
        <v>0</v>
      </c>
      <c r="N6" s="31" t="b">
        <v>0</v>
      </c>
      <c r="O6" s="10" t="b">
        <f t="shared" si="1"/>
        <v>0</v>
      </c>
      <c r="P6" s="31" t="b">
        <v>0</v>
      </c>
      <c r="Q6" s="13"/>
    </row>
    <row r="7">
      <c r="A7" s="29" t="b">
        <v>1</v>
      </c>
      <c r="B7" s="29" t="s">
        <v>134</v>
      </c>
      <c r="C7" s="20" t="str">
        <f>IF(ISBLANK(B7), "", VLOOKUP(B7, Candidates!B$2:H$1447, 2, FALSE))</f>
        <v>10.1109/TSE.2021.3117515</v>
      </c>
      <c r="D7" s="7" t="str">
        <f>IF(ISBLANK(B7), "", VLOOKUP(B7, Candidates!B$2:H$1447, 3, FALSE))</f>
        <v>Neri A.; Barbosa R.S.; Oliveira J.N.</v>
      </c>
      <c r="E7" s="7" t="str">
        <f>IF(ISBLANK(B7), "", VLOOKUP(B7, Candidates!B$2:H$1447, 4, FALSE))</f>
        <v>Compiling Quantamorphisms for the IBM Q Experience</v>
      </c>
      <c r="F7" s="20" t="str">
        <f>IF(ISBLANK(B7), "", VLOOKUP(B7, Candidates!B$2:H$1447, 5, FALSE))</f>
        <v>TSE</v>
      </c>
      <c r="G7" s="7" t="str">
        <f>IF(ISBLANK(B7), "", VLOOKUP(B7, Candidates!B$2:H$1447, 6, FALSE))</f>
        <v>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v>
      </c>
      <c r="H7" s="7" t="str">
        <f>IF(ISBLANK(B7), "", VLOOKUP(B7, Candidates!B$2:H$1447, 7, FALSE))</f>
        <v>algebra of programming; IBM Q experience; Quantum computing; reversibility</v>
      </c>
      <c r="I7" s="33" t="b">
        <v>0</v>
      </c>
      <c r="J7" s="10" t="b">
        <v>0</v>
      </c>
      <c r="K7" s="9" t="b">
        <v>0</v>
      </c>
      <c r="L7" s="10" t="b">
        <v>0</v>
      </c>
      <c r="M7" s="10" t="b">
        <v>0</v>
      </c>
      <c r="N7" s="31" t="b">
        <v>0</v>
      </c>
      <c r="O7" s="10" t="b">
        <f t="shared" si="1"/>
        <v>0</v>
      </c>
      <c r="P7" s="31" t="b">
        <v>0</v>
      </c>
      <c r="Q7" s="13" t="s">
        <v>1526</v>
      </c>
    </row>
    <row r="8">
      <c r="A8" s="29" t="b">
        <v>1</v>
      </c>
      <c r="B8" s="29" t="s">
        <v>152</v>
      </c>
      <c r="C8" s="20" t="str">
        <f>IF(ISBLANK(B8), "", VLOOKUP(B8, Candidates!B$2:H$1447, 2, FALSE))</f>
        <v>10.1109/TSE.2019.2934848</v>
      </c>
      <c r="D8" s="7" t="str">
        <f>IF(ISBLANK(B8), "", VLOOKUP(B8, Candidates!B$2:H$1447, 3, FALSE))</f>
        <v>Sun C.-A.; Fu A.; Poon P.-L.; Xie X.; Liu H.; Chen T.Y.</v>
      </c>
      <c r="E8" s="7" t="str">
        <f>IF(ISBLANK(B8), "", VLOOKUP(B8, Candidates!B$2:H$1447, 4, FALSE))</f>
        <v>METRIC+: A metamorphic relation identification technique based on input plus output domains</v>
      </c>
      <c r="F8" s="20" t="str">
        <f>IF(ISBLANK(B8), "", VLOOKUP(B8, Candidates!B$2:H$1447, 5, FALSE))</f>
        <v>TSE</v>
      </c>
      <c r="G8" s="7" t="str">
        <f>IF(ISBLANK(B8), "", VLOOKUP(B8, Candidates!B$2:H$1447, 6, FALSE))</f>
        <v>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v>
      </c>
      <c r="H8" s="7" t="str">
        <f>IF(ISBLANK(B8), "", VLOOKUP(B8, Candidates!B$2:H$1447, 7, FALSE))</f>
        <v>category-choice framework; fault detection effectiveness; metamorphic relation; Metamorphic testing</v>
      </c>
      <c r="I8" s="30" t="b">
        <v>0</v>
      </c>
      <c r="J8" s="10" t="b">
        <v>0</v>
      </c>
      <c r="K8" s="10" t="b">
        <v>0</v>
      </c>
      <c r="L8" s="10" t="b">
        <v>0</v>
      </c>
      <c r="M8" s="10" t="b">
        <v>0</v>
      </c>
      <c r="N8" s="31" t="b">
        <v>0</v>
      </c>
      <c r="O8" s="10" t="b">
        <f t="shared" si="1"/>
        <v>0</v>
      </c>
      <c r="P8" s="32" t="b">
        <v>1</v>
      </c>
      <c r="Q8" s="13" t="s">
        <v>1527</v>
      </c>
    </row>
    <row r="9">
      <c r="A9" s="29" t="b">
        <v>1</v>
      </c>
      <c r="B9" s="29" t="s">
        <v>157</v>
      </c>
      <c r="C9" s="20" t="str">
        <f>IF(ISBLANK(B9), "", VLOOKUP(B9, Candidates!B$2:H$1447, 2, FALSE))</f>
        <v>10.1109/TSE.2023.3255177</v>
      </c>
      <c r="D9" s="7" t="str">
        <f>IF(ISBLANK(B9), "", VLOOKUP(B9, Candidates!B$2:H$1447, 3, FALSE))</f>
        <v>Le-Cong T.; Luong D.-M.; Le X.B.D.; Lo D.; Tran N.-H.; Quang-Huy B.; Huynh Q.-T.</v>
      </c>
      <c r="E9" s="7" t="str">
        <f>IF(ISBLANK(B9), "", VLOOKUP(B9, Candidates!B$2:H$1447, 4, FALSE))</f>
        <v>Invalidator: Automated Patch Correctness Assessment Via Semantic and Syntactic Reasoning</v>
      </c>
      <c r="F9" s="20" t="str">
        <f>IF(ISBLANK(B9), "", VLOOKUP(B9, Candidates!B$2:H$1447, 5, FALSE))</f>
        <v>TSE</v>
      </c>
      <c r="G9" s="7" t="str">
        <f>IF(ISBLANK(B9), "", VLOOKUP(B9, Candidates!B$2:H$1447, 6, FALSE))</f>
        <v>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v>
      </c>
      <c r="H9" s="7" t="str">
        <f>IF(ISBLANK(B9), "", VLOOKUP(B9, Candidates!B$2:H$1447, 7, FALSE))</f>
        <v>Automated patch correctness assessment; automated program repair; code representations; overfitting problem; program invariants</v>
      </c>
      <c r="I9" s="30" t="b">
        <v>0</v>
      </c>
      <c r="J9" s="9" t="b">
        <v>0</v>
      </c>
      <c r="K9" s="9" t="b">
        <v>0</v>
      </c>
      <c r="L9" s="9" t="b">
        <v>0</v>
      </c>
      <c r="M9" s="10" t="b">
        <v>0</v>
      </c>
      <c r="N9" s="31" t="b">
        <v>0</v>
      </c>
      <c r="O9" s="10" t="b">
        <f t="shared" si="1"/>
        <v>0</v>
      </c>
      <c r="P9" s="32" t="b">
        <v>0</v>
      </c>
      <c r="Q9" s="13" t="s">
        <v>1528</v>
      </c>
    </row>
    <row r="10">
      <c r="A10" s="29" t="b">
        <v>1</v>
      </c>
      <c r="B10" s="29" t="s">
        <v>167</v>
      </c>
      <c r="C10" s="20" t="str">
        <f>IF(ISBLANK(B10), "", VLOOKUP(B10, Candidates!B$2:H$1447, 2, FALSE))</f>
        <v>10.1109/TSE.2004.22</v>
      </c>
      <c r="D10" s="7" t="str">
        <f>IF(ISBLANK(B10), "", VLOOKUP(B10, Candidates!B$2:H$1447, 3, FALSE))</f>
        <v>Chaki S.; Clarke E.M.; Groce A.; Jha S.; Veith H.</v>
      </c>
      <c r="E10" s="7" t="str">
        <f>IF(ISBLANK(B10), "", VLOOKUP(B10, Candidates!B$2:H$1447, 4, FALSE))</f>
        <v>Modular verification of software components in C</v>
      </c>
      <c r="F10" s="20" t="str">
        <f>IF(ISBLANK(B10), "", VLOOKUP(B10, Candidates!B$2:H$1447, 5, FALSE))</f>
        <v>TSE</v>
      </c>
      <c r="G10" s="7" t="str">
        <f>IF(ISBLANK(B10), "", VLOOKUP(B10, Candidates!B$2:H$1447, 6, FALSE))</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CounterExample Guided Abstraction Refinement (CEGAR) paradigm, our tool MAGIC first extracts a finite model from C source code using predicate abstraction and theorem proving. Subsequently, weak simulation is checked via a reduction to Boolean satisfiability. MAGIC has been interfaced with several publicly available theorem provers and SAT solvers. We report experimental results with procedures from the Linux kernel, the OpenSSL toolkit, and several industrial strength benchmarks.</v>
      </c>
      <c r="H10" s="7" t="str">
        <f>IF(ISBLANK(B10), "", VLOOKUP(B10, Candidates!B$2:H$1447, 7, FALSE))</f>
        <v>Formal methods; Software engineering; Verification</v>
      </c>
      <c r="I10" s="30" t="b">
        <v>0</v>
      </c>
      <c r="J10" s="9" t="b">
        <v>0</v>
      </c>
      <c r="K10" s="9" t="b">
        <v>0</v>
      </c>
      <c r="L10" s="10" t="b">
        <v>0</v>
      </c>
      <c r="M10" s="10" t="b">
        <v>0</v>
      </c>
      <c r="N10" s="31" t="b">
        <v>0</v>
      </c>
      <c r="O10" s="10" t="b">
        <f t="shared" si="1"/>
        <v>0</v>
      </c>
      <c r="P10" s="31" t="b">
        <v>0</v>
      </c>
      <c r="Q10" s="13" t="s">
        <v>1526</v>
      </c>
    </row>
    <row r="11">
      <c r="A11" s="29" t="b">
        <v>1</v>
      </c>
      <c r="B11" s="29" t="s">
        <v>182</v>
      </c>
      <c r="C11" s="20" t="str">
        <f>IF(ISBLANK(B11), "", VLOOKUP(B11, Candidates!B$2:H$1447, 2, FALSE))</f>
        <v>10.1109/32.748916</v>
      </c>
      <c r="D11" s="7" t="str">
        <f>IF(ISBLANK(B11), "", VLOOKUP(B11, Candidates!B$2:H$1447, 3, FALSE))</f>
        <v>Buttazzo G.C.; Caccamo M.</v>
      </c>
      <c r="E11" s="7" t="str">
        <f>IF(ISBLANK(B11), "", VLOOKUP(B11, Candidates!B$2:H$1447, 4, FALSE))</f>
        <v>Minimizing aperiodic response times in a firm real-time environment</v>
      </c>
      <c r="F11" s="20" t="str">
        <f>IF(ISBLANK(B11), "", VLOOKUP(B11, Candidates!B$2:H$1447, 5, FALSE))</f>
        <v>TSE</v>
      </c>
      <c r="G11" s="7" t="str">
        <f>IF(ISBLANK(B11), "", VLOOKUP(B11, Candidates!B$2:H$1447, 6, FALSE))</f>
        <v>In certain real-time applications, ranging from multimedia to telecommunication systems, timing constraints can be more flexible than scheduling theory usually permits. In this paper, we deal with the problem of scheduling hybrid sets of tasks, consisting of firm periodic tasks (i.e., tasks with deadlines which can occasionally skip one instance) and soft aperiodic requests, which have to be served as soon as possible to achieve good responsiveness. We propose and analyze an algorithm, based on a variant of Earliest Deadline First scheduling, which exploits skips to minimize the response time of aperiodic requests. One of the most interesting features of our algorithm is that it can easily be tuned to balance performance vs. complexity, for adapting it to different application requirements. Extensive simulation experiments show the effectiveness of the proposed approach with respect to existing methods. Schedulability bounds are also derived to perform off-line analysis. © 1999 IEEE.</v>
      </c>
      <c r="H11" s="7" t="str">
        <f>IF(ISBLANK(B11), "", VLOOKUP(B11, Candidates!B$2:H$1447, 7, FALSE))</f>
        <v>Aperiodic service; Firm deadlines; Quality of service; Real-time scheduling; Skip</v>
      </c>
      <c r="I11" s="30" t="b">
        <v>0</v>
      </c>
      <c r="J11" s="9" t="b">
        <v>0</v>
      </c>
      <c r="K11" s="9" t="b">
        <v>0</v>
      </c>
      <c r="L11" s="10" t="b">
        <v>0</v>
      </c>
      <c r="M11" s="10" t="b">
        <v>0</v>
      </c>
      <c r="N11" s="31" t="b">
        <v>0</v>
      </c>
      <c r="O11" s="10" t="b">
        <f t="shared" si="1"/>
        <v>0</v>
      </c>
      <c r="P11" s="32" t="b">
        <v>0</v>
      </c>
      <c r="Q11" s="13" t="s">
        <v>1526</v>
      </c>
    </row>
    <row r="12">
      <c r="A12" s="29" t="b">
        <v>1</v>
      </c>
      <c r="B12" s="29" t="s">
        <v>193</v>
      </c>
      <c r="C12" s="20" t="str">
        <f>IF(ISBLANK(B12), "", VLOOKUP(B12, Candidates!B$2:H$1447, 2, FALSE))</f>
        <v>10.1109/TSE.2018.2802925</v>
      </c>
      <c r="D12" s="7" t="str">
        <f>IF(ISBLANK(B12), "", VLOOKUP(B12, Candidates!B$2:H$1447, 3, FALSE))</f>
        <v>Song W.; Ma X.; Jacobsen H.-A.</v>
      </c>
      <c r="E12" s="7" t="str">
        <f>IF(ISBLANK(B12), "", VLOOKUP(B12, Candidates!B$2:H$1447, 4, FALSE))</f>
        <v>Instance Migration Validity for Dynamic Evolution of Data-Aware Processes</v>
      </c>
      <c r="F12" s="20" t="str">
        <f>IF(ISBLANK(B12), "", VLOOKUP(B12, Candidates!B$2:H$1447, 5, FALSE))</f>
        <v>TSE</v>
      </c>
      <c r="G12" s="7" t="str">
        <f>IF(ISBLANK(B12), "", VLOOKUP(B12, Candidates!B$2:H$1447, 6, FALSE))</f>
        <v>Likely more than many other software artifacts, business processes constantly evolve to adapt to ever changing application requirements. To enable dynamic process evolution, where changes are applied to in-flight processes, running process instances have to be migrated. On the one hand, as many instances as possible should be migrated to the changed process. On the other hand, the validity to migrate an instance should be guaranteed to avoid introducing dynamic change bugs after migration. As our theoretical results show, when the state of variables is taken into account, migration validity of data-aware process instances is undecidable. Based on the trace of an instance, existing approaches leverage trace replaying to check migration validity. However, they err on the side of caution, not identifying many instances as potentially safe to migrate. We present a more relaxed migration validity checking approach based on the dependence graph of a trace. We evaluate effectiveness and efficiency of our approach experimentally showing that it allows for more instances to safely migrate than for existing approaches and that it scales in the number of instances checked. © 1976-2012 IEEE.</v>
      </c>
      <c r="H12" s="7" t="str">
        <f>IF(ISBLANK(B12), "", VLOOKUP(B12, Candidates!B$2:H$1447, 7, FALSE))</f>
        <v>Data-aware process; dynamic evolution; instance migration; migration validity; trace slicing</v>
      </c>
      <c r="I12" s="33" t="b">
        <v>0</v>
      </c>
      <c r="J12" s="9" t="b">
        <v>0</v>
      </c>
      <c r="K12" s="9" t="b">
        <v>0</v>
      </c>
      <c r="L12" s="10" t="b">
        <v>0</v>
      </c>
      <c r="M12" s="10" t="b">
        <v>0</v>
      </c>
      <c r="N12" s="31" t="b">
        <v>0</v>
      </c>
      <c r="O12" s="10" t="b">
        <f t="shared" si="1"/>
        <v>0</v>
      </c>
      <c r="P12" s="32" t="b">
        <v>0</v>
      </c>
      <c r="Q12" s="13"/>
    </row>
    <row r="13">
      <c r="A13" s="29" t="b">
        <v>1</v>
      </c>
      <c r="B13" s="29" t="s">
        <v>203</v>
      </c>
      <c r="C13" s="20" t="str">
        <f>IF(ISBLANK(B13), "", VLOOKUP(B13, Candidates!B$2:H$1447, 2, FALSE))</f>
        <v>10.1109/32.44380</v>
      </c>
      <c r="D13" s="7" t="str">
        <f>IF(ISBLANK(B13), "", VLOOKUP(B13, Candidates!B$2:H$1447, 3, FALSE))</f>
        <v>Arlat J.; Aguera M.; Amat L.; Crouzet Y.; Fabre J.-C.; Laprie J.-C.; Martins E.; Powell D.</v>
      </c>
      <c r="E13" s="7" t="str">
        <f>IF(ISBLANK(B13), "", VLOOKUP(B13, Candidates!B$2:H$1447, 4, FALSE))</f>
        <v>Fault Injection for Dependability Validation: A Methodology and Some Applications</v>
      </c>
      <c r="F13" s="20" t="str">
        <f>IF(ISBLANK(B13), "", VLOOKUP(B13, Candidates!B$2:H$1447, 5, FALSE))</f>
        <v>TSE</v>
      </c>
      <c r="G13" s="7" t="str">
        <f>IF(ISBLANK(B13), "", VLOOKUP(B13, Candidates!B$2:H$1447, 6, FALSE))</f>
        <v>This paper addresses the problem of the dependability validation of fanlt-tolerant computing systems and more specifically the validation of the fault-tolerance mechanisms. The presented approach is based on the use of fault-injection at the physical level on a hardware/software prototype of the considered system. The place of this approach in a validation directed design process, as well as its place with respect to related works on fault-injection, is clearly identified. The major requirements and problems related to the development and application of a validation methodology based on fault injection are presented and discussed. Emphasis is put on the definition, analysis, and use of the experimental dependability measures that can be obtained. The proposed methodology has been implemented through the realization of a general pin-level fault injection tool (MESSALINE) and its usefulness is demonstrated by the application of MESSALINE to the experimental validation of two systems: 1) a subsystem of a centralized computerized inerlocking system for railway control applications and 2) a distributed system corresponding to the current implementation of the dependable communication system of the ESPRIT Delta-4 Project. © 1990 IEEE</v>
      </c>
      <c r="H13" s="7" t="str">
        <f>IF(ISBLANK(B13), "", VLOOKUP(B13, Candidates!B$2:H$1447, 7, FALSE))</f>
        <v>Coverage evaluation; Experimental dependability validation; Fault simulation; Fault-tolerant computing systems; Fault/error injection</v>
      </c>
      <c r="I13" s="30" t="b">
        <v>0</v>
      </c>
      <c r="J13" s="9" t="b">
        <v>0</v>
      </c>
      <c r="K13" s="9" t="b">
        <v>0</v>
      </c>
      <c r="L13" s="10" t="b">
        <v>0</v>
      </c>
      <c r="M13" s="10" t="b">
        <v>0</v>
      </c>
      <c r="N13" s="31" t="b">
        <v>0</v>
      </c>
      <c r="O13" s="10" t="b">
        <f t="shared" si="1"/>
        <v>0</v>
      </c>
      <c r="P13" s="31" t="b">
        <v>0</v>
      </c>
      <c r="Q13" s="13" t="s">
        <v>1526</v>
      </c>
    </row>
    <row r="14">
      <c r="A14" s="29" t="b">
        <v>1</v>
      </c>
      <c r="B14" s="29" t="s">
        <v>243</v>
      </c>
      <c r="C14" s="20" t="str">
        <f>IF(ISBLANK(B14), "", VLOOKUP(B14, Candidates!B$2:H$1447, 2, FALSE))</f>
        <v>10.1109/TSE.1985.232207</v>
      </c>
      <c r="D14" s="7" t="str">
        <f>IF(ISBLANK(B14), "", VLOOKUP(B14, Candidates!B$2:H$1447, 3, FALSE))</f>
        <v>Bidoit M.; Biebow B.; Gaudel M.-C.; Gresse C.; Guiho G.D.</v>
      </c>
      <c r="E14" s="7" t="str">
        <f>IF(ISBLANK(B14), "", VLOOKUP(B14, Candidates!B$2:H$1447, 4, FALSE))</f>
        <v>Exception Handling: Formal Specification and Systematic Program Construction</v>
      </c>
      <c r="F14" s="20" t="str">
        <f>IF(ISBLANK(B14), "", VLOOKUP(B14, Candidates!B$2:H$1447, 5, FALSE))</f>
        <v>TSE</v>
      </c>
      <c r="G14" s="7" t="str">
        <f>IF(ISBLANK(B14), "", VLOOKUP(B14, Candidates!B$2:H$1447, 6, FALSE))</f>
        <v>We present an algebraic specification language (PLUSS) and a program construction method. Programs are built systematically from an algebraic specification of the data they deal with. The method was tested on a realistic problem (part of a telephone switching system). In these experiments, it turned out that error handling was the difficult part to specify and to program. This paper shows how to cope with this problem at the specification level and during the program development process. Copyright © 1985 by The Institute of Electrical and Electronics Engineers, Inc.</v>
      </c>
      <c r="H14" s="7" t="str">
        <f>IF(ISBLANK(B14), "", VLOOKUP(B14, Candidates!B$2:H$1447, 7, FALSE))</f>
        <v>Abstract data types; algebraic specification; decomposition schemes; error handling; industrial experiment; program construction</v>
      </c>
      <c r="I14" s="30" t="b">
        <v>0</v>
      </c>
      <c r="J14" s="9" t="b">
        <v>0</v>
      </c>
      <c r="K14" s="10" t="b">
        <v>0</v>
      </c>
      <c r="L14" s="10" t="b">
        <v>0</v>
      </c>
      <c r="M14" s="10" t="b">
        <v>0</v>
      </c>
      <c r="N14" s="31" t="b">
        <v>0</v>
      </c>
      <c r="O14" s="10" t="b">
        <f t="shared" si="1"/>
        <v>0</v>
      </c>
      <c r="P14" s="31" t="b">
        <v>0</v>
      </c>
      <c r="Q14" s="13" t="s">
        <v>1529</v>
      </c>
    </row>
    <row r="15">
      <c r="A15" s="29" t="b">
        <v>1</v>
      </c>
      <c r="B15" s="29" t="s">
        <v>263</v>
      </c>
      <c r="C15" s="20" t="str">
        <f>IF(ISBLANK(B15), "", VLOOKUP(B15, Candidates!B$2:H$1447, 2, FALSE))</f>
        <v>10.1007/s10664-006-6405-5</v>
      </c>
      <c r="D15" s="7" t="str">
        <f>IF(ISBLANK(B15), "", VLOOKUP(B15, Candidates!B$2:H$1447, 3, FALSE))</f>
        <v>Natt Och Dag J.; Thelin T.; Regnell B.</v>
      </c>
      <c r="E15" s="7" t="str">
        <f>IF(ISBLANK(B15), "", VLOOKUP(B15, Candidates!B$2:H$1447, 4, FALSE))</f>
        <v>An experiment on linguistic tool support for consolidation of requirements from multiple sources in market-driven product development</v>
      </c>
      <c r="F15" s="20" t="str">
        <f>IF(ISBLANK(B15), "", VLOOKUP(B15, Candidates!B$2:H$1447, 5, FALSE))</f>
        <v>EMSE</v>
      </c>
      <c r="G15" s="7" t="str">
        <f>IF(ISBLANK(B15), "", VLOOKUP(B15, Candidates!B$2:H$1447, 6, FALSE))</f>
        <v>This paper presents an experiment with a linguistic support tool for consolidation of requirements sets. The experiment is designed based on the requirements management process at a large market-driven software development company that develops generic solutions to satisfy many different customers. New requirements and requests for information are continuously issued, which must be analyzed and responded to. The new requirements should first be consolidated with the old to avoid reanalysis of previously elicited requirements and to complement existing requirements with new information. In the presented experiment, a new open-source tool is evaluated in a laboratory setting. The tool uses linguistic engineering techniques to calculate similarities between requirements and presents a ranked list of suggested similar requirements, between which links may be assigned. It is hypothesized that the proposed technique for finding and linking similar requirements makes the consolidation more efficient. The results show that subjects that are given the support provided by the tool are significantly more efficient and more correct in consolidating two requirements sets, than are subjects that do not get the support. The results suggest that the proposed techniques may give valuable support and save time in an industrial requirements consolidation process. © Springer Science + Business Media, Inc. 2006.</v>
      </c>
      <c r="H15" s="7" t="str">
        <f>IF(ISBLANK(B15), "", VLOOKUP(B15, Candidates!B$2:H$1447, 7, FALSE))</f>
        <v>Linguistic engineering; Natural language requirements; Requirements management; Software product development</v>
      </c>
      <c r="I15" s="30" t="b">
        <v>1</v>
      </c>
      <c r="J15" s="9" t="b">
        <v>1</v>
      </c>
      <c r="K15" s="9" t="b">
        <v>0</v>
      </c>
      <c r="L15" s="10" t="b">
        <v>0</v>
      </c>
      <c r="M15" s="10" t="b">
        <v>0</v>
      </c>
      <c r="N15" s="31" t="b">
        <v>0</v>
      </c>
      <c r="O15" s="10" t="b">
        <f t="shared" si="1"/>
        <v>0</v>
      </c>
      <c r="P15" s="32" t="b">
        <v>1</v>
      </c>
      <c r="Q15" s="13" t="s">
        <v>1530</v>
      </c>
    </row>
    <row r="16">
      <c r="A16" s="29" t="b">
        <v>1</v>
      </c>
      <c r="B16" s="29" t="s">
        <v>285</v>
      </c>
      <c r="C16" s="20" t="str">
        <f>IF(ISBLANK(B16), "", VLOOKUP(B16, Candidates!B$2:H$1447, 2, FALSE))</f>
        <v>10.1007/s10664-018-9668-8</v>
      </c>
      <c r="D16" s="7" t="str">
        <f>IF(ISBLANK(B16), "", VLOOKUP(B16, Candidates!B$2:H$1447, 3, FALSE))</f>
        <v>Salman I.; Turhan B.; Vegas S.</v>
      </c>
      <c r="E16" s="7" t="str">
        <f>IF(ISBLANK(B16), "", VLOOKUP(B16, Candidates!B$2:H$1447, 4, FALSE))</f>
        <v>A controlled experiment on time pressure and confirmation bias in functional software testing</v>
      </c>
      <c r="F16" s="20" t="str">
        <f>IF(ISBLANK(B16), "", VLOOKUP(B16, Candidates!B$2:H$1447, 5, FALSE))</f>
        <v>EMSE</v>
      </c>
      <c r="G16" s="7" t="str">
        <f>IF(ISBLANK(B16), "", VLOOKUP(B16, Candidates!B$2:H$1447, 6, FALSE))</f>
        <v>Context: Confirmation bias is a person’s tendency to look for evidence that strengthens his/her prior beliefs rather than refutes them. Manifestation of confirmation bias in software testing may have adverse effects on software quality. Psychology research suggests that time pressure could trigger confirmation bias. Objective: In the software industry, this phenomenon may deteriorate software quality. In this study, we investigate whether testers manifest confirmation bias and how it is affected by time pressure in functional software testing. Method: We performed a controlled experiment with 42 graduate students to assess manifestation of confirmation bias in terms of the conformity of their designed test cases to the provided requirements specification. We employed a one factor with two treatments between-subjects experimental design. Results: We observed, overall, participants designed significantly more confirmatory test cases as compared to disconfirmatory ones, which is in line with previous research. However, we did not observe time pressure as an antecedent to an increased rate of confirmatory testing behaviour. Conclusion: People tend to design confirmatory test cases regardless of time pressure. For practice, we find it necessary that testers develop self-awareness of confirmation bias and counter its potential adverse effects with a disconfirmatory attitude. We recommend further replications to investigate the effect of time pressure as a potential contributor to the manifestation of confirmation bias. © 2018, The Author(s).</v>
      </c>
      <c r="H16" s="7" t="str">
        <f>IF(ISBLANK(B16), "", VLOOKUP(B16, Candidates!B$2:H$1447, 7, FALSE))</f>
        <v>Cognitive biases; Confirmation bias; Experiment; Human factors; Software testing; Test quality; Time pressure</v>
      </c>
      <c r="I16" s="30" t="b">
        <v>1</v>
      </c>
      <c r="J16" s="9" t="b">
        <v>1</v>
      </c>
      <c r="K16" s="9" t="b">
        <v>1</v>
      </c>
      <c r="L16" s="10" t="b">
        <v>0</v>
      </c>
      <c r="M16" s="10" t="b">
        <v>0</v>
      </c>
      <c r="N16" s="31" t="b">
        <v>0</v>
      </c>
      <c r="O16" s="10" t="b">
        <f t="shared" si="1"/>
        <v>1</v>
      </c>
      <c r="P16" s="31" t="b">
        <v>0</v>
      </c>
      <c r="Q16" s="13" t="s">
        <v>1531</v>
      </c>
    </row>
    <row r="17">
      <c r="A17" s="29" t="b">
        <v>1</v>
      </c>
      <c r="B17" s="29" t="s">
        <v>314</v>
      </c>
      <c r="C17" s="20" t="str">
        <f>IF(ISBLANK(B17), "", VLOOKUP(B17, Candidates!B$2:H$1447, 2, FALSE))</f>
        <v>10.1145/2988239</v>
      </c>
      <c r="D17" s="7" t="str">
        <f>IF(ISBLANK(B17), "", VLOOKUP(B17, Candidates!B$2:H$1447, 3, FALSE))</f>
        <v>Crampton J.; Gagarin A.; Gutin G.; Jones M.; Wahlström M.</v>
      </c>
      <c r="E17" s="7" t="str">
        <f>IF(ISBLANK(B17), "", VLOOKUP(B17, Candidates!B$2:H$1447, 4, FALSE))</f>
        <v>On the workflow satisfiability problem with class-independent constraints for hierarchical organizations</v>
      </c>
      <c r="F17" s="20" t="str">
        <f>IF(ISBLANK(B17), "", VLOOKUP(B17, Candidates!B$2:H$1447, 5, FALSE))</f>
        <v>TOPS</v>
      </c>
      <c r="G17" s="7" t="str">
        <f>IF(ISBLANK(B17), "", VLOOKUP(B17, Candidates!B$2:H$1447, 6, FALSE))</f>
        <v>A workflow specification defines a set of steps, a set of users, and an access control policy. The policy determines which steps a user is authorized to perform and imposes constraints on which sets of users can perform which sets of steps. The workflow satisfiability problem (WSP) is the problem of determining whether there exists an assignment of users to workflow steps that satisfies the policy. Given the computational hardness of WSP and its importance in the context of workflow management systems, it is important to develop algorithms that are as efficient as possible to solve WSP. In this article, we study the fixed-parameter tractability of WSP in the presence of class-independent constraints, which enable us to (1) model security requirements based on the groups to which users belong and (2) generalize the notion of a user-independent constraint. Class-independent constraints are defined in terms of equivalence relations over the set of users. We consider sets of nested equivalence relations because this enables us to model security requirements in hierarchical organizations. We prove that WSP is fixed-parameter tractable (FPT) for class-independent constraints defined over nested equivalence relations and develop an FPT algorithm to solve WSP instances incorporating such constraints. We perform experiments to evaluate the performance of our algorithm and compare it with that of SAT4J, an off-the-shelf pseudo-Boolean SAT solver. The results of these experiments demonstrate that our algorithm significantly outperforms SAT4J for many instances of WSP. © 2016 ACM.</v>
      </c>
      <c r="H17" s="7" t="str">
        <f>IF(ISBLANK(B17), "", VLOOKUP(B17, Candidates!B$2:H$1447, 7, FALSE))</f>
        <v>Class-independent constraints; Fixed-parameter tractability; Userindependent constraints; Workflow satisfiability problem</v>
      </c>
      <c r="I17" s="33" t="b">
        <v>0</v>
      </c>
      <c r="J17" s="9" t="b">
        <v>0</v>
      </c>
      <c r="K17" s="9" t="b">
        <v>0</v>
      </c>
      <c r="L17" s="10" t="b">
        <v>0</v>
      </c>
      <c r="M17" s="10" t="b">
        <v>0</v>
      </c>
      <c r="N17" s="31" t="b">
        <v>0</v>
      </c>
      <c r="O17" s="10" t="b">
        <f t="shared" si="1"/>
        <v>0</v>
      </c>
      <c r="P17" s="31" t="b">
        <v>0</v>
      </c>
      <c r="Q17" s="7"/>
    </row>
    <row r="18">
      <c r="A18" s="29" t="b">
        <v>1</v>
      </c>
      <c r="B18" s="29" t="s">
        <v>323</v>
      </c>
      <c r="C18" s="20" t="str">
        <f>IF(ISBLANK(B18), "", VLOOKUP(B18, Candidates!B$2:H$1447, 2, FALSE))</f>
        <v>10.1109/TDSC.2020.3012100</v>
      </c>
      <c r="D18" s="7" t="str">
        <f>IF(ISBLANK(B18), "", VLOOKUP(B18, Candidates!B$2:H$1447, 3, FALSE))</f>
        <v>Ferreira B.; Portela B.; Oliveira T.; Borges G.; Domingos H.; Leitao J.</v>
      </c>
      <c r="E18" s="7" t="str">
        <f>IF(ISBLANK(B18), "", VLOOKUP(B18, Candidates!B$2:H$1447, 4, FALSE))</f>
        <v>Boolean Searchable Symmetric Encryption with Filters on Trusted Hardware</v>
      </c>
      <c r="F18" s="20" t="str">
        <f>IF(ISBLANK(B18), "", VLOOKUP(B18, Candidates!B$2:H$1447, 5, FALSE))</f>
        <v>TDSC</v>
      </c>
      <c r="G18" s="7" t="str">
        <f>IF(ISBLANK(B18), "", VLOOKUP(B18, Candidates!B$2:H$1447, 6, FALSE))</f>
        <v>The prevalence and availability of cloud infrastructures has made them the de facto solution for storing and archiving data, both for organizations and individual users. Nonetheless, the cloud's wide spread adoption is still hindered by dependability and security concerns, particularly in applications with large data collections where efficient search and retrieval services are also major requirements. This leads to an increased tension between security, efficiency, and search expressiveness. In this article we tackle this tension by proposing BISEN, a new provably-secure boolean searchable symmetric encryption scheme that improves these three complementary dimensions by exploring the design space of isolation guarantees offered by novel commodity hardware such as Intel SGX, abstracted as Isolated Execution Environments (IEEs). BISEN is the first scheme to support multiple users and enable highly expressive and arbitrarily complex boolean queries, with minimal information leakage regarding performed queries and accessed data, and verifiability regarding fully malicious adversaries. Furthermore, BISEN extends the traditional SSE model to support filter functions on search results based on generic metadata created by the users. Experimental validation and comparison with the state of art shows that BISEN provides better performance with enriched search semantics and security properties. © 2004-2012 IEEE.</v>
      </c>
      <c r="H18" s="7" t="str">
        <f>IF(ISBLANK(B18), "", VLOOKUP(B18, Candidates!B$2:H$1447, 7, FALSE))</f>
        <v>distributed systems; Intel SGX; provable security; Searchable encryption; secure databases</v>
      </c>
      <c r="I18" s="33" t="b">
        <v>0</v>
      </c>
      <c r="J18" s="9" t="b">
        <v>0</v>
      </c>
      <c r="K18" s="9" t="b">
        <v>0</v>
      </c>
      <c r="L18" s="10" t="b">
        <v>0</v>
      </c>
      <c r="M18" s="10" t="b">
        <v>0</v>
      </c>
      <c r="N18" s="31" t="b">
        <v>0</v>
      </c>
      <c r="O18" s="10" t="b">
        <f t="shared" si="1"/>
        <v>0</v>
      </c>
      <c r="P18" s="31" t="b">
        <v>0</v>
      </c>
      <c r="Q18" s="13"/>
    </row>
    <row r="19">
      <c r="A19" s="29" t="b">
        <v>1</v>
      </c>
      <c r="B19" s="29" t="s">
        <v>341</v>
      </c>
      <c r="C19" s="20" t="str">
        <f>IF(ISBLANK(B19), "", VLOOKUP(B19, Candidates!B$2:H$1447, 2, FALSE))</f>
        <v>10.1109/TDSC.2019.2894411</v>
      </c>
      <c r="D19" s="7" t="str">
        <f>IF(ISBLANK(B19), "", VLOOKUP(B19, Candidates!B$2:H$1447, 3, FALSE))</f>
        <v>Li J.; Huang Y.; Wei Y.; Lv S.; Liu Z.; Dong C.; Lou W.</v>
      </c>
      <c r="E19" s="7" t="str">
        <f>IF(ISBLANK(B19), "", VLOOKUP(B19, Candidates!B$2:H$1447, 4, FALSE))</f>
        <v>Searchable Symmetric Encryption with Forward Search Privacy</v>
      </c>
      <c r="F19" s="20" t="str">
        <f>IF(ISBLANK(B19), "", VLOOKUP(B19, Candidates!B$2:H$1447, 5, FALSE))</f>
        <v>TDSC</v>
      </c>
      <c r="G19" s="7" t="str">
        <f>IF(ISBLANK(B19), "", VLOOKUP(B19, Candidates!B$2:H$1447, 6, FALSE))</f>
        <v>Searchable symmetric encryption (SSE) has been widely applied in the encrypted database for queries in practice. Although SSE is powerful and feature-rich, it is always plagued by information leaks. Some recent attacks point out that forward privacy which disallows leakage from update operations, now becomes a basic requirement for any newly designed SSE schemes. However, the subsequent search operations can still leak a significant amount of information. To further strengthen security, we extend the definition of forward privacy and propose the notion of 'forward search privacy'. Intuitively, it requires search operations over newly added documents do not leak any information about past queries. The enhanced security notion poses new challenges to the design of SSE. We address the challenges by developing the hidden pointer technique (HPT) and propose a new SSE scheme called Khons, which satisfies our security notion (with the original forward privacy notion) and is also efficient. We implemented Khons and our experiment results on large dataset (wikipedia) show that it is more efficient than existing SSE schemes with forward privacy. © 2020 IEEE.</v>
      </c>
      <c r="H19" s="7" t="str">
        <f>IF(ISBLANK(B19), "", VLOOKUP(B19, Candidates!B$2:H$1447, 7, FALSE))</f>
        <v>data privacy; forward privacy; forward search privacy; Searchable encryption</v>
      </c>
      <c r="I19" s="30" t="b">
        <v>0</v>
      </c>
      <c r="J19" s="9" t="b">
        <v>0</v>
      </c>
      <c r="K19" s="9" t="b">
        <v>0</v>
      </c>
      <c r="L19" s="10" t="b">
        <v>0</v>
      </c>
      <c r="M19" s="10" t="b">
        <v>0</v>
      </c>
      <c r="N19" s="31" t="b">
        <v>0</v>
      </c>
      <c r="O19" s="10" t="b">
        <f t="shared" si="1"/>
        <v>0</v>
      </c>
      <c r="P19" s="31" t="b">
        <v>0</v>
      </c>
      <c r="Q19" s="7"/>
    </row>
    <row r="20">
      <c r="A20" s="29" t="b">
        <v>1</v>
      </c>
      <c r="B20" s="29" t="s">
        <v>346</v>
      </c>
      <c r="C20" s="20" t="str">
        <f>IF(ISBLANK(B20), "", VLOOKUP(B20, Candidates!B$2:H$1447, 2, FALSE))</f>
        <v>10.1109/TDSC.2004.21</v>
      </c>
      <c r="D20" s="7" t="str">
        <f>IF(ISBLANK(B20), "", VLOOKUP(B20, Candidates!B$2:H$1447, 3, FALSE))</f>
        <v>Valeur F.; Vigna G.; Kruegel C.; Kemmerer R.A.</v>
      </c>
      <c r="E20" s="7" t="str">
        <f>IF(ISBLANK(B20), "", VLOOKUP(B20, Candidates!B$2:H$1447, 4, FALSE))</f>
        <v>A comprehensive approach to intrusion detection alert correlation</v>
      </c>
      <c r="F20" s="20" t="str">
        <f>IF(ISBLANK(B20), "", VLOOKUP(B20, Candidates!B$2:H$1447, 5, FALSE))</f>
        <v>TDSC</v>
      </c>
      <c r="G20" s="7" t="str">
        <f>IF(ISBLANK(B20), "", VLOOKUP(B20, Candidates!B$2:H$1447, 6, FALSE))</f>
        <v>Alert correlation is a process that analyzes the alerts produced by one or more intrusion detection systems and provides a more succinct and high-level view of occurring or attempted intrusions. Even though the correlation process is often presented as a single step, the analysis is actually carried out by a number of components, each of which has a specific goal. Unfortunately, most approaches to correlation concentrate on just a few components of the process, providing formalisms and techniques that address only specific correlation issues. This paper presents a general correlation model that includes a comprehensive set of components and a framework based on this model. A tool using the framework has been applied to a number of well-known intrusion detection data sets to identify how each component contributes to the overall goals of correlation. The results of these experiments show that the correlation components are effective in achieving alert reduction and abstraction. They also show that the effectiveness of a component depends heavily on the nature of the data set analyzed. © 2004 IEEE.</v>
      </c>
      <c r="H20" s="7" t="str">
        <f>IF(ISBLANK(B20), "", VLOOKUP(B20, Candidates!B$2:H$1447, 7, FALSE))</f>
        <v>Alert correlation; Alert reduction; Correlation data sets; Intrusion detection</v>
      </c>
      <c r="I20" s="33" t="b">
        <v>0</v>
      </c>
      <c r="J20" s="10" t="b">
        <v>0</v>
      </c>
      <c r="K20" s="10" t="b">
        <v>0</v>
      </c>
      <c r="L20" s="10" t="b">
        <v>0</v>
      </c>
      <c r="M20" s="10" t="b">
        <v>0</v>
      </c>
      <c r="N20" s="31" t="b">
        <v>0</v>
      </c>
      <c r="O20" s="10" t="b">
        <f t="shared" si="1"/>
        <v>0</v>
      </c>
      <c r="P20" s="31" t="b">
        <v>0</v>
      </c>
      <c r="Q20" s="7"/>
    </row>
    <row r="21">
      <c r="A21" s="29" t="b">
        <v>1</v>
      </c>
      <c r="B21" s="29" t="s">
        <v>361</v>
      </c>
      <c r="C21" s="20" t="str">
        <f>IF(ISBLANK(B21), "", VLOOKUP(B21, Candidates!B$2:H$1447, 2, FALSE))</f>
        <v>10.1109/TDSC.2015.2423669</v>
      </c>
      <c r="D21" s="7" t="str">
        <f>IF(ISBLANK(B21), "", VLOOKUP(B21, Candidates!B$2:H$1447, 3, FALSE))</f>
        <v>Mao X.; Lai J.; Mei Q.; Chen K.; Weng J.</v>
      </c>
      <c r="E21" s="7" t="str">
        <f>IF(ISBLANK(B21), "", VLOOKUP(B21, Candidates!B$2:H$1447, 4, FALSE))</f>
        <v>Generic and Efficient Constructions of Attribute-Based Encryption with Verifiable Outsourced Decryption</v>
      </c>
      <c r="F21" s="20" t="str">
        <f>IF(ISBLANK(B21), "", VLOOKUP(B21, Candidates!B$2:H$1447, 5, FALSE))</f>
        <v>TDSC</v>
      </c>
      <c r="G21" s="7" t="str">
        <f>IF(ISBLANK(B21), "", VLOOKUP(B21, Candidates!B$2:H$1447, 6, FALSE))</f>
        <v>Attribute-based encryption (ABE) provides a mechanism for complex access control over encrypted data. However in most ABE systems, the ciphertext size and the decryption overhead, which grow with the complexity of the access policy, are becoming critical barriers in applications running on resource-limited devices. Outsourcing decryption of ABE ciphertexts to a powerful third party is a reasonable manner to solve this problem. Since the third party is usually believed to be untrusted, the security requirements of ABE with outsourced decryption should include privacy and verifiability. Namely, any adversary including the third party should learn nothing about the encrypted message, and the correctness of the outsourced decryption is supposed to be verified efficiently. We propose generic constructions of CPA-secure and RCCA-secure ABE systems with verifiable outsourced decryption from CPA-secure ABE with outsourced decryption, respectively. We also instantiate our CPA-secure construction in the standard model and then show an implementation of this instantiation. The experimental results show that, compared with the existing scheme, our CPA-secure construction has more compact ciphertext and less computational costs. Moreover, the techniques involved in the RCCA-secure construction can be applied in generally constructing CCA-secure ABE, which we believe to be of independent interest. © 2016 IEEE.</v>
      </c>
      <c r="H21" s="7" t="str">
        <f>IF(ISBLANK(B21), "", VLOOKUP(B21, Candidates!B$2:H$1447, 7, FALSE))</f>
        <v>Attribute-based encryption; outsourced decryption; RCCA; verifiability</v>
      </c>
      <c r="I21" s="33" t="b">
        <v>0</v>
      </c>
      <c r="J21" s="10" t="b">
        <v>0</v>
      </c>
      <c r="K21" s="10" t="b">
        <v>0</v>
      </c>
      <c r="L21" s="10" t="b">
        <v>0</v>
      </c>
      <c r="M21" s="10" t="b">
        <v>0</v>
      </c>
      <c r="N21" s="31" t="b">
        <v>0</v>
      </c>
      <c r="O21" s="10" t="b">
        <f t="shared" si="1"/>
        <v>0</v>
      </c>
      <c r="P21" s="31" t="b">
        <v>0</v>
      </c>
      <c r="Q21" s="7"/>
    </row>
    <row r="22">
      <c r="A22" s="29" t="b">
        <v>1</v>
      </c>
      <c r="B22" s="29" t="s">
        <v>367</v>
      </c>
      <c r="C22" s="20" t="str">
        <f>IF(ISBLANK(B22), "", VLOOKUP(B22, Candidates!B$2:H$1447, 2, FALSE))</f>
        <v>10.1109/TDSC.2023.3323669</v>
      </c>
      <c r="D22" s="7" t="str">
        <f>IF(ISBLANK(B22), "", VLOOKUP(B22, Candidates!B$2:H$1447, 3, FALSE))</f>
        <v>Zhang M.; Li X.; Ren Y.; Luo B.; Miao Y.; Liu X.; Deng R.H.</v>
      </c>
      <c r="E22" s="7" t="str">
        <f>IF(ISBLANK(B22), "", VLOOKUP(B22, Candidates!B$2:H$1447, 4, FALSE))</f>
        <v>Privacy-Preserved Data Trading via Verifiable Data Disturbance</v>
      </c>
      <c r="F22" s="20" t="str">
        <f>IF(ISBLANK(B22), "", VLOOKUP(B22, Candidates!B$2:H$1447, 5, FALSE))</f>
        <v>TDSC</v>
      </c>
      <c r="G22" s="7" t="str">
        <f>IF(ISBLANK(B22), "", VLOOKUP(B22, Candidates!B$2:H$1447, 6, FALSE))</f>
        <v>To motivate data owner (DO) to trade data, the existing data trading allows DO to sell the disturbed data to the data consumer (DC), where the disturbance parameter and the data price are negotiated by them, and DO independently adds the disturbance noise to data (usually continuous type) following the negotiation result. However, DOs may violate the negotiated parameter and add more noise to data while obtaining the negotiated price, which damages DC&amp;#x0027;s disturbed data availability. This deficiency is rooted in the absence of supervision and verifiability on DOs&amp;#x0027; independent disturbances. Aiming at the above problem, we devise a privacy-preserved data trading via verifiable data disturbance. Specifically, the honest-but-curious disturbance server (DS) is introduced to generate encrypted verifiable disturbance noises, and secretly distribute noises to DOs referring to the method of private information retrieval. Using homomorphic encryption, DOs finish data disturbance without knowing noises&amp;#x0027; specific sizes. Subsequently, DC selects DOs to verify with our proposed anti-forgery verification, where the anti-forgery on both disturbance noise and original data guarantees verification correctness. Theoretical analysis proves that DOs&amp;#x0027; original data is preserved in data trading. Extensive experiments using the real-world dataset demonstrate that our scheme can detect more than 80&amp;#x0025; of malicious DOs and decrease their utilities to punish malicious disturbance compared with existing works. IEEE</v>
      </c>
      <c r="H22" s="7" t="str">
        <f>IF(ISBLANK(B22), "", VLOOKUP(B22, Candidates!B$2:H$1447, 7, FALSE))</f>
        <v>availability requirement; data trading; Differential privacy; Games; Nash equilibrium; Pricing; Privacy; privacy preserved; private information retrieval; Public key; Servers</v>
      </c>
      <c r="I22" s="33" t="b">
        <v>0</v>
      </c>
      <c r="J22" s="10" t="b">
        <v>0</v>
      </c>
      <c r="K22" s="10" t="b">
        <v>0</v>
      </c>
      <c r="L22" s="10" t="b">
        <v>0</v>
      </c>
      <c r="M22" s="10" t="b">
        <v>0</v>
      </c>
      <c r="N22" s="31" t="b">
        <v>0</v>
      </c>
      <c r="O22" s="10" t="b">
        <f t="shared" si="1"/>
        <v>0</v>
      </c>
      <c r="P22" s="31" t="b">
        <v>0</v>
      </c>
      <c r="Q22" s="7"/>
    </row>
    <row r="23">
      <c r="A23" s="29" t="b">
        <v>1</v>
      </c>
      <c r="B23" s="29" t="s">
        <v>376</v>
      </c>
      <c r="C23" s="20" t="str">
        <f>IF(ISBLANK(B23), "", VLOOKUP(B23, Candidates!B$2:H$1447, 2, FALSE))</f>
        <v>10.1109/TDSC.2018.2816026</v>
      </c>
      <c r="D23" s="7" t="str">
        <f>IF(ISBLANK(B23), "", VLOOKUP(B23, Candidates!B$2:H$1447, 3, FALSE))</f>
        <v>Mohaisen A.; Gu Z.; Ren K.; Li Z.; Kamhoua C.A.; Njilla L.L.; Nyang D.</v>
      </c>
      <c r="E23" s="7" t="str">
        <f>IF(ISBLANK(B23), "", VLOOKUP(B23, Candidates!B$2:H$1447, 4, FALSE))</f>
        <v>Look-Aside at your own risk: Privacy implications of dnssec look-Aside validation</v>
      </c>
      <c r="F23" s="20" t="str">
        <f>IF(ISBLANK(B23), "", VLOOKUP(B23, Candidates!B$2:H$1447, 5, FALSE))</f>
        <v>TDSC</v>
      </c>
      <c r="G23" s="7" t="str">
        <f>IF(ISBLANK(B23), "", VLOOKUP(B23, Candidates!B$2:H$1447, 6, FALSE))</f>
        <v>The Domain Name System Security Extension (DNSSEC) leverages public-key cryptography to provide data integrity, source authentication, and denial of existence for DNS responses. To complement DNSSEC operations, DNSSEC Look-Aside Validation (DLV) is designed for alternative off-path validation. Although DNS privacy attracts a lot of attention, the privacy implications of DLV are not fully investigated and understood. In this paper, we take a first in-depth look into DLV, highlighting its lax specifications and privacy implications. By performing extensive experiments over datasets of domain names under comprehensive experimental settings, our findings firmly confirm the privacy leakages caused by DLV. We discover that a large number of domains that should not be sent to DLV servers are being leaked. We explore the root causes, including the lax specifications of DLV. We also propose two approaches to fix the privacy leakages. Our approaches require trivial modifications to the existing DNS standards, and we demonstrate their cost in terms of latency and communication.  © 2004-2012 IEEE.</v>
      </c>
      <c r="H23" s="7" t="str">
        <f>IF(ISBLANK(B23), "", VLOOKUP(B23, Candidates!B$2:H$1447, 7, FALSE))</f>
        <v>defenses; Domain name system; privacy leakage</v>
      </c>
      <c r="I23" s="33" t="b">
        <v>0</v>
      </c>
      <c r="J23" s="10" t="b">
        <v>0</v>
      </c>
      <c r="K23" s="10" t="b">
        <v>0</v>
      </c>
      <c r="L23" s="10" t="b">
        <v>0</v>
      </c>
      <c r="M23" s="10" t="b">
        <v>0</v>
      </c>
      <c r="N23" s="31" t="b">
        <v>0</v>
      </c>
      <c r="O23" s="10" t="b">
        <f t="shared" si="1"/>
        <v>0</v>
      </c>
      <c r="P23" s="31" t="b">
        <v>0</v>
      </c>
      <c r="Q23" s="7"/>
    </row>
    <row r="24">
      <c r="A24" s="29" t="b">
        <v>1</v>
      </c>
      <c r="B24" s="29" t="s">
        <v>415</v>
      </c>
      <c r="C24" s="20" t="str">
        <f>IF(ISBLANK(B24), "", VLOOKUP(B24, Candidates!B$2:H$1447, 2, FALSE))</f>
        <v>10.1016/j.jss.2015.11.009</v>
      </c>
      <c r="D24" s="7" t="str">
        <f>IF(ISBLANK(B24), "", VLOOKUP(B24, Candidates!B$2:H$1447, 3, FALSE))</f>
        <v>Zernadji T.; Tibermacine C.; Cherif F.; Zouioueche A.</v>
      </c>
      <c r="E24" s="7" t="str">
        <f>IF(ISBLANK(B24), "", VLOOKUP(B24, Candidates!B$2:H$1447, 4, FALSE))</f>
        <v>Integrating quality requirements in engineering web service orchestrations</v>
      </c>
      <c r="F24" s="20" t="str">
        <f>IF(ISBLANK(B24), "", VLOOKUP(B24, Candidates!B$2:H$1447, 5, FALSE))</f>
        <v>JSS</v>
      </c>
      <c r="G24" s="7" t="str">
        <f>IF(ISBLANK(B24), "", VLOOKUP(B24, Candidates!B$2:H$1447, 6, FALSE))</f>
        <v>Today's Web services are considered as one of the leading technologies for implementing components of service-oriented software architectures for desktop, Web or mobile applications. When designing workflows of activities that involve the invocation of these Web Services, we build either orchestrations or choreographies. The engineering of such applications is an emerging research topic with many challenges. Among them, we can stress out the crucial question of how to answer quality requirements in such engineering processes. This paper, presents a method which aims at assisting software architects of Web Service orchestrations in integrating quality requirements in their artifacts. In order to satisfy a quality requirement, this method suggests a list of service-oriented patterns. We base our work on the postulate stating that quality can be implemented through patterns, which can be specified with checkable/processable languages. This method helps architects to reach concrete architecture changes that can be automatically performed on the orchestration in order to apply a pattern, and thus integrate its associated quality. We experimented our method on a set of real-world orchestrations (BPEL processes) to measure the overhead of using it in engineering such service-oriented applications. The obtained results showed that our method brings a significant gain of time. © 2015 Elsevier Inc.</v>
      </c>
      <c r="H24" s="7" t="str">
        <f>IF(ISBLANK(B24), "", VLOOKUP(B24, Candidates!B$2:H$1447, 7, FALSE))</f>
        <v>BPEL; Quality attribute; SOA pattern</v>
      </c>
      <c r="I24" s="33" t="b">
        <v>0</v>
      </c>
      <c r="J24" s="10" t="b">
        <v>0</v>
      </c>
      <c r="K24" s="10" t="b">
        <v>0</v>
      </c>
      <c r="L24" s="10" t="b">
        <v>0</v>
      </c>
      <c r="M24" s="10" t="b">
        <v>0</v>
      </c>
      <c r="N24" s="31" t="b">
        <v>0</v>
      </c>
      <c r="O24" s="10" t="b">
        <f t="shared" si="1"/>
        <v>0</v>
      </c>
      <c r="P24" s="31" t="b">
        <v>0</v>
      </c>
      <c r="Q24" s="7"/>
    </row>
    <row r="25">
      <c r="A25" s="29" t="b">
        <v>1</v>
      </c>
      <c r="B25" s="29" t="s">
        <v>436</v>
      </c>
      <c r="C25" s="20" t="str">
        <f>IF(ISBLANK(B25), "", VLOOKUP(B25, Candidates!B$2:H$1447, 2, FALSE))</f>
        <v>10.1016/j.jss.2013.12.033</v>
      </c>
      <c r="D25" s="7" t="str">
        <f>IF(ISBLANK(B25), "", VLOOKUP(B25, Candidates!B$2:H$1447, 3, FALSE))</f>
        <v>Chen B.; Peng X.; Yu Y.; Zhao W.</v>
      </c>
      <c r="E25" s="7" t="str">
        <f>IF(ISBLANK(B25), "", VLOOKUP(B25, Candidates!B$2:H$1447, 4, FALSE))</f>
        <v>Uncertainty handling in goal-driven self-optimization - Limiting the negative effect on adaptation</v>
      </c>
      <c r="F25" s="20" t="str">
        <f>IF(ISBLANK(B25), "", VLOOKUP(B25, Candidates!B$2:H$1447, 5, FALSE))</f>
        <v>JSS</v>
      </c>
      <c r="G25" s="7" t="str">
        <f>IF(ISBLANK(B25), "", VLOOKUP(B25, Candidates!B$2:H$1447, 6, FALSE))</f>
        <v>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 2014 Elsevier Inc.</v>
      </c>
      <c r="H25" s="7" t="str">
        <f>IF(ISBLANK(B25), "", VLOOKUP(B25, Candidates!B$2:H$1447, 7, FALSE))</f>
        <v>Goal-driven self-optimization; Requirements goal models; Uncertainty</v>
      </c>
      <c r="I25" s="33" t="b">
        <v>0</v>
      </c>
      <c r="J25" s="10" t="b">
        <v>0</v>
      </c>
      <c r="K25" s="10" t="b">
        <v>0</v>
      </c>
      <c r="L25" s="10" t="b">
        <v>0</v>
      </c>
      <c r="M25" s="10" t="b">
        <v>0</v>
      </c>
      <c r="N25" s="31" t="b">
        <v>0</v>
      </c>
      <c r="O25" s="10" t="b">
        <f t="shared" si="1"/>
        <v>0</v>
      </c>
      <c r="P25" s="31" t="b">
        <v>0</v>
      </c>
      <c r="Q25" s="7"/>
    </row>
    <row r="26">
      <c r="A26" s="29" t="b">
        <v>1</v>
      </c>
      <c r="B26" s="29" t="s">
        <v>448</v>
      </c>
      <c r="C26" s="20" t="str">
        <f>IF(ISBLANK(B26), "", VLOOKUP(B26, Candidates!B$2:H$1447, 2, FALSE))</f>
        <v>10.1016/j.jss.2022.111263</v>
      </c>
      <c r="D26" s="7" t="str">
        <f>IF(ISBLANK(B26), "", VLOOKUP(B26, Candidates!B$2:H$1447, 3, FALSE))</f>
        <v>Etemadi K.; Tarighat N.; Yadav S.; Martinez M.; Monperrus M.</v>
      </c>
      <c r="E26" s="7" t="str">
        <f>IF(ISBLANK(B26), "", VLOOKUP(B26, Candidates!B$2:H$1447, 4, FALSE))</f>
        <v>Estimating the potential of program repair search spaces with commit analysis</v>
      </c>
      <c r="F26" s="20" t="str">
        <f>IF(ISBLANK(B26), "", VLOOKUP(B26, Candidates!B$2:H$1447, 5, FALSE))</f>
        <v>JSS</v>
      </c>
      <c r="G26" s="7" t="str">
        <f>IF(ISBLANK(B26), "", VLOOKUP(B26, Candidates!B$2:H$1447, 6, FALSE))</f>
        <v>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v>
      </c>
      <c r="H26" s="7" t="str">
        <f>IF(ISBLANK(B26), "", VLOOKUP(B26, Candidates!B$2:H$1447, 7, FALSE))</f>
        <v>Commit analysis; Program repair; Search-space; Static code analysis</v>
      </c>
      <c r="I26" s="33" t="b">
        <v>0</v>
      </c>
      <c r="J26" s="10" t="b">
        <v>0</v>
      </c>
      <c r="K26" s="10" t="b">
        <v>0</v>
      </c>
      <c r="L26" s="10" t="b">
        <v>0</v>
      </c>
      <c r="M26" s="10" t="b">
        <v>0</v>
      </c>
      <c r="N26" s="31" t="b">
        <v>0</v>
      </c>
      <c r="O26" s="10" t="b">
        <f t="shared" si="1"/>
        <v>0</v>
      </c>
      <c r="P26" s="31" t="b">
        <v>0</v>
      </c>
      <c r="Q26" s="7"/>
    </row>
    <row r="27">
      <c r="A27" s="29" t="b">
        <v>1</v>
      </c>
      <c r="B27" s="29" t="s">
        <v>456</v>
      </c>
      <c r="C27" s="20" t="str">
        <f>IF(ISBLANK(B27), "", VLOOKUP(B27, Candidates!B$2:H$1447, 2, FALSE))</f>
        <v>10.1016/j.jss.2014.10.010</v>
      </c>
      <c r="D27" s="7" t="str">
        <f>IF(ISBLANK(B27), "", VLOOKUP(B27, Candidates!B$2:H$1447, 3, FALSE))</f>
        <v>Morales J.M.; Navarro E.; Sánchez P.; Alonso D.</v>
      </c>
      <c r="E27" s="7" t="str">
        <f>IF(ISBLANK(B27), "", VLOOKUP(B27, Candidates!B$2:H$1447, 4, FALSE))</f>
        <v>A controlled experiment to evaluate the understandability of KAOS and i∗ for modeling Teleo-Reactive systems</v>
      </c>
      <c r="F27" s="20" t="str">
        <f>IF(ISBLANK(B27), "", VLOOKUP(B27, Candidates!B$2:H$1447, 5, FALSE))</f>
        <v>JSS</v>
      </c>
      <c r="G27" s="7" t="str">
        <f>IF(ISBLANK(B27), "", VLOOKUP(B27, Candidates!B$2:H$1447, 6, FALSE))</f>
        <v>Context Teleo-Reactive (TR) specifications allow engineers to define the behavior of reactive systems while taking into account goals and changes in the state of the environment.; Objective This article evaluates two different Goal Oriented Requirements Engineering notations, i∗ and KAOS, to determine their understandability level for specifying TR systems.; Method 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 Results The statistical analysis of the data obtained by means of the experiment showed that the understandability of i∗ is higher than that of KAOS when modeling TR systems.; Conclusion 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 2014 Elsevier Inc. All rights reserved.</v>
      </c>
      <c r="H27" s="7" t="str">
        <f>IF(ISBLANK(B27), "", VLOOKUP(B27, Candidates!B$2:H$1447, 7, FALSE))</f>
        <v>Controlled experiment; Requirements engineering; Teleo-Reactive</v>
      </c>
      <c r="I27" s="30" t="b">
        <v>1</v>
      </c>
      <c r="J27" s="9" t="b">
        <v>1</v>
      </c>
      <c r="K27" s="9" t="b">
        <v>1</v>
      </c>
      <c r="L27" s="10" t="b">
        <v>0</v>
      </c>
      <c r="M27" s="10" t="b">
        <v>0</v>
      </c>
      <c r="N27" s="31" t="b">
        <v>0</v>
      </c>
      <c r="O27" s="10" t="b">
        <f t="shared" si="1"/>
        <v>1</v>
      </c>
      <c r="P27" s="31" t="b">
        <v>0</v>
      </c>
      <c r="Q27" s="7"/>
    </row>
    <row r="28">
      <c r="A28" s="29" t="b">
        <v>1</v>
      </c>
      <c r="B28" s="29" t="s">
        <v>467</v>
      </c>
      <c r="C28" s="20" t="str">
        <f>IF(ISBLANK(B28), "", VLOOKUP(B28, Candidates!B$2:H$1447, 2, FALSE))</f>
        <v>10.1016/j.jss.2019.02.031</v>
      </c>
      <c r="D28" s="7" t="str">
        <f>IF(ISBLANK(B28), "", VLOOKUP(B28, Candidates!B$2:H$1447, 3, FALSE))</f>
        <v>Abdullah M.; Iqbal W.; Erradi A.</v>
      </c>
      <c r="E28" s="7" t="str">
        <f>IF(ISBLANK(B28), "", VLOOKUP(B28, Candidates!B$2:H$1447, 4, FALSE))</f>
        <v>Unsupervised learning approach for web application auto-decomposition into microservices</v>
      </c>
      <c r="F28" s="20" t="str">
        <f>IF(ISBLANK(B28), "", VLOOKUP(B28, Candidates!B$2:H$1447, 5, FALSE))</f>
        <v>JSS</v>
      </c>
      <c r="G28" s="7" t="str">
        <f>IF(ISBLANK(B28), "", VLOOKUP(B28, Candidates!B$2:H$1447, 6, FALSE))</f>
        <v>Nowadays, large monolithic web applications are manually decomposed into microservices for many reasons including adopting a modern architecture to ease maintenance and increase reusability. However, the existing approaches to refactor a monolithic application do not inherently consider the application scalability and performance. We devise a novel method to automatically decompose a monolithic application into microservices to improve the application scalability and performance. Our proposed decomposition method is based on a black-box approach that uses the application access logs and an unsupervised machine-learning method to auto-decompose the application into microservices mapped to URL partitions having similar performance and resource requirements. In particular, we propose a complete automated system to decompose an application into microservices, deploy the microservices using appropriate resources, and auto-scale the microservices to maintain the desired response time. We evaluate the proposed system using real web applications on a public cloud infrastructure. The experimental evaluation shows an improved performance of the auto-created microservices compared with the monolithic version of the application and the manually created microservices. © 2019</v>
      </c>
      <c r="H28" s="7" t="str">
        <f>IF(ISBLANK(B28), "", VLOOKUP(B28, Candidates!B$2:H$1447, 7, FALSE))</f>
        <v>Application decomposition; Cloud computing; Microservices; Scalability; Web applications</v>
      </c>
      <c r="I28" s="33" t="b">
        <v>0</v>
      </c>
      <c r="J28" s="10" t="b">
        <v>0</v>
      </c>
      <c r="K28" s="10" t="b">
        <v>0</v>
      </c>
      <c r="L28" s="10" t="b">
        <v>0</v>
      </c>
      <c r="M28" s="10" t="b">
        <v>0</v>
      </c>
      <c r="N28" s="31" t="b">
        <v>0</v>
      </c>
      <c r="O28" s="10" t="b">
        <f t="shared" si="1"/>
        <v>0</v>
      </c>
      <c r="P28" s="31" t="b">
        <v>0</v>
      </c>
      <c r="Q28" s="7"/>
    </row>
    <row r="29">
      <c r="A29" s="29" t="b">
        <v>1</v>
      </c>
      <c r="B29" s="29" t="s">
        <v>491</v>
      </c>
      <c r="C29" s="20" t="str">
        <f>IF(ISBLANK(B29), "", VLOOKUP(B29, Candidates!B$2:H$1447, 2, FALSE))</f>
        <v>10.1016/j.jss.2003.09.020</v>
      </c>
      <c r="D29" s="7" t="str">
        <f>IF(ISBLANK(B29), "", VLOOKUP(B29, Candidates!B$2:H$1447, 3, FALSE))</f>
        <v>Terzi E.; Vakali A.; Angelis L.</v>
      </c>
      <c r="E29" s="7" t="str">
        <f>IF(ISBLANK(B29), "", VLOOKUP(B29, Candidates!B$2:H$1447, 4, FALSE))</f>
        <v>A simulated annealing approach for multimedia data placement</v>
      </c>
      <c r="F29" s="20" t="str">
        <f>IF(ISBLANK(B29), "", VLOOKUP(B29, Candidates!B$2:H$1447, 5, FALSE))</f>
        <v>JSS</v>
      </c>
      <c r="G29" s="7" t="str">
        <f>IF(ISBLANK(B29), "", VLOOKUP(B29, Candidates!B$2:H$1447, 6, FALSE))</f>
        <v>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 2003 Published by Elsevier Inc.</v>
      </c>
      <c r="H29" s="7" t="str">
        <f>IF(ISBLANK(B29), "", VLOOKUP(B29, Candidates!B$2:H$1447, 7, FALSE))</f>
        <v>Multimedia data storage; Self-improving processes; Simulated annealing; Tertiary storage subsystems</v>
      </c>
      <c r="I29" s="33" t="b">
        <v>0</v>
      </c>
      <c r="J29" s="10" t="b">
        <v>0</v>
      </c>
      <c r="K29" s="10" t="b">
        <v>0</v>
      </c>
      <c r="L29" s="10" t="b">
        <v>0</v>
      </c>
      <c r="M29" s="10" t="b">
        <v>0</v>
      </c>
      <c r="N29" s="31" t="b">
        <v>0</v>
      </c>
      <c r="O29" s="10" t="b">
        <f t="shared" si="1"/>
        <v>0</v>
      </c>
      <c r="P29" s="31" t="b">
        <v>0</v>
      </c>
      <c r="Q29" s="7"/>
    </row>
    <row r="30">
      <c r="A30" s="29" t="b">
        <v>1</v>
      </c>
      <c r="B30" s="29" t="s">
        <v>513</v>
      </c>
      <c r="C30" s="20" t="str">
        <f>IF(ISBLANK(B30), "", VLOOKUP(B30, Candidates!B$2:H$1447, 2, FALSE))</f>
        <v>10.1016/j.jss.2007.07.031</v>
      </c>
      <c r="D30" s="7" t="str">
        <f>IF(ISBLANK(B30), "", VLOOKUP(B30, Candidates!B$2:H$1447, 3, FALSE))</f>
        <v>Sangwan R.; Neill C.; Bass M.; El Houda Z.</v>
      </c>
      <c r="E30" s="7" t="str">
        <f>IF(ISBLANK(B30), "", VLOOKUP(B30, Candidates!B$2:H$1447, 4, FALSE))</f>
        <v>Integrating a software architecture-centric method into object-oriented analysis and design</v>
      </c>
      <c r="F30" s="20" t="str">
        <f>IF(ISBLANK(B30), "", VLOOKUP(B30, Candidates!B$2:H$1447, 5, FALSE))</f>
        <v>JSS</v>
      </c>
      <c r="G30" s="7" t="str">
        <f>IF(ISBLANK(B30), "", VLOOKUP(B30, Candidates!B$2:H$1447, 6, FALSE))</f>
        <v>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 2007 Elsevier Inc. All rights reserved.</v>
      </c>
      <c r="H30" s="7" t="str">
        <f>IF(ISBLANK(B30), "", VLOOKUP(B30, Candidates!B$2:H$1447, 7, FALSE))</f>
        <v>Attribute Driven Design (ADD); Object-Oriented Analysis and Design (OOAD); Quality Attribute Workshop (QAW); Software architecture-centric methods</v>
      </c>
      <c r="I30" s="33" t="b">
        <v>0</v>
      </c>
      <c r="J30" s="10" t="b">
        <v>0</v>
      </c>
      <c r="K30" s="10" t="b">
        <v>0</v>
      </c>
      <c r="L30" s="10" t="b">
        <v>0</v>
      </c>
      <c r="M30" s="10" t="b">
        <v>0</v>
      </c>
      <c r="N30" s="31" t="b">
        <v>0</v>
      </c>
      <c r="O30" s="10" t="b">
        <f t="shared" si="1"/>
        <v>0</v>
      </c>
      <c r="P30" s="31" t="b">
        <v>0</v>
      </c>
      <c r="Q30" s="7"/>
    </row>
    <row r="31">
      <c r="A31" s="29" t="b">
        <v>1</v>
      </c>
      <c r="B31" s="29" t="s">
        <v>517</v>
      </c>
      <c r="C31" s="20" t="str">
        <f>IF(ISBLANK(B31), "", VLOOKUP(B31, Candidates!B$2:H$1447, 2, FALSE))</f>
        <v>10.1016/S0164-1212(03)00242-5</v>
      </c>
      <c r="D31" s="7" t="str">
        <f>IF(ISBLANK(B31), "", VLOOKUP(B31, Candidates!B$2:H$1447, 3, FALSE))</f>
        <v>Spanoudakis G.; Zisman A.; Pérez-Miñana E.; Krause P.</v>
      </c>
      <c r="E31" s="7" t="str">
        <f>IF(ISBLANK(B31), "", VLOOKUP(B31, Candidates!B$2:H$1447, 4, FALSE))</f>
        <v>Rule-based generation of requirements traceability relations</v>
      </c>
      <c r="F31" s="20" t="str">
        <f>IF(ISBLANK(B31), "", VLOOKUP(B31, Candidates!B$2:H$1447, 5, FALSE))</f>
        <v>JSS</v>
      </c>
      <c r="G31" s="7" t="str">
        <f>IF(ISBLANK(B31), "", VLOOKUP(B31, Candidates!B$2:H$1447, 6, FALSE))</f>
        <v>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 2003 Elsevier Inc. All rights reserved.</v>
      </c>
      <c r="H31" s="7" t="str">
        <f>IF(ISBLANK(B31), "", VLOOKUP(B31, Candidates!B$2:H$1447, 7, FALSE))</f>
        <v>Natural language processing; Requirement traceability; Rule-based traceability reasoning</v>
      </c>
      <c r="I31" s="33" t="b">
        <v>0</v>
      </c>
      <c r="J31" s="10" t="b">
        <v>0</v>
      </c>
      <c r="K31" s="10" t="b">
        <v>0</v>
      </c>
      <c r="L31" s="10" t="b">
        <v>0</v>
      </c>
      <c r="M31" s="10" t="b">
        <v>0</v>
      </c>
      <c r="N31" s="31" t="b">
        <v>0</v>
      </c>
      <c r="O31" s="10" t="b">
        <f t="shared" si="1"/>
        <v>0</v>
      </c>
      <c r="P31" s="31" t="b">
        <v>0</v>
      </c>
      <c r="Q31" s="7"/>
    </row>
    <row r="32">
      <c r="A32" s="29" t="b">
        <v>1</v>
      </c>
      <c r="B32" s="29" t="s">
        <v>568</v>
      </c>
      <c r="C32" s="20" t="str">
        <f>IF(ISBLANK(B32), "", VLOOKUP(B32, Candidates!B$2:H$1447, 2, FALSE))</f>
        <v>10.1016/j.infsof.2013.11.004</v>
      </c>
      <c r="D32" s="7" t="str">
        <f>IF(ISBLANK(B32), "", VLOOKUP(B32, Candidates!B$2:H$1447, 3, FALSE))</f>
        <v>Aceituna D.; Walia G.; Do H.; Lee S.-W.</v>
      </c>
      <c r="E32" s="7" t="str">
        <f>IF(ISBLANK(B32), "", VLOOKUP(B32, Candidates!B$2:H$1447, 4, FALSE))</f>
        <v>Model-based requirements verification method: Conclusions from two controlled experiments</v>
      </c>
      <c r="F32" s="20" t="str">
        <f>IF(ISBLANK(B32), "", VLOOKUP(B32, Candidates!B$2:H$1447, 5, FALSE))</f>
        <v>IST</v>
      </c>
      <c r="G32" s="7" t="str">
        <f>IF(ISBLANK(B32), "", VLOOKUP(B32, Candidates!B$2:H$1447, 6, FALSE))</f>
        <v>Context 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 Objective To ensure high-quality software, we need effective requirements verification methods that can clearly handle and address inherently ambiguous nature of NL specifications. The objective of this paper is to propose a method that can address the challenges with NL requirements verification and to evaluate our proposed method through controlled experiments. Method We propose a model-based requirements verification method, called NLtoSTD, which transforms NL requirements into a State Transition Diagram (STD) that can help to detect and to eliminate ambiguities and incompleteness. The paper describes the NLtoSTD method to detect requirement faults, thereby improving the quality of the requirements. To evaluate the NLtoSTD method, we conducted two controlled experiments at North Dakota State University in which the participants employed the NLtoSTD method and a traditional fault checklist during the inspection of requirement documents to identify the ambiguities and incompleteness of the requirements. Results Two experiment results show that the NLtoSTD method can be more effective in exposing the missing functionality and, in some cases, more ambiguous information than the fault-checklist method. Our experiments also revealed areas of improvement that benefit the method's applicability in the future. Conclusion We presented a new approach, NLtoSTD, to verify requirements documents and two controlled experiments assessing our approach. The results are promising and have motivated the refinement of the NLtoSTD method and future empirical evaluation. © 2013 Elsevier B.V. All rights reserved.</v>
      </c>
      <c r="H32" s="7" t="str">
        <f>IF(ISBLANK(B32), "", VLOOKUP(B32, Candidates!B$2:H$1447, 7, FALSE))</f>
        <v>Controlled experiments; Fault checklist; Model-based verification; NLtoSTD; Requirements verification</v>
      </c>
      <c r="I32" s="30" t="b">
        <v>1</v>
      </c>
      <c r="J32" s="9" t="b">
        <v>1</v>
      </c>
      <c r="K32" s="9" t="b">
        <v>1</v>
      </c>
      <c r="L32" s="10" t="b">
        <v>0</v>
      </c>
      <c r="M32" s="10" t="b">
        <v>0</v>
      </c>
      <c r="N32" s="31" t="b">
        <v>0</v>
      </c>
      <c r="O32" s="10" t="b">
        <f t="shared" si="1"/>
        <v>1</v>
      </c>
      <c r="P32" s="31" t="b">
        <v>0</v>
      </c>
      <c r="Q32" s="7"/>
    </row>
    <row r="33">
      <c r="A33" s="29" t="b">
        <v>1</v>
      </c>
      <c r="B33" s="29" t="s">
        <v>586</v>
      </c>
      <c r="C33" s="20" t="str">
        <f>IF(ISBLANK(B33), "", VLOOKUP(B33, Candidates!B$2:H$1447, 2, FALSE))</f>
        <v>10.1016/j.infsof.2019.106196</v>
      </c>
      <c r="D33" s="7" t="str">
        <f>IF(ISBLANK(B33), "", VLOOKUP(B33, Candidates!B$2:H$1447, 3, FALSE))</f>
        <v>Lian X.; Liu W.; Zhang L.</v>
      </c>
      <c r="E33" s="7" t="str">
        <f>IF(ISBLANK(B33), "", VLOOKUP(B33, Candidates!B$2:H$1447, 4, FALSE))</f>
        <v>Assisting engineers extracting requirements on components from domain documents</v>
      </c>
      <c r="F33" s="20" t="str">
        <f>IF(ISBLANK(B33), "", VLOOKUP(B33, Candidates!B$2:H$1447, 5, FALSE))</f>
        <v>IST</v>
      </c>
      <c r="G33" s="7" t="str">
        <f>IF(ISBLANK(B33), "", VLOOKUP(B33, Candidates!B$2:H$1447, 6, FALSE))</f>
        <v>Context: When entering an unfamiliar domain, organizations usually have to invest significant time and effort performing domain analysis with the purpose of acquiring system requirements. This process usually involves collecting domain documents extensively, retrieving and reviewing the related ones carefully, searching for the requirements knowledge, then extracting and specifying system requirements. Furthermore, the task must often be performed repeatedly throughout the early phases of projects. Depending on the nature of the domain and the availability of documentation, this process is extremely time-consuming and may require non-trivial human effort. Objective: In order to assist engineers identifying requirements knowledge from a collect of domain documents, previously we proposed an approach MaRK in the Conference RE’16 which ranks the domain documents by their relevance to components and highlights the content that are likely to contain component-related information. Experiments showed MaRK can almost identify the top and bottom documents in the reference list. However, it tends to underestimate the relevance of the domain documents that have a number of sections with medium knowledge density. Method: We improve the ranking algorithm in MaRK and propose MaRK-II. In addition, to assist engineers locating the relevant information in lengthy documents, we preserve the highlighting work in MaRK and strengthen MaRK-II by extracting the summary of component-related text. MaRK-II is evaluated with the documents in three domains. Results: We found that MaRK-II significantly outperforms MaRK and VSM on ranking the documents by their relevance. And a user study showed that MaRK-II is indeed helpful for engineers to extract requirements on components. Conclusions: Our approach provides three mechanisms including documents ranking, pertinent content highlighting and summarizing to help engineers obtaining requirements from a collection of domain documents. © 2019</v>
      </c>
      <c r="H33" s="7" t="str">
        <f>IF(ISBLANK(B33), "", VLOOKUP(B33, Candidates!B$2:H$1447, 7, FALSE))</f>
        <v>Documents ranking; Domain reference model; Extractive text summarization; Requirements discovery</v>
      </c>
      <c r="I33" s="33" t="b">
        <v>0</v>
      </c>
      <c r="J33" s="10" t="b">
        <v>0</v>
      </c>
      <c r="K33" s="10" t="b">
        <v>0</v>
      </c>
      <c r="L33" s="10" t="b">
        <v>0</v>
      </c>
      <c r="M33" s="10" t="b">
        <v>0</v>
      </c>
      <c r="N33" s="31" t="b">
        <v>0</v>
      </c>
      <c r="O33" s="10" t="b">
        <f t="shared" si="1"/>
        <v>0</v>
      </c>
      <c r="P33" s="31" t="b">
        <v>0</v>
      </c>
      <c r="Q33" s="7"/>
    </row>
    <row r="34">
      <c r="A34" s="29" t="b">
        <v>1</v>
      </c>
      <c r="B34" s="29" t="s">
        <v>633</v>
      </c>
      <c r="C34" s="20" t="str">
        <f>IF(ISBLANK(B34), "", VLOOKUP(B34, Candidates!B$2:H$1447, 2, FALSE))</f>
        <v>10.1016/j.infsof.2015.09.002</v>
      </c>
      <c r="D34" s="7" t="str">
        <f>IF(ISBLANK(B34), "", VLOOKUP(B34, Candidates!B$2:H$1447, 3, FALSE))</f>
        <v>Srikanth H.; Hettiarachchi C.; Do H.</v>
      </c>
      <c r="E34" s="7" t="str">
        <f>IF(ISBLANK(B34), "", VLOOKUP(B34, Candidates!B$2:H$1447, 4, FALSE))</f>
        <v>Requirements based test prioritization using risk factors: An industrial study</v>
      </c>
      <c r="F34" s="20" t="str">
        <f>IF(ISBLANK(B34), "", VLOOKUP(B34, Candidates!B$2:H$1447, 5, FALSE))</f>
        <v>IST</v>
      </c>
      <c r="G34" s="7" t="str">
        <f>IF(ISBLANK(B34), "", VLOOKUP(B34, Candidates!B$2:H$1447, 6, FALSE))</f>
        <v>Context Software testing is an expensive and time-consuming process. Software engineering teams are often forced to terminate their testing efforts due to budgetary and time constraints, which inevitably lead to long term issues with quality and customer satisfaction. Test case prioritization (TCP) has shown to improve test effectiveness. Objective The results of our prior work on requirements-based test prioritization showed improved rate of fault detection on industrial projects; the customer priority (CP) and the fault proneness (FP) were the biggest contributing factors to test effectiveness. The objective of this paper is to further investigate these two factors and apply prioritization based on these factors in a different domain: an enterprise level cloud application. We aim to provide an effective prioritization scheme that practitioners can implement with minimum effort. The other objective is to compare the results and the benefits of these two factors with two risk-based prioritization approaches that extract risks from the system requirements categories. Method Our approach involved analyzing and assigning values to each requirement based on two important factors, CP and FP, so that the test cases for high-value requirements are prioritized earlier for execution. We also proposed two requirements-based TCP approaches that use risk information of the system. Results Our results indicate that the use of CP and FP can improve the effectiveness of TCP. The results also show that the risk-based prioritization can be effective in improving the TCP. Conclusion We performed an experiment on an enterprise cloud application to measure the fault detection rate of different test suites that are prioritized based on CP, FP, and risks. The results depict that all approaches outperform the random prioritization approach, which is prevalent in the industry. Furthermore, the proposed approaches can easily be used in the industry to address the schedule and budget constraints at the testing phase. © 2015 Elsevier B.V.</v>
      </c>
      <c r="H34" s="7" t="str">
        <f>IF(ISBLANK(B34), "", VLOOKUP(B34, Candidates!B$2:H$1447, 7, FALSE))</f>
        <v>Cloud application; SaaS; Software testing; System testing; Test prioritization</v>
      </c>
      <c r="I34" s="33" t="b">
        <v>0</v>
      </c>
      <c r="J34" s="10" t="b">
        <v>0</v>
      </c>
      <c r="K34" s="10" t="b">
        <v>0</v>
      </c>
      <c r="L34" s="10" t="b">
        <v>0</v>
      </c>
      <c r="M34" s="10" t="b">
        <v>0</v>
      </c>
      <c r="N34" s="31" t="b">
        <v>0</v>
      </c>
      <c r="O34" s="10" t="b">
        <f t="shared" si="1"/>
        <v>0</v>
      </c>
      <c r="P34" s="31" t="b">
        <v>0</v>
      </c>
      <c r="Q34" s="7"/>
    </row>
    <row r="35">
      <c r="A35" s="29" t="b">
        <v>1</v>
      </c>
      <c r="B35" s="29" t="s">
        <v>635</v>
      </c>
      <c r="C35" s="20" t="str">
        <f>IF(ISBLANK(B35), "", VLOOKUP(B35, Candidates!B$2:H$1447, 2, FALSE))</f>
        <v>10.1016/j.infsof.2013.10.004</v>
      </c>
      <c r="D35" s="7" t="str">
        <f>IF(ISBLANK(B35), "", VLOOKUP(B35, Candidates!B$2:H$1447, 3, FALSE))</f>
        <v>Karpati P.; Redda Y.; Opdahl A.L.; Sindre G.</v>
      </c>
      <c r="E35" s="7" t="str">
        <f>IF(ISBLANK(B35), "", VLOOKUP(B35, Candidates!B$2:H$1447, 4, FALSE))</f>
        <v>Comparing attack trees and misuse cases in an industrial setting</v>
      </c>
      <c r="F35" s="20" t="str">
        <f>IF(ISBLANK(B35), "", VLOOKUP(B35, Candidates!B$2:H$1447, 5, FALSE))</f>
        <v>IST</v>
      </c>
      <c r="G35" s="7" t="str">
        <f>IF(ISBLANK(B35), "", VLOOKUP(B35, Candidates!B$2:H$1447, 6, FALSE))</f>
        <v>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 © 2013 Elsevier B.V. All rights reserved.</v>
      </c>
      <c r="H35" s="7" t="str">
        <f>IF(ISBLANK(B35), "", VLOOKUP(B35, Candidates!B$2:H$1447, 7, FALSE))</f>
        <v>Attack trees; Industrial experiment; Misuse cases; Requirements modelling; Security requirements</v>
      </c>
      <c r="I35" s="30" t="b">
        <v>1</v>
      </c>
      <c r="J35" s="10" t="b">
        <v>0</v>
      </c>
      <c r="K35" s="10" t="b">
        <v>0</v>
      </c>
      <c r="L35" s="10" t="b">
        <v>0</v>
      </c>
      <c r="M35" s="10" t="b">
        <v>0</v>
      </c>
      <c r="N35" s="31" t="b">
        <v>0</v>
      </c>
      <c r="O35" s="10" t="b">
        <f t="shared" si="1"/>
        <v>0</v>
      </c>
      <c r="P35" s="31" t="b">
        <v>0</v>
      </c>
      <c r="Q35" s="13" t="s">
        <v>1532</v>
      </c>
    </row>
    <row r="36">
      <c r="A36" s="29" t="b">
        <v>1</v>
      </c>
      <c r="B36" s="29" t="s">
        <v>640</v>
      </c>
      <c r="C36" s="20" t="str">
        <f>IF(ISBLANK(B36), "", VLOOKUP(B36, Candidates!B$2:H$1447, 2, FALSE))</f>
        <v>10.1016/j.infsof.2018.09.009</v>
      </c>
      <c r="D36" s="7" t="str">
        <f>IF(ISBLANK(B36), "", VLOOKUP(B36, Candidates!B$2:H$1447, 3, FALSE))</f>
        <v>Ali N.; Cai H.; Hamou-Lhadj A.; Hassine J.</v>
      </c>
      <c r="E36" s="7" t="str">
        <f>IF(ISBLANK(B36), "", VLOOKUP(B36, Candidates!B$2:H$1447, 4, FALSE))</f>
        <v>Exploiting Parts-of-Speech for effective automated requirements traceability</v>
      </c>
      <c r="F36" s="20" t="str">
        <f>IF(ISBLANK(B36), "", VLOOKUP(B36, Candidates!B$2:H$1447, 5, FALSE))</f>
        <v>IST</v>
      </c>
      <c r="G36" s="7" t="str">
        <f>IF(ISBLANK(B36), "", VLOOKUP(B36, Candidates!B$2:H$1447, 6, FALSE))</f>
        <v>Context: Requirement traceability (RT) is defined as the ability to describe and follow the life of a requirement. RT helps developers ensure that relevant requirements are implemented and that the source code is consistent with its requirement with respect to a set of traceability links called trace links. Previous work leverages Parts Of Speech (POS) tagging of software artifacts to recover trace links among them. These studies work on the premise that discarding one or more POS tags results in an improved accuracy of Information Retrieval (IR) techniques. Objective: First, we show empirically that excluding one or more POS tags could negatively impact the accuracy of existing IR-based traceability approaches, namely the Vector Space Model (VSM) and the Jensen Shannon Model (JSM). Second, we propose a method that improves the accuracy of IR-based traceability approaches. Method: We developed an approach, called ConPOS, to recover trace links using constraint-based pruning. ConPOS uses major POS categories and applies constraints to the recovered trace links for pruning as a filtering process to significantly improve the effectiveness of IR-based techniques. We conducted an experiment to provide evidence that removing POSs does not improve the accuracy of IR techniques. Furthermore, we conducted two empirical studies to evaluate the effectiveness of ConPOS in recovering trace links compared to existing peer RT approaches. Results: The results of the first empirical study show that removing one or more POS negatively impacts the accuracy of VSM and JSM. Furthermore, the results from the other empirical studies show that ConPOS provides 11%-107%, 8%-64%, and 15%-170% higher precision, recall, and mean average precision (MAP) than VSM and JSM. Conclusion: We showed that ConPos outperforms existing IR-based RT approaches that discard some POS tags from the input documents. © 2018 Elsevier B.V.</v>
      </c>
      <c r="H36" s="7" t="str">
        <f>IF(ISBLANK(B36), "", VLOOKUP(B36, Candidates!B$2:H$1447, 7, FALSE))</f>
        <v>Information retrieval (IR); Parts of Speech (POS); Requirements traceability (RT); Trace links</v>
      </c>
      <c r="I36" s="33" t="b">
        <v>0</v>
      </c>
      <c r="J36" s="9" t="b">
        <v>1</v>
      </c>
      <c r="K36" s="9" t="b">
        <v>1</v>
      </c>
      <c r="L36" s="10" t="b">
        <v>0</v>
      </c>
      <c r="M36" s="10" t="b">
        <v>0</v>
      </c>
      <c r="N36" s="31" t="b">
        <v>0</v>
      </c>
      <c r="O36" s="10" t="b">
        <f t="shared" si="1"/>
        <v>0</v>
      </c>
      <c r="P36" s="31" t="b">
        <v>0</v>
      </c>
      <c r="Q36" s="7"/>
    </row>
    <row r="37">
      <c r="A37" s="29" t="b">
        <v>1</v>
      </c>
      <c r="B37" s="29" t="s">
        <v>649</v>
      </c>
      <c r="C37" s="20" t="str">
        <f>IF(ISBLANK(B37), "", VLOOKUP(B37, Candidates!B$2:H$1447, 2, FALSE))</f>
        <v>10.1016/j.infsof.2023.107165</v>
      </c>
      <c r="D37" s="7" t="str">
        <f>IF(ISBLANK(B37), "", VLOOKUP(B37, Candidates!B$2:H$1447, 3, FALSE))</f>
        <v>Yu X.; Dai H.; Li L.; Gu X.; Keung J.W.; Bennin K.E.; Li F.; Liu J.</v>
      </c>
      <c r="E37" s="7" t="str">
        <f>IF(ISBLANK(B37), "", VLOOKUP(B37, Candidates!B$2:H$1447, 4, FALSE))</f>
        <v>Finding the best learning to rank algorithms for effort-aware defect prediction</v>
      </c>
      <c r="F37" s="20" t="str">
        <f>IF(ISBLANK(B37), "", VLOOKUP(B37, Candidates!B$2:H$1447, 5, FALSE))</f>
        <v>IST</v>
      </c>
      <c r="G37" s="7" t="str">
        <f>IF(ISBLANK(B37), "", VLOOKUP(B37, Candidates!B$2:H$1447, 6, FALSE))</f>
        <v>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v>
      </c>
      <c r="H37" s="7" t="str">
        <f>IF(ISBLANK(B37), "", VLOOKUP(B37, Candidates!B$2:H$1447, 7, FALSE))</f>
        <v>Empirical study; Learning to rank; Ranking instability; Software defect prediction</v>
      </c>
      <c r="I37" s="33" t="b">
        <v>0</v>
      </c>
      <c r="J37" s="10" t="b">
        <v>0</v>
      </c>
      <c r="K37" s="10" t="b">
        <v>0</v>
      </c>
      <c r="L37" s="10" t="b">
        <v>0</v>
      </c>
      <c r="M37" s="10" t="b">
        <v>0</v>
      </c>
      <c r="N37" s="31" t="b">
        <v>0</v>
      </c>
      <c r="O37" s="10" t="b">
        <f t="shared" si="1"/>
        <v>0</v>
      </c>
      <c r="P37" s="31" t="b">
        <v>0</v>
      </c>
      <c r="Q37" s="7"/>
    </row>
    <row r="38">
      <c r="A38" s="29" t="b">
        <v>1</v>
      </c>
      <c r="B38" s="29" t="s">
        <v>655</v>
      </c>
      <c r="C38" s="20" t="str">
        <f>IF(ISBLANK(B38), "", VLOOKUP(B38, Candidates!B$2:H$1447, 2, FALSE))</f>
        <v>10.1016/j.infsof.2019.08.003</v>
      </c>
      <c r="D38" s="7" t="str">
        <f>IF(ISBLANK(B38), "", VLOOKUP(B38, Candidates!B$2:H$1447, 3, FALSE))</f>
        <v>Abrahão S.; Insfran E.; González-Ladrón-de-Guevara F.; Fernández-Diego M.; Cano-Genoves C.; Pereira de Oliveira R.</v>
      </c>
      <c r="E38" s="7" t="str">
        <f>IF(ISBLANK(B38), "", VLOOKUP(B38, Candidates!B$2:H$1447, 4, FALSE))</f>
        <v>Assessing the effectiveness of goal-oriented modeling languages: A family of experiments</v>
      </c>
      <c r="F38" s="20" t="str">
        <f>IF(ISBLANK(B38), "", VLOOKUP(B38, Candidates!B$2:H$1447, 5, FALSE))</f>
        <v>IST</v>
      </c>
      <c r="G38" s="7" t="str">
        <f>IF(ISBLANK(B38), "", VLOOKUP(B38, Candidates!B$2:H$1447, 6, FALSE))</f>
        <v>Context: Several goal-oriented languages focus on modeling stakeholders’ objectives, interests or wishes. However, these languages can be used for various purposes (e.g., exploring system solutions or evaluating alternatives), and there are few guidelines on how to use these models downstream to the software requirements and design artifacts. Moreover, little attention has been paid to the empirical evaluation of this kind of languages. In a previous work, we proposed value@GRL as a specialization of the Goal Requirements Language (GRL) to specify stakeholders’ goals when dealing with early requirements in the context of incremental software development. Objective: This paper compares the value@GRL language with the i* language, with respect to the quality of goal models, the participants’ modeling time and productivity when creating the models, and their perceptions regarding ease of use and usefulness. Method: A family of experiments was carried out with 184 students and practitioners in which the participants were asked to specify a goal model using each of the languages. The participants also filled in a questionnaire that allowed us to assess their perceptions. Results: The results of the individual experiments and the meta-analysis indicate that the quality of goal models obtained with value@GRL is higher than that of i*, but that the participants required less time to create the goal models when using i*. The results also show that the participants perceived value@GRL to be easier to use and more useful than i* in at least two experiments of the family. Conclusions: value@GRL makes it possible to obtain goal models with good quality when compared to i*, which is one of the most frequently used goal-oriented modeling languages. It can, therefore, be considered as a promising emerging approach in this area. Several insights emerged from the study and opportunities for improving both languages are outlined. © 2019</v>
      </c>
      <c r="H38" s="7" t="str">
        <f>IF(ISBLANK(B38), "", VLOOKUP(B38, Candidates!B$2:H$1447, 7, FALSE))</f>
        <v>Controlled experiments; Goal modeling; GRL; I*; Requirements engineering</v>
      </c>
      <c r="I38" s="30" t="b">
        <v>1</v>
      </c>
      <c r="J38" s="9" t="b">
        <v>1</v>
      </c>
      <c r="K38" s="9" t="b">
        <v>1</v>
      </c>
      <c r="L38" s="10" t="b">
        <v>0</v>
      </c>
      <c r="M38" s="10" t="b">
        <v>0</v>
      </c>
      <c r="N38" s="31" t="b">
        <v>0</v>
      </c>
      <c r="O38" s="10" t="b">
        <f t="shared" si="1"/>
        <v>1</v>
      </c>
      <c r="P38" s="31" t="b">
        <v>0</v>
      </c>
      <c r="Q38" s="7"/>
    </row>
    <row r="39">
      <c r="A39" s="29" t="b">
        <v>1</v>
      </c>
      <c r="B39" s="29" t="s">
        <v>660</v>
      </c>
      <c r="C39" s="20" t="str">
        <f>IF(ISBLANK(B39), "", VLOOKUP(B39, Candidates!B$2:H$1447, 2, FALSE))</f>
        <v>10.1016/j.infsof.2020.106465</v>
      </c>
      <c r="D39" s="7" t="str">
        <f>IF(ISBLANK(B39), "", VLOOKUP(B39, Candidates!B$2:H$1447, 3, FALSE))</f>
        <v>Melegati J.; Guerra E.; Wang X.</v>
      </c>
      <c r="E39" s="7" t="str">
        <f>IF(ISBLANK(B39), "", VLOOKUP(B39, Candidates!B$2:H$1447, 4, FALSE))</f>
        <v>Understanding Hypotheses Engineering in Software Startups through a Gray Literature Review</v>
      </c>
      <c r="F39" s="20" t="str">
        <f>IF(ISBLANK(B39), "", VLOOKUP(B39, Candidates!B$2:H$1447, 5, FALSE))</f>
        <v>IST</v>
      </c>
      <c r="G39" s="7" t="str">
        <f>IF(ISBLANK(B39), "", VLOOKUP(B39, Candidates!B$2:H$1447, 6, FALSE))</f>
        <v>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v>
      </c>
      <c r="H39" s="7" t="str">
        <f>IF(ISBLANK(B39), "", VLOOKUP(B39, Candidates!B$2:H$1447, 7, FALSE))</f>
        <v>gray literature review; hypotheses engineering; software startups</v>
      </c>
      <c r="I39" s="33" t="b">
        <v>0</v>
      </c>
      <c r="J39" s="10" t="b">
        <v>0</v>
      </c>
      <c r="K39" s="10" t="b">
        <v>0</v>
      </c>
      <c r="L39" s="10" t="b">
        <v>0</v>
      </c>
      <c r="M39" s="10" t="b">
        <v>0</v>
      </c>
      <c r="N39" s="31" t="b">
        <v>0</v>
      </c>
      <c r="O39" s="10" t="b">
        <f t="shared" si="1"/>
        <v>0</v>
      </c>
      <c r="P39" s="31" t="b">
        <v>0</v>
      </c>
      <c r="Q39" s="7"/>
    </row>
    <row r="40">
      <c r="A40" s="29" t="b">
        <v>1</v>
      </c>
      <c r="B40" s="29" t="s">
        <v>674</v>
      </c>
      <c r="C40" s="20" t="str">
        <f>IF(ISBLANK(B40), "", VLOOKUP(B40, Candidates!B$2:H$1447, 2, FALSE))</f>
        <v>10.1016/j.infsof.2009.04.008</v>
      </c>
      <c r="D40" s="7" t="str">
        <f>IF(ISBLANK(B40), "", VLOOKUP(B40, Candidates!B$2:H$1447, 3, FALSE))</f>
        <v>Eichelberger H.; Schmid K.</v>
      </c>
      <c r="E40" s="7" t="str">
        <f>IF(ISBLANK(B40), "", VLOOKUP(B40, Candidates!B$2:H$1447, 4, FALSE))</f>
        <v>Guidelines on the aesthetic quality of UML class diagrams</v>
      </c>
      <c r="F40" s="20" t="str">
        <f>IF(ISBLANK(B40), "", VLOOKUP(B40, Candidates!B$2:H$1447, 5, FALSE))</f>
        <v>IST</v>
      </c>
      <c r="G40" s="7" t="str">
        <f>IF(ISBLANK(B40), "", VLOOKUP(B40, Candidates!B$2:H$1447, 6, FALSE))</f>
        <v>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 © 2009 Elsevier B.V. All rights reserved.</v>
      </c>
      <c r="H40" s="7" t="str">
        <f>IF(ISBLANK(B40), "", VLOOKUP(B40, Candidates!B$2:H$1447, 7, FALSE))</f>
        <v>Aesthetic quality; Automatic layout; Layout guidelines; Modeling tools; Software engineering; UML class diagrams</v>
      </c>
      <c r="I40" s="33" t="b">
        <v>0</v>
      </c>
      <c r="J40" s="10" t="b">
        <v>0</v>
      </c>
      <c r="K40" s="10" t="b">
        <v>0</v>
      </c>
      <c r="L40" s="10" t="b">
        <v>0</v>
      </c>
      <c r="M40" s="10" t="b">
        <v>0</v>
      </c>
      <c r="N40" s="31" t="b">
        <v>0</v>
      </c>
      <c r="O40" s="10" t="b">
        <f t="shared" si="1"/>
        <v>0</v>
      </c>
      <c r="P40" s="31" t="b">
        <v>0</v>
      </c>
      <c r="Q40" s="7"/>
    </row>
    <row r="41">
      <c r="A41" s="29" t="b">
        <v>1</v>
      </c>
      <c r="B41" s="29" t="s">
        <v>681</v>
      </c>
      <c r="C41" s="20" t="str">
        <f>IF(ISBLANK(B41), "", VLOOKUP(B41, Candidates!B$2:H$1447, 2, FALSE))</f>
        <v>10.1016/S0950-5849(02)00158-1</v>
      </c>
      <c r="D41" s="7" t="str">
        <f>IF(ISBLANK(B41), "", VLOOKUP(B41, Candidates!B$2:H$1447, 3, FALSE))</f>
        <v>Nanopoulos A.; Zakrzewicz M.; Morzy T.; Manolopoulos Y.</v>
      </c>
      <c r="E41" s="7" t="str">
        <f>IF(ISBLANK(B41), "", VLOOKUP(B41, Candidates!B$2:H$1447, 4, FALSE))</f>
        <v>Efficient storage and querying of sequential patterns in database systems</v>
      </c>
      <c r="F41" s="20" t="str">
        <f>IF(ISBLANK(B41), "", VLOOKUP(B41, Candidates!B$2:H$1447, 5, FALSE))</f>
        <v>IST</v>
      </c>
      <c r="G41" s="7" t="str">
        <f>IF(ISBLANK(B41), "", VLOOKUP(B41, Candidates!B$2:H$1447, 6, FALSE))</f>
        <v>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 © 2002 Elsevier Science B.V. All rights reserved.</v>
      </c>
      <c r="H41" s="7" t="str">
        <f>IF(ISBLANK(B41), "", VLOOKUP(B41, Candidates!B$2:H$1447, 7, FALSE))</f>
        <v>Pattern post-processing; Persistency signatures; Sequential patterns</v>
      </c>
      <c r="I41" s="33" t="b">
        <v>0</v>
      </c>
      <c r="J41" s="10" t="b">
        <v>0</v>
      </c>
      <c r="K41" s="10" t="b">
        <v>0</v>
      </c>
      <c r="L41" s="10" t="b">
        <v>0</v>
      </c>
      <c r="M41" s="10" t="b">
        <v>0</v>
      </c>
      <c r="N41" s="31" t="b">
        <v>0</v>
      </c>
      <c r="O41" s="10" t="b">
        <f t="shared" si="1"/>
        <v>0</v>
      </c>
      <c r="P41" s="31" t="b">
        <v>0</v>
      </c>
      <c r="Q41" s="7"/>
    </row>
    <row r="42">
      <c r="A42" s="29" t="b">
        <v>1</v>
      </c>
      <c r="B42" s="29" t="s">
        <v>691</v>
      </c>
      <c r="C42" s="20" t="str">
        <f>IF(ISBLANK(B42), "", VLOOKUP(B42, Candidates!B$2:H$1447, 2, FALSE))</f>
        <v>10.1016/0950-5849(94)90029-9</v>
      </c>
      <c r="D42" s="7" t="str">
        <f>IF(ISBLANK(B42), "", VLOOKUP(B42, Candidates!B$2:H$1447, 3, FALSE))</f>
        <v>Bass A.; Ratcliff B.</v>
      </c>
      <c r="E42" s="7" t="str">
        <f>IF(ISBLANK(B42), "", VLOOKUP(B42, Candidates!B$2:H$1447, 4, FALSE))</f>
        <v>Automated dismemberment of JSD process specifications</v>
      </c>
      <c r="F42" s="20" t="str">
        <f>IF(ISBLANK(B42), "", VLOOKUP(B42, Candidates!B$2:H$1447, 5, FALSE))</f>
        <v>IST</v>
      </c>
      <c r="G42" s="7" t="str">
        <f>IF(ISBLANK(B42), "", VLOOKUP(B42, Candidates!B$2:H$1447, 6, FALSE))</f>
        <v>In the initial phase of Jackson System Development (JSD), behaviour in the real world is modelled using long-running processes. As direct implementation of such processes can be impractical, a transformational approach called dismemberment is sometimes applied to allow the separate scheduling of portions of a process's text. A lack of automatic support has, however, made the technique difficult to use, and automation itself has not proved easy. Several writers have noted the relationship between Jackson structure diagrams and finite automata. This paper describes in detail the transformation of JSD process specifications into deterministic finite automata, using 'subset construction', a method adapted from compiler theory. The resulting representations can be used to generate dismembered implementation routines. The algorithms have been implemented within an experimental version of the PRESTIGE JSD Workbench, a CASE tool for the JSD implementor. © 1994.</v>
      </c>
      <c r="H42" s="7" t="str">
        <f>IF(ISBLANK(B42), "", VLOOKUP(B42, Candidates!B$2:H$1447, 7, FALSE))</f>
        <v>Jackson System Development (JSD); software tools; transformational implementation</v>
      </c>
      <c r="I42" s="33" t="b">
        <v>0</v>
      </c>
      <c r="J42" s="10" t="b">
        <v>0</v>
      </c>
      <c r="K42" s="10" t="b">
        <v>0</v>
      </c>
      <c r="L42" s="10" t="b">
        <v>0</v>
      </c>
      <c r="M42" s="10" t="b">
        <v>0</v>
      </c>
      <c r="N42" s="31" t="b">
        <v>0</v>
      </c>
      <c r="O42" s="10" t="b">
        <f t="shared" si="1"/>
        <v>0</v>
      </c>
      <c r="P42" s="31" t="b">
        <v>0</v>
      </c>
      <c r="Q42" s="7"/>
    </row>
    <row r="43">
      <c r="A43" s="29" t="b">
        <v>1</v>
      </c>
      <c r="B43" s="29" t="s">
        <v>707</v>
      </c>
      <c r="C43" s="20" t="str">
        <f>IF(ISBLANK(B43), "", VLOOKUP(B43, Candidates!B$2:H$1447, 2, FALSE))</f>
        <v>10.1016/j.infsof.2004.08.009</v>
      </c>
      <c r="D43" s="7" t="str">
        <f>IF(ISBLANK(B43), "", VLOOKUP(B43, Candidates!B$2:H$1447, 3, FALSE))</f>
        <v>Kabeli J.; Shoval P.</v>
      </c>
      <c r="E43" s="7" t="str">
        <f>IF(ISBLANK(B43), "", VLOOKUP(B43, Candidates!B$2:H$1447, 4, FALSE))</f>
        <v>Comprehension and quality of analysis specifications - A comparison of FOOM and OPM methodologies</v>
      </c>
      <c r="F43" s="20" t="str">
        <f>IF(ISBLANK(B43), "", VLOOKUP(B43, Candidates!B$2:H$1447, 5, FALSE))</f>
        <v>IST</v>
      </c>
      <c r="G43" s="7" t="str">
        <f>IF(ISBLANK(B43), "", VLOOKUP(B43, Candidates!B$2:H$1447, 6, FALSE))</f>
        <v>FOOM - Functional and Object Oriented Methodology - combines two essential software-engineering paradigms: the functional (or process-oriented) approach and the object-oriented (OO) approach. The two main products of the analysis phase of FOOM are an initial class diagram and OO-DFDs (dataflow diagrams including data classes rather than traditional data-stores). We evaluated these analysis products by comparing them with the analysis products of OPM - Object-Process Methodology - 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 2004 Elsevier B.V. All rights reserved.</v>
      </c>
      <c r="H43" s="7" t="str">
        <f>IF(ISBLANK(B43), "", VLOOKUP(B43, Candidates!B$2:H$1447, 7, FALSE))</f>
        <v>ADISSA; Conceptual modeling; Data modeling; Experimentation; FOOM; Functional analysis; Method engineering; Method evaluation and comparison; Object-oriented analysis and design; OPM; Requirements engineering; System development methodologies</v>
      </c>
      <c r="I43" s="30" t="b">
        <v>1</v>
      </c>
      <c r="J43" s="9" t="b">
        <v>1</v>
      </c>
      <c r="K43" s="9" t="b">
        <v>1</v>
      </c>
      <c r="L43" s="10" t="b">
        <v>0</v>
      </c>
      <c r="M43" s="10" t="b">
        <v>0</v>
      </c>
      <c r="N43" s="31" t="b">
        <v>0</v>
      </c>
      <c r="O43" s="10" t="b">
        <f t="shared" si="1"/>
        <v>1</v>
      </c>
      <c r="P43" s="31" t="b">
        <v>0</v>
      </c>
      <c r="Q43" s="7"/>
    </row>
    <row r="44">
      <c r="A44" s="29" t="b">
        <v>1</v>
      </c>
      <c r="B44" s="29" t="s">
        <v>734</v>
      </c>
      <c r="C44" s="20" t="str">
        <f>IF(ISBLANK(B44), "", VLOOKUP(B44, Candidates!B$2:H$1447, 2, FALSE))</f>
        <v>10.1007/s00766-005-0008-3</v>
      </c>
      <c r="D44" s="7" t="str">
        <f>IF(ISBLANK(B44), "", VLOOKUP(B44, Candidates!B$2:H$1447, 3, FALSE))</f>
        <v>Mich L.; Anesi C.; Berry D.M.</v>
      </c>
      <c r="E44" s="7" t="str">
        <f>IF(ISBLANK(B44), "", VLOOKUP(B44, Candidates!B$2:H$1447, 4, FALSE))</f>
        <v>Applying a pragmatics-based creativity-fostering technique to requirements elicitation</v>
      </c>
      <c r="F44" s="20" t="str">
        <f>IF(ISBLANK(B44), "", VLOOKUP(B44, Candidates!B$2:H$1447, 5, FALSE))</f>
        <v>REJ</v>
      </c>
      <c r="G44" s="7" t="str">
        <f>IF(ISBLANK(B44), "", VLOOKUP(B44, Candidates!B$2:H$1447, 6, FALSE))</f>
        <v>This paper proposes the application to requirements elicitation of an innovative creativity fostering technique based on a model of the pragmatics of communication, the Elementary Pragmatic Model (EPM). The EPM has been used to define a creative process, called EPMcreate (EPM Creative Requirements Engineering TEchnique) that consists of sixteen steps. In each step, the problem is analyzed according to one elementary behavior identified by the EPM. Each behavior suggests that the analyst look at the problem from a different combination of users' viewpoints. The feasibility and effectiveness of the technique in requirements elicitation was demonstrated by experiments on two projects with very different characteristics. Each experiment compared the performances of two analysis teams, one of which used EPMcreate and the other of which used brainstorming. The results of both experiments highlights the higher effectiveness of EPMcreate. Additional data from the experiments are examined for other insights into how and why EPMcreate is effective. © Springer-Verlag London Limited 2005.</v>
      </c>
      <c r="H44" s="7" t="str">
        <f>IF(ISBLANK(B44), "", VLOOKUP(B44, Candidates!B$2:H$1447, 7, FALSE))</f>
        <v>Exploratory experiment; Pragmatics of communication; Problem solving; Viewpoint</v>
      </c>
      <c r="I44" s="30" t="b">
        <v>1</v>
      </c>
      <c r="J44" s="9" t="b">
        <v>1</v>
      </c>
      <c r="K44" s="10" t="b">
        <v>0</v>
      </c>
      <c r="L44" s="10" t="b">
        <v>0</v>
      </c>
      <c r="M44" s="10" t="b">
        <v>0</v>
      </c>
      <c r="N44" s="31" t="b">
        <v>0</v>
      </c>
      <c r="O44" s="10" t="b">
        <f t="shared" si="1"/>
        <v>0</v>
      </c>
      <c r="P44" s="31" t="b">
        <v>0</v>
      </c>
      <c r="Q44" s="13" t="s">
        <v>1533</v>
      </c>
    </row>
    <row r="45">
      <c r="A45" s="29" t="b">
        <v>1</v>
      </c>
      <c r="B45" s="29" t="s">
        <v>739</v>
      </c>
      <c r="C45" s="20" t="str">
        <f>IF(ISBLANK(B45), "", VLOOKUP(B45, Candidates!B$2:H$1447, 2, FALSE))</f>
        <v>10.1007/s00766-018-0288-z</v>
      </c>
      <c r="D45" s="7" t="str">
        <f>IF(ISBLANK(B45), "", VLOOKUP(B45, Candidates!B$2:H$1447, 3, FALSE))</f>
        <v>Ko D.; Kim S.; Park S.</v>
      </c>
      <c r="E45" s="7" t="str">
        <f>IF(ISBLANK(B45), "", VLOOKUP(B45, Candidates!B$2:H$1447, 4, FALSE))</f>
        <v>Automatic recommendation to omitted steps in use case specification</v>
      </c>
      <c r="F45" s="20" t="str">
        <f>IF(ISBLANK(B45), "", VLOOKUP(B45, Candidates!B$2:H$1447, 5, FALSE))</f>
        <v>REJ</v>
      </c>
      <c r="G45" s="7" t="str">
        <f>IF(ISBLANK(B45), "", VLOOKUP(B45, Candidates!B$2:H$1447, 6, FALSE))</f>
        <v>Completeness is one of the key attributes for a high-quality software requirements specification. Although incomplete requirements frequently occur in the requirements specification, it is rarely discovered. This turns out to be one of the major causes of software project failure. In order to handle this issue, this paper proposes an automatic approach to recommending omitted steps in a use case-based requirements specification. First, we automatically extract diverse scenario patterns by using the verb clustering algorithm and scenario flow graphs. Based on the scenario patterns, our approach detects omitted steps of user’s scenarios by the pattern matching algorithm and automatically recommends appropriate steps for the omitted parts. For validation of our approach, we have developed tool support, named ScenarioAmigo, and collected 231 use case specifications composing of 1874 scenario steps from 12 academic or proprietary projects. We first carried out the preliminary study to decide appropriate thresholds and weights. Then, we conducted three experiments as a quantitative performance evaluation. First, the cross-validation for the collected scenarios shows the 76% precision and 80% recall. Second, the comparison of recall of ScenarioAmigo to that of human experts obtained the 20% higher score. As the last experiment, we compared the result of ScenarioAmigo and human experts in terms of severity of each scenario and found that our approach could recommend normal as well as important scenarios, compared to the human experts. © 2018, Springer-Verlag London Ltd., part of Springer Nature.</v>
      </c>
      <c r="H45" s="7" t="str">
        <f>IF(ISBLANK(B45), "", VLOOKUP(B45, Candidates!B$2:H$1447, 7, FALSE))</f>
        <v>Recommendation to omitted steps; Scenario patterns; Software requirements completeness; Use case specification</v>
      </c>
      <c r="I45" s="33" t="b">
        <v>0</v>
      </c>
      <c r="J45" s="10" t="b">
        <v>0</v>
      </c>
      <c r="K45" s="10" t="b">
        <v>0</v>
      </c>
      <c r="L45" s="10" t="b">
        <v>0</v>
      </c>
      <c r="M45" s="10" t="b">
        <v>0</v>
      </c>
      <c r="N45" s="31" t="b">
        <v>0</v>
      </c>
      <c r="O45" s="10" t="b">
        <f t="shared" si="1"/>
        <v>0</v>
      </c>
      <c r="P45" s="31" t="b">
        <v>0</v>
      </c>
      <c r="Q45" s="7"/>
    </row>
    <row r="46">
      <c r="A46" s="29" t="b">
        <v>1</v>
      </c>
      <c r="B46" s="29" t="s">
        <v>751</v>
      </c>
      <c r="C46" s="20" t="str">
        <f>IF(ISBLANK(B46), "", VLOOKUP(B46, Candidates!B$2:H$1447, 2, FALSE))</f>
        <v>10.1007/s00766-019-00324-x</v>
      </c>
      <c r="D46" s="7" t="str">
        <f>IF(ISBLANK(B46), "", VLOOKUP(B46, Candidates!B$2:H$1447, 3, FALSE))</f>
        <v>Wahbeh A.; Sarnikar S.; El-Gayar O.</v>
      </c>
      <c r="E46" s="7" t="str">
        <f>IF(ISBLANK(B46), "", VLOOKUP(B46, Candidates!B$2:H$1447, 4, FALSE))</f>
        <v>A socio-technical-based process for questionnaire development in requirements elicitation via interviews</v>
      </c>
      <c r="F46" s="20" t="str">
        <f>IF(ISBLANK(B46), "", VLOOKUP(B46, Candidates!B$2:H$1447, 5, FALSE))</f>
        <v>REJ</v>
      </c>
      <c r="G46" s="7" t="str">
        <f>IF(ISBLANK(B46), "", VLOOKUP(B46, Candidates!B$2:H$1447, 6, FALSE))</f>
        <v>Software development is the process of building systems that solve users’ need and satisfy stakeholders’ objectives. Such needs are determined through requirements elicitation, which is considered an intensive, complex, and multi-disciplinary process. Traditional methods of elicitation often fail to uncover requirements that are critical for successful and wide-scale user adoption because these methods primarily focus on the technical aspects and constraints of the systems rather than considering a socio-technical perspective. The success of information system development involves the identification of the social, organizational and technical features of the systems, which in turn can result in a more acceptable system by users. In this paper, we propose a requirements elicitation process based on socio-technical (ST) systems theory. The process leverages ST system components to help identify a set of ST imbalances, which in turn help in requirements elicitation. The applicability of the process is demonstrated using empirical investigation with a randomized two-group experimental design, where the objective is to see the potential of the proposed process to enhance analysts’ understanding of socio-technical aspects of a domain, interview readiness, and questionnaire quality. © 2019, Springer-Verlag London Ltd., part of Springer Nature.</v>
      </c>
      <c r="H46" s="7" t="str">
        <f>IF(ISBLANK(B46), "", VLOOKUP(B46, Candidates!B$2:H$1447, 7, FALSE))</f>
        <v>Design research; Questionnaire development; Requirement elicitation; Socio-technical systems; Software development; User interviews</v>
      </c>
      <c r="I46" s="30" t="b">
        <v>1</v>
      </c>
      <c r="J46" s="9" t="b">
        <v>1</v>
      </c>
      <c r="K46" s="10" t="b">
        <v>0</v>
      </c>
      <c r="L46" s="10" t="b">
        <v>0</v>
      </c>
      <c r="M46" s="10" t="b">
        <v>0</v>
      </c>
      <c r="N46" s="31" t="b">
        <v>0</v>
      </c>
      <c r="O46" s="10" t="b">
        <f t="shared" si="1"/>
        <v>0</v>
      </c>
      <c r="P46" s="31" t="b">
        <v>0</v>
      </c>
      <c r="Q46" s="13" t="s">
        <v>1532</v>
      </c>
    </row>
    <row r="47">
      <c r="A47" s="29" t="b">
        <v>1</v>
      </c>
      <c r="B47" s="29" t="s">
        <v>831</v>
      </c>
      <c r="C47" s="20" t="str">
        <f>IF(ISBLANK(B47), "", VLOOKUP(B47, Candidates!B$2:H$1447, 2, FALSE))</f>
        <v>10.1109/ASE.2019.00161</v>
      </c>
      <c r="D47" s="7" t="str">
        <f>IF(ISBLANK(B47), "", VLOOKUP(B47, Candidates!B$2:H$1447, 3, FALSE))</f>
        <v>Yu S.</v>
      </c>
      <c r="E47" s="7" t="str">
        <f>IF(ISBLANK(B47), "", VLOOKUP(B47, Candidates!B$2:H$1447, 4, FALSE))</f>
        <v>Crowdsourced report generation via bug screenshot understanding</v>
      </c>
      <c r="F47" s="20" t="str">
        <f>IF(ISBLANK(B47), "", VLOOKUP(B47, Candidates!B$2:H$1447, 5, FALSE))</f>
        <v>ASE</v>
      </c>
      <c r="G47" s="7" t="str">
        <f>IF(ISBLANK(B47), "", VLOOKUP(B47, Candidates!B$2:H$1447, 6, FALSE))</f>
        <v>Quality control is a challenge of crowdsourcing, especially in software testing. As some unprofessional workers involved, low-quality yieldings may hinder crowdsourced testing from satisfying requesters' requirements. Therefore, it is in demand to assist crowdworkers to raise bug report quality. In this paper, we propose a novel auxiliary method, namely CroReG, to generate crowdsourcing bug reports by analyzing bug screenshots uploaded by crowdworkers with image understanding techniques. The preliminary experiment results show that CroReG can effectively generate bug reports containing accurate screenshot captions and providing positive guidance for crowdworkers. © 2019 IEEE.</v>
      </c>
      <c r="H47" s="7" t="str">
        <f>IF(ISBLANK(B47), "", VLOOKUP(B47, Candidates!B$2:H$1447, 7, FALSE))</f>
        <v>Bug Report Generation; Crowdsourced Testing; Mobile App Testing</v>
      </c>
      <c r="I47" s="33" t="b">
        <v>0</v>
      </c>
      <c r="J47" s="10" t="b">
        <v>0</v>
      </c>
      <c r="K47" s="10" t="b">
        <v>0</v>
      </c>
      <c r="L47" s="10" t="b">
        <v>0</v>
      </c>
      <c r="M47" s="10" t="b">
        <v>0</v>
      </c>
      <c r="N47" s="31" t="b">
        <v>0</v>
      </c>
      <c r="O47" s="10" t="b">
        <f t="shared" si="1"/>
        <v>0</v>
      </c>
      <c r="P47" s="31" t="b">
        <v>0</v>
      </c>
      <c r="Q47" s="7"/>
    </row>
    <row r="48">
      <c r="A48" s="29" t="b">
        <v>1</v>
      </c>
      <c r="B48" s="29" t="s">
        <v>839</v>
      </c>
      <c r="C48" s="20" t="str">
        <f>IF(ISBLANK(B48), "", VLOOKUP(B48, Candidates!B$2:H$1447, 2, FALSE))</f>
        <v>10.1109/ASE.2017.8115637</v>
      </c>
      <c r="D48" s="7" t="str">
        <f>IF(ISBLANK(B48), "", VLOOKUP(B48, Candidates!B$2:H$1447, 3, FALSE))</f>
        <v>Wang W.; Kwon Y.; Zheng Y.; Aafer Y.; Kim I.-L.; Lee W.-C.; Liu Y.; Meng W.; Zhang X.; Eugster P.</v>
      </c>
      <c r="E48" s="7" t="str">
        <f>IF(ISBLANK(B48), "", VLOOKUP(B48, Candidates!B$2:H$1447, 4, FALSE))</f>
        <v>PAD: Programming third-party web advertisement censorship</v>
      </c>
      <c r="F48" s="20" t="str">
        <f>IF(ISBLANK(B48), "", VLOOKUP(B48, Candidates!B$2:H$1447, 5, FALSE))</f>
        <v>ASE</v>
      </c>
      <c r="G48" s="7" t="str">
        <f>IF(ISBLANK(B48), "", VLOOKUP(B48, Candidates!B$2:H$1447, 6, FALSE))</f>
        <v>In the current online advertisement delivery, an ad slot on a publisher's website may go through multiple layers of bidding and reselling until the final ad content is delivered. The publishers have little control on the ads being displayed on their web pages. As a result, website visitors may suffer from unwanted ads such as malvertising, intrusive ads, and information disclosure ads. Unfortunately, the visitors often blame the publisher for their unpleasant experience and switch to competitor websites. In this paper, we propose a novel programming support system for ad delivery, called PAD, for publisher programmers, who specify their policies on regulating third-party ads shown on their websites. PAD features an expressive specification language and a novel persistent policy enforcement runtime that can self-install and self-protect throughout the entire ad delegation chain. It also provides an ad-specific memory protection scheme that prevents malvertising by corrupting malicious payloads. Our experiments show that PAD has negligible runtime overhead. It effectively suppresses a set of malvertising cases and unwanted ad behaviors reported in the real world, without affecting normal functionalities and regular ads. © 2017 IEEE.</v>
      </c>
      <c r="H48" s="7" t="str">
        <f>IF(ISBLANK(B48), "", VLOOKUP(B48, Candidates!B$2:H$1447, 7, FALSE))</f>
        <v/>
      </c>
      <c r="I48" s="33" t="b">
        <v>0</v>
      </c>
      <c r="J48" s="10" t="b">
        <v>0</v>
      </c>
      <c r="K48" s="10" t="b">
        <v>0</v>
      </c>
      <c r="L48" s="10" t="b">
        <v>0</v>
      </c>
      <c r="M48" s="10" t="b">
        <v>0</v>
      </c>
      <c r="N48" s="31" t="b">
        <v>0</v>
      </c>
      <c r="O48" s="10" t="b">
        <f t="shared" si="1"/>
        <v>0</v>
      </c>
      <c r="P48" s="31" t="b">
        <v>0</v>
      </c>
      <c r="Q48" s="7"/>
    </row>
    <row r="49">
      <c r="A49" s="29" t="b">
        <v>1</v>
      </c>
      <c r="B49" s="29" t="s">
        <v>844</v>
      </c>
      <c r="C49" s="20" t="str">
        <f>IF(ISBLANK(B49), "", VLOOKUP(B49, Candidates!B$2:H$1447, 2, FALSE))</f>
        <v>10.1109/ASE.2019.00111</v>
      </c>
      <c r="D49" s="7" t="str">
        <f>IF(ISBLANK(B49), "", VLOOKUP(B49, Candidates!B$2:H$1447, 3, FALSE))</f>
        <v>Sadiq A.; Li L.; Li Y.-F.; Ahmed I.; Ling S.</v>
      </c>
      <c r="E49" s="7" t="str">
        <f>IF(ISBLANK(B49), "", VLOOKUP(B49, Candidates!B$2:H$1447, 4, FALSE))</f>
        <v>Sip4J: Statically inferring access permission contracts for parallelising sequential Java programs</v>
      </c>
      <c r="F49" s="20" t="str">
        <f>IF(ISBLANK(B49), "", VLOOKUP(B49, Candidates!B$2:H$1447, 5, FALSE))</f>
        <v>ASE</v>
      </c>
      <c r="G49" s="7" t="str">
        <f>IF(ISBLANK(B49), "", VLOOKUP(B49, Candidates!B$2:H$1447, 6, FALSE))</f>
        <v>This paper presents Sip4J, a fully automated, scalable and effective tool to automatically generate access permission contracts for a sequential Java program. The access permission contracts, which represent the dependency of code blocks, have been frequently used to enable concurrent execution of sequential programs. Those permission contracts, unfortunately, need to be manually created by programmers, which is known to be time-consuming, laborious and error-prone. To mitigate those manual efforts, Sip4J performs inter-procedural static analysis of Java source code to automatically extract the implicit dependencies in the program and subsequently leverages them to automatically generate access permission contracts, following the Design by Contract principle. The inferred specifications are then used to identify the concurrent (immutable) methods in the program. Experimental results further show that Sip4J is useful and effective towards generating access permission contracts for sequential Java programs. The implementation of Sip4J has been published as an open-sourced project at https://github.com/Sip4J/Sip4J and a demo video of Sip4J can be found at https://youtu.be/RjMTIxlhHTg. © 2019 IEEE.</v>
      </c>
      <c r="H49" s="7" t="str">
        <f>IF(ISBLANK(B49), "", VLOOKUP(B49, Candidates!B$2:H$1447, 7, FALSE))</f>
        <v>Access permissions; Concurrency; Permission inference; Static analysis</v>
      </c>
      <c r="I49" s="33" t="b">
        <v>0</v>
      </c>
      <c r="J49" s="10" t="b">
        <v>0</v>
      </c>
      <c r="K49" s="10" t="b">
        <v>0</v>
      </c>
      <c r="L49" s="10" t="b">
        <v>0</v>
      </c>
      <c r="M49" s="10" t="b">
        <v>0</v>
      </c>
      <c r="N49" s="31" t="b">
        <v>0</v>
      </c>
      <c r="O49" s="10" t="b">
        <f t="shared" si="1"/>
        <v>0</v>
      </c>
      <c r="P49" s="31" t="b">
        <v>0</v>
      </c>
      <c r="Q49" s="7"/>
    </row>
    <row r="50">
      <c r="A50" s="29" t="b">
        <v>1</v>
      </c>
      <c r="B50" s="29" t="s">
        <v>867</v>
      </c>
      <c r="C50" s="20" t="str">
        <f>IF(ISBLANK(B50), "", VLOOKUP(B50, Candidates!B$2:H$1447, 2, FALSE))</f>
        <v>10.1145/3368089.3417047</v>
      </c>
      <c r="D50" s="7" t="str">
        <f>IF(ISBLANK(B50), "", VLOOKUP(B50, Candidates!B$2:H$1447, 3, FALSE))</f>
        <v>Feng J.; Miao W.; Zheng H.; Huang Y.; Li J.; Wang Z.; Su T.; Gu B.; Pu G.; Yang M.; He J.</v>
      </c>
      <c r="E50" s="7" t="str">
        <f>IF(ISBLANK(B50), "", VLOOKUP(B50, Candidates!B$2:H$1447, 4, FALSE))</f>
        <v>FREPA: An automated and formal approach to requirement modeling and analysis in aircraft control domain</v>
      </c>
      <c r="F50" s="20" t="str">
        <f>IF(ISBLANK(B50), "", VLOOKUP(B50, Candidates!B$2:H$1447, 5, FALSE))</f>
        <v>ESEC/FSE</v>
      </c>
      <c r="G50" s="7" t="str">
        <f>IF(ISBLANK(B50), "", VLOOKUP(B50, Candidates!B$2:H$1447, 6, FALSE))</f>
        <v>Formal methods are promising for modeling and analyzing system requirements. However, applying formal methods to large-scale industrial projects is a remaining challenge. The industrial engineers are suffering from the lack of automated engineering methodologies to effectively conduct precise requirement models, and rigorously validate and verify (V&amp;V) the generated models. To tackle this challenge, in this paper, we present a systematic engineering approach, named Formal Requirement Engineering Platform in Aircraft (FREPA), for formal requirement modeling and V&amp;V in the aerospace and aviation control domains. FREPA is an outcome of the seamless collaboration between the academy and industry over the last eight years. The main contributions of this paper include 1) an automated and systematic engineering approach FREPA to construct requirement models, validate and verify systems in the aerospace and aviation control domain, 2) a domain-specific modeling language AASRDL to describe the formal specification, and 3) a practical FREPA-based tool AeroReq which has been used by our industry partners. We have successfully adopted FREPA to seven real aerospace gesture control and two aviation engine control systems. The experimental results show that FREPA and the corresponding tool AeroReq significantly facilitate formal modeling and V&amp;V in the industry. Moreover, we also discuss the experiences and lessons gained from using FREPA in aerospace and aviation projects. © 2020 ACM.</v>
      </c>
      <c r="H50" s="7" t="str">
        <f>IF(ISBLANK(B50), "", VLOOKUP(B50, Candidates!B$2:H$1447, 7, FALSE))</f>
        <v>Formal Method; Requirement Modeling; Requirement V&amp;V</v>
      </c>
      <c r="I50" s="33" t="b">
        <v>0</v>
      </c>
      <c r="J50" s="10" t="b">
        <v>0</v>
      </c>
      <c r="K50" s="10" t="b">
        <v>0</v>
      </c>
      <c r="L50" s="10" t="b">
        <v>0</v>
      </c>
      <c r="M50" s="10" t="b">
        <v>0</v>
      </c>
      <c r="N50" s="31" t="b">
        <v>0</v>
      </c>
      <c r="O50" s="10" t="b">
        <f t="shared" si="1"/>
        <v>0</v>
      </c>
      <c r="P50" s="31" t="b">
        <v>0</v>
      </c>
      <c r="Q50" s="7"/>
    </row>
    <row r="51">
      <c r="A51" s="29" t="b">
        <v>1</v>
      </c>
      <c r="B51" s="29" t="s">
        <v>885</v>
      </c>
      <c r="C51" s="20" t="str">
        <f>IF(ISBLANK(B51), "", VLOOKUP(B51, Candidates!B$2:H$1447, 2, FALSE))</f>
        <v/>
      </c>
      <c r="D51" s="7" t="str">
        <f>IF(ISBLANK(B51), "", VLOOKUP(B51, Candidates!B$2:H$1447, 3, FALSE))</f>
        <v/>
      </c>
      <c r="E51" s="7" t="str">
        <f>IF(ISBLANK(B51), "", VLOOKUP(B51, Candidates!B$2:H$1447, 4, FALSE))</f>
        <v>Proceedings of the ACM SIGSOFT Symposium on the Foundations of Software Engineering</v>
      </c>
      <c r="F51" s="20" t="str">
        <f>IF(ISBLANK(B51), "", VLOOKUP(B51, Candidates!B$2:H$1447, 5, FALSE))</f>
        <v>ESEC/FSE</v>
      </c>
      <c r="G51" s="7" t="str">
        <f>IF(ISBLANK(B51), "", VLOOKUP(B51, Candidates!B$2:H$1447, 6, FALSE))</f>
        <v>The proceedings contain 11 papers. The topics discussed include: introducing TDD on a free libre open source software project: a simulation experiment; deploying, updating, and managing tools for collecting software metrics; experience report on software product line evolution due to market reposition; using a roles scheme to derive software project metrics; non-invasive product metrics collection: an architecture; ontology-based multi-agent system to multi-site software development; agile management of uncertain requirements via generalizations: a case study; XPSuite: tracking and managing XP projects in the IDE; motivations and measurements in an agile case study; FMESP: framework for the modeling and evaluation of software processes; and non-invasive product metrics collection: an architecture.</v>
      </c>
      <c r="H51" s="7" t="str">
        <f>IF(ISBLANK(B51), "", VLOOKUP(B51, Candidates!B$2:H$1447, 7, FALSE))</f>
        <v/>
      </c>
      <c r="I51" s="33" t="b">
        <v>0</v>
      </c>
      <c r="J51" s="10" t="b">
        <v>0</v>
      </c>
      <c r="K51" s="10" t="b">
        <v>0</v>
      </c>
      <c r="L51" s="10" t="b">
        <v>0</v>
      </c>
      <c r="M51" s="10" t="b">
        <v>0</v>
      </c>
      <c r="N51" s="31" t="b">
        <v>0</v>
      </c>
      <c r="O51" s="10" t="b">
        <f t="shared" si="1"/>
        <v>0</v>
      </c>
      <c r="P51" s="31" t="b">
        <v>0</v>
      </c>
      <c r="Q51" s="7"/>
    </row>
    <row r="52">
      <c r="A52" s="29" t="b">
        <v>1</v>
      </c>
      <c r="B52" s="29" t="s">
        <v>914</v>
      </c>
      <c r="C52" s="20" t="str">
        <f>IF(ISBLANK(B52), "", VLOOKUP(B52, Candidates!B$2:H$1447, 2, FALSE))</f>
        <v>10.1145/3510003.3510109</v>
      </c>
      <c r="D52" s="7" t="str">
        <f>IF(ISBLANK(B52), "", VLOOKUP(B52, Candidates!B$2:H$1447, 3, FALSE))</f>
        <v>Hu B.C.; Marsso L.; Czarnecki K.; Salay R.; Shen H.; Chechik M.</v>
      </c>
      <c r="E52" s="7" t="str">
        <f>IF(ISBLANK(B52), "", VLOOKUP(B52, Candidates!B$2:H$1447, 4, FALSE))</f>
        <v>If a Human Can See It, So Should Your System: Reliability Requirements for Machine Vision Components</v>
      </c>
      <c r="F52" s="20" t="str">
        <f>IF(ISBLANK(B52), "", VLOOKUP(B52, Candidates!B$2:H$1447, 5, FALSE))</f>
        <v>ICSE</v>
      </c>
      <c r="G52" s="7" t="str">
        <f>IF(ISBLANK(B52), "", VLOOKUP(B52, Candidates!B$2:H$1447, 6, FALSE))</f>
        <v>Machine Vision Components (MVC) are becoming safety-critical. Assuring their quality, including safety, is essential for their successful deployment. Assurance relies on the availability of precisely specified and, ideally, machine-verifiable requirements. MVCs with state-of-the-art performance rely on machine learning (ML) and training data, but largely lack such requirements. In this paper, we address the need for defining machine-verifiable reliability requirements for MVCs against transformations that simulate the full range of realistic and safety-critical changes in the environment. Using human performance as a baseline, we define reliability requirements as: 'if the changes in an image do not affect a human's decision, neither should they affect the MVC's.' To this end, we provide: (1) a class of safety-related image transformations; (2) reliability requirement classes to specify correctness-preservation and prediction-preservation for MVCs; (3) a method to instantiate machine-verifiable requirements from these requirements classes using human performance experiment data; (4) human performance experiment data for image recognition involving eight commonly used transformations, from about 2000 human participants; and (5) a method for automatically checking whether an MVC satisfies our requirements. Further, we show that our reliability requirements are feasible and reusable by evaluating our methods on 13 state-of-the-art pre-trained image classification models. Finally, we demonstrate that our approach detects reliability gaps in MVCs that other existing methods are unable to detect. © 2022 ACM.</v>
      </c>
      <c r="H52" s="7" t="str">
        <f>IF(ISBLANK(B52), "", VLOOKUP(B52, Candidates!B$2:H$1447, 7, FALSE))</f>
        <v>Requirements Engineering; Software Analysis; Software Engineering for Artificial Intelligence</v>
      </c>
      <c r="I52" s="30" t="b">
        <v>1</v>
      </c>
      <c r="J52" s="10" t="b">
        <v>0</v>
      </c>
      <c r="K52" s="10" t="b">
        <v>0</v>
      </c>
      <c r="L52" s="10" t="b">
        <v>0</v>
      </c>
      <c r="M52" s="10" t="b">
        <v>0</v>
      </c>
      <c r="N52" s="31" t="b">
        <v>0</v>
      </c>
      <c r="O52" s="10" t="b">
        <f t="shared" si="1"/>
        <v>0</v>
      </c>
      <c r="P52" s="31" t="b">
        <v>0</v>
      </c>
      <c r="Q52" s="7"/>
    </row>
    <row r="53">
      <c r="A53" s="29" t="b">
        <v>1</v>
      </c>
      <c r="B53" s="29" t="s">
        <v>917</v>
      </c>
      <c r="C53" s="20" t="str">
        <f>IF(ISBLANK(B53), "", VLOOKUP(B53, Candidates!B$2:H$1447, 2, FALSE))</f>
        <v/>
      </c>
      <c r="D53" s="7" t="str">
        <f>IF(ISBLANK(B53), "", VLOOKUP(B53, Candidates!B$2:H$1447, 3, FALSE))</f>
        <v/>
      </c>
      <c r="E53" s="7" t="str">
        <f>IF(ISBLANK(B53), "", VLOOKUP(B53, Candidates!B$2:H$1447, 4, FALSE))</f>
        <v>Proceedings - International Conference on Software Engineering</v>
      </c>
      <c r="F53" s="20" t="str">
        <f>IF(ISBLANK(B53), "", VLOOKUP(B53, Candidates!B$2:H$1447, 5, FALSE))</f>
        <v>ICSE</v>
      </c>
      <c r="G53" s="7" t="str">
        <f>IF(ISBLANK(B53), "", VLOOKUP(B53, Candidates!B$2:H$1447, 6, FALSE))</f>
        <v>The proceedings contain 6 papers. The topics discussed include: comparing reliability levels of software releases; experiences in using practitioner's checklists to evaluate the industrial relevance of requirements engineering experiments; experience of industry case studies: a comparison of multi-case and embedded case study methods; toward an experiment line on software inspection with human computation; a preliminary checklist for capturing baseline situations in studying the impacts of agile practices introduction; and protocol and tools for conducting agile software engineering research in an industrial-academic setting: a preliminary study.</v>
      </c>
      <c r="H53" s="7" t="str">
        <f>IF(ISBLANK(B53), "", VLOOKUP(B53, Candidates!B$2:H$1447, 7, FALSE))</f>
        <v/>
      </c>
      <c r="I53" s="33" t="b">
        <v>0</v>
      </c>
      <c r="J53" s="10" t="b">
        <v>0</v>
      </c>
      <c r="K53" s="10" t="b">
        <v>0</v>
      </c>
      <c r="L53" s="10" t="b">
        <v>0</v>
      </c>
      <c r="M53" s="10" t="b">
        <v>0</v>
      </c>
      <c r="N53" s="31" t="b">
        <v>0</v>
      </c>
      <c r="O53" s="10" t="b">
        <f t="shared" si="1"/>
        <v>0</v>
      </c>
      <c r="P53" s="31" t="b">
        <v>0</v>
      </c>
      <c r="Q53" s="7"/>
    </row>
    <row r="54">
      <c r="A54" s="29" t="b">
        <v>1</v>
      </c>
      <c r="B54" s="29" t="s">
        <v>938</v>
      </c>
      <c r="C54" s="20" t="str">
        <f>IF(ISBLANK(B54), "", VLOOKUP(B54, Candidates!B$2:H$1447, 2, FALSE))</f>
        <v>10.1145/2568225.2568285</v>
      </c>
      <c r="D54" s="7" t="str">
        <f>IF(ISBLANK(B54), "", VLOOKUP(B54, Candidates!B$2:H$1447, 3, FALSE))</f>
        <v>Schiller T.W.; Donohue K.; Coward F.; Ernst M.D.</v>
      </c>
      <c r="E54" s="7" t="str">
        <f>IF(ISBLANK(B54), "", VLOOKUP(B54, Candidates!B$2:H$1447, 4, FALSE))</f>
        <v>Case studies and tools for contract specifications</v>
      </c>
      <c r="F54" s="20" t="str">
        <f>IF(ISBLANK(B54), "", VLOOKUP(B54, Candidates!B$2:H$1447, 5, FALSE))</f>
        <v>ICSE</v>
      </c>
      <c r="G54" s="7" t="str">
        <f>IF(ISBLANK(B54), "", VLOOKUP(B54, Candidates!B$2:H$1447, 6, FALSE))</f>
        <v>Contracts are a popular tool for specifying the functional behavior of software. This paper characterizes the contracts that developers write, the contracts that developers could write, and how a developer reacts when shown the difference. This paper makes three research contributions based on an investigation of open-source projects' use of Code Contracts. First, we characterize Code Contract usage in practice. For example, approximately three-fourths of the Code Contracts are basic checks for the presence of data. We discuss similarities and differences in usage across the projects, and we identify annotation burden, tool support, and training as possible explanations based on developer interviews. Second, based on contracts automatically inferred for four of the projects, we find that developers underutilize contracts for expressing state updates, object state indicators, and conditional properties. Third, we performed user studies to learn how developers decide which contracts to enforce. The developers used contract suggestions to support their existing use cases with more expressive contracts. However, the suggestions did not lead them to experiment with other use cases for which contracts are better-suited. In support of the research contributions, the paper presents two engineering contributions: (1) Celeriac, a tool for generating traces of .NET programs compatible with the Daikon invariant detection tool, and (2) Contract Inserter, a Visual Studio add-in for discovering and inserting likely invariants as Code Contracts. © 2014 ACM.</v>
      </c>
      <c r="H54" s="7" t="str">
        <f>IF(ISBLANK(B54), "", VLOOKUP(B54, Candidates!B$2:H$1447, 7, FALSE))</f>
        <v>design by contract; invariant detection; Specifications</v>
      </c>
      <c r="I54" s="30" t="b">
        <v>1</v>
      </c>
      <c r="J54" s="10" t="b">
        <v>0</v>
      </c>
      <c r="K54" s="10" t="b">
        <v>0</v>
      </c>
      <c r="L54" s="10" t="b">
        <v>0</v>
      </c>
      <c r="M54" s="10" t="b">
        <v>0</v>
      </c>
      <c r="N54" s="31" t="b">
        <v>0</v>
      </c>
      <c r="O54" s="10" t="b">
        <f t="shared" si="1"/>
        <v>0</v>
      </c>
      <c r="P54" s="31" t="b">
        <v>0</v>
      </c>
      <c r="Q54" s="7"/>
    </row>
    <row r="55">
      <c r="A55" s="29" t="b">
        <v>1</v>
      </c>
      <c r="B55" s="29" t="s">
        <v>966</v>
      </c>
      <c r="C55" s="20" t="str">
        <f>IF(ISBLANK(B55), "", VLOOKUP(B55, Candidates!B$2:H$1447, 2, FALSE))</f>
        <v>10.1145/1985793.1986029</v>
      </c>
      <c r="D55" s="7" t="str">
        <f>IF(ISBLANK(B55), "", VLOOKUP(B55, Candidates!B$2:H$1447, 3, FALSE))</f>
        <v>Kumar S.</v>
      </c>
      <c r="E55" s="7" t="str">
        <f>IF(ISBLANK(B55), "", VLOOKUP(B55, Candidates!B$2:H$1447, 4, FALSE))</f>
        <v>Specification mining in concurrent and distributed systems</v>
      </c>
      <c r="F55" s="20" t="str">
        <f>IF(ISBLANK(B55), "", VLOOKUP(B55, Candidates!B$2:H$1447, 5, FALSE))</f>
        <v>ICSE</v>
      </c>
      <c r="G55" s="7" t="str">
        <f>IF(ISBLANK(B55), "", VLOOKUP(B55, Candidates!B$2:H$1447, 6, FALSE))</f>
        <v>Dynamic specification mining involves discovering software behavior from traces for the purpose of program comprehension and bug detection. However, in concurrent/distributed programs, the inherent partial order relationships among events occurring across processes pose a big challenge to specification mining. A framework for mining partial orders that takes in a set of concurrent program traces, and produces a message sequence graph (MSG) is proposed. Mining an MSG allows one to understand concurrent behaviors since the nodes of the MSG depict important "phases" or "interaction snippets" involving several concurrently executing processes. Experiments on mining behaviors of fairly complex distributed systems show that the proposed miner can produce the corresponding MSGs with both high precision and high recall. © 2011 Author.</v>
      </c>
      <c r="H55" s="7" t="str">
        <f>IF(ISBLANK(B55), "", VLOOKUP(B55, Candidates!B$2:H$1447, 7, FALSE))</f>
        <v>distributed systems; specification mining</v>
      </c>
      <c r="I55" s="33" t="b">
        <v>0</v>
      </c>
      <c r="J55" s="10" t="b">
        <v>0</v>
      </c>
      <c r="K55" s="10" t="b">
        <v>0</v>
      </c>
      <c r="L55" s="10" t="b">
        <v>0</v>
      </c>
      <c r="M55" s="10" t="b">
        <v>0</v>
      </c>
      <c r="N55" s="31" t="b">
        <v>0</v>
      </c>
      <c r="O55" s="10" t="b">
        <f t="shared" si="1"/>
        <v>0</v>
      </c>
      <c r="P55" s="31" t="b">
        <v>0</v>
      </c>
      <c r="Q55" s="7"/>
    </row>
    <row r="56">
      <c r="A56" s="29" t="b">
        <v>1</v>
      </c>
      <c r="B56" s="29" t="s">
        <v>1023</v>
      </c>
      <c r="C56" s="20" t="str">
        <f>IF(ISBLANK(B56), "", VLOOKUP(B56, Candidates!B$2:H$1447, 2, FALSE))</f>
        <v>10.1109/icse.2003.1201217</v>
      </c>
      <c r="D56" s="7" t="str">
        <f>IF(ISBLANK(B56), "", VLOOKUP(B56, Candidates!B$2:H$1447, 3, FALSE))</f>
        <v>Chaki S.; Clarke E.; Groce A.; Jha S.; Veith H.</v>
      </c>
      <c r="E56" s="7" t="str">
        <f>IF(ISBLANK(B56), "", VLOOKUP(B56, Candidates!B$2:H$1447, 4, FALSE))</f>
        <v>Modular verification of software components in C</v>
      </c>
      <c r="F56" s="20" t="str">
        <f>IF(ISBLANK(B56), "", VLOOKUP(B56, Candidates!B$2:H$1447, 5, FALSE))</f>
        <v>ICSE</v>
      </c>
      <c r="G56" s="7" t="str">
        <f>IF(ISBLANK(B56), "", VLOOKUP(B56, Candidates!B$2:H$1447, 6, FALSE))</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abstract-verify-refine paradigm, our tool MAGIC first extracts a finite model from C source code using predicate abstraction and theorem proving. Subsequently, simulation is checked via a reduction to Boolean satisfiability. MAGIC is able to interface with several publicly available theorem provers and SAT solvers. We report experimental results with procedures from the Linux kernel and the OpenSSL toolkit.</v>
      </c>
      <c r="H56" s="7" t="str">
        <f>IF(ISBLANK(B56), "", VLOOKUP(B56, Candidates!B$2:H$1447, 7, FALSE))</f>
        <v/>
      </c>
      <c r="I56" s="33" t="b">
        <v>0</v>
      </c>
      <c r="J56" s="10" t="b">
        <v>0</v>
      </c>
      <c r="K56" s="10" t="b">
        <v>0</v>
      </c>
      <c r="L56" s="10" t="b">
        <v>0</v>
      </c>
      <c r="M56" s="10" t="b">
        <v>0</v>
      </c>
      <c r="N56" s="31" t="b">
        <v>0</v>
      </c>
      <c r="O56" s="10" t="b">
        <f t="shared" si="1"/>
        <v>0</v>
      </c>
      <c r="P56" s="31" t="b">
        <v>0</v>
      </c>
      <c r="Q56" s="7"/>
    </row>
    <row r="57">
      <c r="A57" s="29" t="b">
        <v>1</v>
      </c>
      <c r="B57" s="29" t="s">
        <v>1075</v>
      </c>
      <c r="C57" s="20" t="str">
        <f>IF(ISBLANK(B57), "", VLOOKUP(B57, Candidates!B$2:H$1447, 2, FALSE))</f>
        <v>10.1109/RE.2019.00015</v>
      </c>
      <c r="D57" s="7" t="str">
        <f>IF(ISBLANK(B57), "", VLOOKUP(B57, Candidates!B$2:H$1447, 3, FALSE))</f>
        <v>Ferrari A.; Spoletini P.; Bano M.; Zowghi D.</v>
      </c>
      <c r="E57" s="7" t="str">
        <f>IF(ISBLANK(B57), "", VLOOKUP(B57, Candidates!B$2:H$1447, 4, FALSE))</f>
        <v>Learning requirements elicitation interviews with role-playing, self-assessment and peer-review</v>
      </c>
      <c r="F57" s="20" t="str">
        <f>IF(ISBLANK(B57), "", VLOOKUP(B57, Candidates!B$2:H$1447, 5, FALSE))</f>
        <v>RE</v>
      </c>
      <c r="G57" s="7" t="str">
        <f>IF(ISBLANK(B57), "", VLOOKUP(B57, Candidates!B$2:H$1447, 6, FALSE))</f>
        <v>Interviews are largely used in the practice of requirements elicitation. Nevertheless, performing an effective interview often depends on soft-skills, and on knowledge acquired through experience. When it comes to requirements engineering education and training (REET), limited resources and few well-founded pedagogical approaches are available to allow students to acquire and improve their skills as interviewers. This paper presents a novel pedagogical approach that combines role-playing, peer-review and self-assessment to enable students to reflect on their mistakes, and improve their interview skills. We evaluate the approach through a controlled quasi-experiment. The study shows that the approach significantly reduces the amount of mistakes made by the students. Feedback from the participants confirms the usefulness and easiness of the proposed training. This work contributes to the body of knowledge of REET with an empirically evaluated method for teaching inter-views. Furthermore, we share the pedagogical material used, to enable other educators to apply and possibly tailor the approach. © 2019 IEEE.</v>
      </c>
      <c r="H57" s="7" t="str">
        <f>IF(ISBLANK(B57), "", VLOOKUP(B57, Candidates!B$2:H$1447, 7, FALSE))</f>
        <v>Communication mistakes; Education; Empirical evaluation; Experiment; Interview; Interview mistakes; Mistakes; Quantitative analysis; Requirements elicitation interview; Requirements engineering; Training; Training material</v>
      </c>
      <c r="I57" s="30" t="b">
        <v>1</v>
      </c>
      <c r="J57" s="9" t="b">
        <v>1</v>
      </c>
      <c r="K57" s="10" t="b">
        <v>0</v>
      </c>
      <c r="L57" s="10" t="b">
        <v>0</v>
      </c>
      <c r="M57" s="10" t="b">
        <v>0</v>
      </c>
      <c r="N57" s="31" t="b">
        <v>0</v>
      </c>
      <c r="O57" s="10" t="b">
        <f t="shared" si="1"/>
        <v>0</v>
      </c>
      <c r="P57" s="31" t="b">
        <v>0</v>
      </c>
      <c r="Q57" s="7"/>
    </row>
    <row r="58">
      <c r="A58" s="29" t="b">
        <v>1</v>
      </c>
      <c r="B58" s="29" t="s">
        <v>1090</v>
      </c>
      <c r="C58" s="20" t="str">
        <f>IF(ISBLANK(B58), "", VLOOKUP(B58, Candidates!B$2:H$1447, 2, FALSE))</f>
        <v/>
      </c>
      <c r="D58" s="7" t="str">
        <f>IF(ISBLANK(B58), "", VLOOKUP(B58, Candidates!B$2:H$1447, 3, FALSE))</f>
        <v/>
      </c>
      <c r="E58" s="7" t="str">
        <f>IF(ISBLANK(B58), "", VLOOKUP(B58, Candidates!B$2:H$1447, 4, FALSE))</f>
        <v>Proceedings - 2018 IEEE 26th International Requirements Engineering Conference, RE 2018</v>
      </c>
      <c r="F58" s="20" t="str">
        <f>IF(ISBLANK(B58), "", VLOOKUP(B58, Candidates!B$2:H$1447, 5, FALSE))</f>
        <v>RE</v>
      </c>
      <c r="G58" s="7" t="str">
        <f>IF(ISBLANK(B58), "", VLOOKUP(B58, Candidates!B$2:H$1447, 6, FALSE))</f>
        <v>The proceedings contain 69 papers. The topics discussed include: the next release problem revisited: a new avenue for goal models; the manager perspective on requirements impact on automotive systems development speed; a qualitative study on using GuideGen to keep requirements and acceptance tests aligned; enhancing automated requirements traceability by resolving polysemy; vetting automatically generated trace links: what information is useful to human analysts?; modeling user concerns in the app store: a case study on the rise and fall of Yik Yak; customer rating reactions can be predicted purely using app features; catalog of invisibility requirements for UbiComp and IoT applications; app review analysis via active learning: reducing supervision effort without compromising classification accuracy; learning from mistakes: an empirical study of elicitation interviews performed by novices; efficiency and effectiveness of requirements elicitation techniques for children; on the impact of semantic transparency on understanding and reviewing social goal models; an experimental comparison of two navigation techniques for requirements modeling tools; towards development of complete and conflict-free requirements; requirements engineering for consensus-oriented technical specifications; integrating requirements specification and model-based testing in agile development; and assessment of safety processes in requirements engineering.</v>
      </c>
      <c r="H58" s="7" t="str">
        <f>IF(ISBLANK(B58), "", VLOOKUP(B58, Candidates!B$2:H$1447, 7, FALSE))</f>
        <v/>
      </c>
      <c r="I58" s="33" t="b">
        <v>0</v>
      </c>
      <c r="J58" s="10" t="b">
        <v>0</v>
      </c>
      <c r="K58" s="10" t="b">
        <v>0</v>
      </c>
      <c r="L58" s="10" t="b">
        <v>0</v>
      </c>
      <c r="M58" s="10" t="b">
        <v>0</v>
      </c>
      <c r="N58" s="31" t="b">
        <v>0</v>
      </c>
      <c r="O58" s="10" t="b">
        <f t="shared" si="1"/>
        <v>0</v>
      </c>
      <c r="P58" s="31" t="b">
        <v>0</v>
      </c>
      <c r="Q58" s="7"/>
    </row>
    <row r="59">
      <c r="A59" s="29" t="b">
        <v>1</v>
      </c>
      <c r="B59" s="29" t="s">
        <v>1116</v>
      </c>
      <c r="C59" s="20" t="str">
        <f>IF(ISBLANK(B59), "", VLOOKUP(B59, Candidates!B$2:H$1447, 2, FALSE))</f>
        <v>10.1109/RE54965.2022.00019</v>
      </c>
      <c r="D59" s="7" t="str">
        <f>IF(ISBLANK(B59), "", VLOOKUP(B59, Candidates!B$2:H$1447, 3, FALSE))</f>
        <v>Chazette L.; Klos V.; Herzog F.; Schneider K.</v>
      </c>
      <c r="E59" s="7" t="str">
        <f>IF(ISBLANK(B59), "", VLOOKUP(B59, Candidates!B$2:H$1447, 4, FALSE))</f>
        <v>Requirements on Explanations: A Quality Framework for Explainability</v>
      </c>
      <c r="F59" s="20" t="str">
        <f>IF(ISBLANK(B59), "", VLOOKUP(B59, Candidates!B$2:H$1447, 5, FALSE))</f>
        <v>RE</v>
      </c>
      <c r="G59" s="7" t="str">
        <f>IF(ISBLANK(B59), "", VLOOKUP(B59, Candidates!B$2:H$1447, 6, FALSE))</f>
        <v>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v>
      </c>
      <c r="H59" s="7" t="str">
        <f>IF(ISBLANK(B59), "", VLOOKUP(B59, Candidates!B$2:H$1447, 7, FALSE))</f>
        <v>Case Study; Explainability; Explainable Systems; Explanations; NonFunctional Requirements; Quality Aspects</v>
      </c>
      <c r="I59" s="33" t="b">
        <v>0</v>
      </c>
      <c r="J59" s="10" t="b">
        <v>0</v>
      </c>
      <c r="K59" s="10" t="b">
        <v>0</v>
      </c>
      <c r="L59" s="10" t="b">
        <v>0</v>
      </c>
      <c r="M59" s="10" t="b">
        <v>0</v>
      </c>
      <c r="N59" s="31" t="b">
        <v>0</v>
      </c>
      <c r="O59" s="10" t="b">
        <f t="shared" si="1"/>
        <v>0</v>
      </c>
      <c r="P59" s="31" t="b">
        <v>0</v>
      </c>
      <c r="Q59" s="7"/>
    </row>
    <row r="60">
      <c r="A60" s="29" t="b">
        <v>1</v>
      </c>
      <c r="B60" s="29" t="s">
        <v>1119</v>
      </c>
      <c r="C60" s="20" t="str">
        <f>IF(ISBLANK(B60), "", VLOOKUP(B60, Candidates!B$2:H$1447, 2, FALSE))</f>
        <v>10.1109/RE.2009.11</v>
      </c>
      <c r="D60" s="7" t="str">
        <f>IF(ISBLANK(B60), "", VLOOKUP(B60, Candidates!B$2:H$1447, 3, FALSE))</f>
        <v>Carvallo J.P.; Franch X.</v>
      </c>
      <c r="E60" s="7" t="str">
        <f>IF(ISBLANK(B60), "", VLOOKUP(B60, Candidates!B$2:H$1447, 4, FALSE))</f>
        <v>On the use of requirements for driving call-for-tender processes for procuring coarse-grained OTS components</v>
      </c>
      <c r="F60" s="20" t="str">
        <f>IF(ISBLANK(B60), "", VLOOKUP(B60, Candidates!B$2:H$1447, 5, FALSE))</f>
        <v>RE</v>
      </c>
      <c r="G60" s="7" t="str">
        <f>IF(ISBLANK(B60), "", VLOOKUP(B60, Candidates!B$2:H$1447, 6, FALSE))</f>
        <v>Because of their complexity, software systems are currently built by integrating components of different nature into hybrid architectures, usually including some third party Off-The-Shelf (OTS) components. Several methods have been proposed to support OTS component selection. Most of them work by comparing requirements, incrementally gained though several iterations, and component descriptions. However, the iterative nature of these methods makes them practically unsuitable in some cases, particularly when conducting call-for-tender-based processes for selecting coarse-grained OTS components. In these cases, company goals need to be thoughtfully and systematically engineered to obtain a well structured set of requirements, which is to remain static during the entire procurement process and cannot be validated through hands-on experimentation. In this paper we report a case study in the selection of an ERP system for a telecommunications company using a call-for-tender process. We present the activities that were undertaken to elicit, analyze and structure the requirements to be included in call-for-tender documents, and the evaluation of components based on the identification of mismatches between requirements and component capabilities. © 2009 IEEE.</v>
      </c>
      <c r="H60" s="7" t="str">
        <f>IF(ISBLANK(B60), "", VLOOKUP(B60, Candidates!B$2:H$1447, 7, FALSE))</f>
        <v/>
      </c>
      <c r="I60" s="33" t="b">
        <v>0</v>
      </c>
      <c r="J60" s="10" t="b">
        <v>0</v>
      </c>
      <c r="K60" s="10" t="b">
        <v>0</v>
      </c>
      <c r="L60" s="10" t="b">
        <v>0</v>
      </c>
      <c r="M60" s="10" t="b">
        <v>0</v>
      </c>
      <c r="N60" s="31" t="b">
        <v>0</v>
      </c>
      <c r="O60" s="10" t="b">
        <f t="shared" si="1"/>
        <v>0</v>
      </c>
      <c r="P60" s="31" t="b">
        <v>0</v>
      </c>
      <c r="Q60" s="7"/>
    </row>
    <row r="61">
      <c r="A61" s="29" t="b">
        <v>1</v>
      </c>
      <c r="B61" s="29" t="s">
        <v>1134</v>
      </c>
      <c r="C61" s="20" t="str">
        <f>IF(ISBLANK(B61), "", VLOOKUP(B61, Candidates!B$2:H$1447, 2, FALSE))</f>
        <v>10.1109/RE.2009.33</v>
      </c>
      <c r="D61" s="7" t="str">
        <f>IF(ISBLANK(B61), "", VLOOKUP(B61, Candidates!B$2:H$1447, 3, FALSE))</f>
        <v>España S.; Condori-Fernandez N.; González A.; Pastor Ó.</v>
      </c>
      <c r="E61" s="7" t="str">
        <f>IF(ISBLANK(B61), "", VLOOKUP(B61, Candidates!B$2:H$1447, 4, FALSE))</f>
        <v>Evaluating the completeness and granularity of functional requirements specifications: A controlled experiment</v>
      </c>
      <c r="F61" s="20" t="str">
        <f>IF(ISBLANK(B61), "", VLOOKUP(B61, Candidates!B$2:H$1447, 5, FALSE))</f>
        <v>RE</v>
      </c>
      <c r="G61" s="7" t="str">
        <f>IF(ISBLANK(B61), "", VLOOKUP(B61, Candidates!B$2:H$1447, 6, FALSE))</f>
        <v>Requirements Engineering (RE) is a relatively young discipline, and still many advances have been achieved during the last decades. In particular, numerous RE methods have been proposed. However, there is a growing concern for empirical validations that assess RE proposals and statements. This paper is related to the evaluation of the quality of functional requirements specifications, focusing on completeness and granularity. To do this, several concepts related to conceptual model quality are presented; these concepts lead to the definition of metrics that allow measuring certain aspects of a requirements model quality (e.g. degree of functional encapsulations completeness with respect to a reference model, number of functional fragmentation errors). A laboratory experiment with master students has been carried out, in order to compare (using the proposed metrics) two RE approaches; namely, Use Cases and Communication Analysis. Results indicate greater quality (in terms of completeness and granularity) when Communication Analysis guidelines are followed. Moreover, interesting issues arise from experimental results, which invite further research. © 2009 IEEE.</v>
      </c>
      <c r="H61" s="7" t="str">
        <f>IF(ISBLANK(B61), "", VLOOKUP(B61, Candidates!B$2:H$1447, 7, FALSE))</f>
        <v/>
      </c>
      <c r="I61" s="30" t="b">
        <v>1</v>
      </c>
      <c r="J61" s="9" t="b">
        <v>1</v>
      </c>
      <c r="K61" s="10" t="b">
        <v>0</v>
      </c>
      <c r="L61" s="10" t="b">
        <v>0</v>
      </c>
      <c r="M61" s="10" t="b">
        <v>0</v>
      </c>
      <c r="N61" s="31" t="b">
        <v>0</v>
      </c>
      <c r="O61" s="10" t="b">
        <f t="shared" si="1"/>
        <v>0</v>
      </c>
      <c r="P61" s="32" t="b">
        <v>1</v>
      </c>
      <c r="Q61" s="13" t="s">
        <v>1534</v>
      </c>
    </row>
    <row r="62">
      <c r="A62" s="29" t="b">
        <v>1</v>
      </c>
      <c r="B62" s="29" t="s">
        <v>1141</v>
      </c>
      <c r="C62" s="20" t="str">
        <f>IF(ISBLANK(B62), "", VLOOKUP(B62, Candidates!B$2:H$1447, 2, FALSE))</f>
        <v>10.1109/RE.2018.00-52</v>
      </c>
      <c r="D62" s="7" t="str">
        <f>IF(ISBLANK(B62), "", VLOOKUP(B62, Candidates!B$2:H$1447, 3, FALSE))</f>
        <v>Maro S.; Steghofer J.-P.; Hayes J.; Cleland-Huang J.; Staron M.</v>
      </c>
      <c r="E62" s="7" t="str">
        <f>IF(ISBLANK(B62), "", VLOOKUP(B62, Candidates!B$2:H$1447, 4, FALSE))</f>
        <v>Vetting automatically generated trace links: What information is useful to human analysts?</v>
      </c>
      <c r="F62" s="20" t="str">
        <f>IF(ISBLANK(B62), "", VLOOKUP(B62, Candidates!B$2:H$1447, 5, FALSE))</f>
        <v>RE</v>
      </c>
      <c r="G62" s="7" t="str">
        <f>IF(ISBLANK(B62), "", VLOOKUP(B62, Candidates!B$2:H$1447, 6, FALSE))</f>
        <v>Automated traceability has been investigated for over a decade with promising results. However, a human analyst is needed to vet the generated trace links to ensure their quality. The process of vetting trace links is not trivial and while previous studies have analyzed the performance of the human analyst, they have not focused on the analyst's information needs. The aim of this study is to investigate what context information the human analyst needs. We used design science research, in which we conducted interviews with ten practitioners in the traceability area to understand the information needed by human analysts. We then compared the information collected from the interviews with existing literature. We created a prototype tool that presents this information to the human analyst. To further understand the role of context information, we conducted a controlled experiment with 33 participants. Our interviews reveal that human analysts need information from three different sources: 1) from the artifacts connected by the link, 2) from the traceability information model, and 3) from the tracing algorithm. The experiment results show that the content of the connected artifacts is more useful to the analyst than the contextual information of the artifacts. © 2018 IEEE.</v>
      </c>
      <c r="H62" s="7" t="str">
        <f>IF(ISBLANK(B62), "", VLOOKUP(B62, Candidates!B$2:H$1447, 7, FALSE))</f>
        <v>Automated traceability; Requirements traceability; Traceability</v>
      </c>
      <c r="I62" s="30" t="b">
        <v>1</v>
      </c>
      <c r="J62" s="9" t="b">
        <v>1</v>
      </c>
      <c r="K62" s="9" t="b">
        <v>1</v>
      </c>
      <c r="L62" s="10" t="b">
        <v>0</v>
      </c>
      <c r="M62" s="10" t="b">
        <v>0</v>
      </c>
      <c r="N62" s="31" t="b">
        <v>0</v>
      </c>
      <c r="O62" s="10" t="b">
        <f t="shared" si="1"/>
        <v>1</v>
      </c>
      <c r="P62" s="31" t="b">
        <v>0</v>
      </c>
      <c r="Q62" s="13" t="s">
        <v>1535</v>
      </c>
    </row>
    <row r="63">
      <c r="A63" s="29" t="b">
        <v>1</v>
      </c>
      <c r="B63" s="29" t="s">
        <v>1166</v>
      </c>
      <c r="C63" s="20" t="str">
        <f>IF(ISBLANK(B63), "", VLOOKUP(B63, Candidates!B$2:H$1447, 2, FALSE))</f>
        <v/>
      </c>
      <c r="D63" s="7" t="str">
        <f>IF(ISBLANK(B63), "", VLOOKUP(B63, Candidates!B$2:H$1447, 3, FALSE))</f>
        <v>Fowler Priscilla; Patrick Malcom; Carleton Anita; Merrin Barbara</v>
      </c>
      <c r="E63" s="7" t="str">
        <f>IF(ISBLANK(B63), "", VLOOKUP(B63, Candidates!B$2:H$1447, 4, FALSE))</f>
        <v>Transition packages: An experiment in expediting the introduction of requirements management</v>
      </c>
      <c r="F63" s="20" t="str">
        <f>IF(ISBLANK(B63), "", VLOOKUP(B63, Candidates!B$2:H$1447, 5, FALSE))</f>
        <v>RE</v>
      </c>
      <c r="G63" s="7" t="str">
        <f>IF(ISBLANK(B63), "", VLOOKUP(B63, Candidates!B$2:H$1447, 6, FALSE))</f>
        <v>We built a prototype `transition package' to determine if adoption of requirements management practices would be expedited by a suite of RM-specific materials for change agents. The transition package was a password-protected web site that included about 100 documents for use in both performing and introducing requirements management practices. These documents included examples, templates, checklists, and guidance materials. Three frameworks - document type, Software Capability Maturity ModelSM1Common Feature, and technology transition process model - helped users make use of the documents. This paper describes the prototype, summarizes the data gathered from an evaluation by reviewers and piloting organizations, and comments on what the data reflect about the need for and use of technology to support requirements management. Finally, the potential of this approach for improving software technology adoption and process improvement within organizations is assessed based on these experiences.</v>
      </c>
      <c r="H63" s="7" t="str">
        <f>IF(ISBLANK(B63), "", VLOOKUP(B63, Candidates!B$2:H$1447, 7, FALSE))</f>
        <v/>
      </c>
      <c r="I63" s="33" t="b">
        <v>0</v>
      </c>
      <c r="J63" s="10" t="b">
        <v>0</v>
      </c>
      <c r="K63" s="10" t="b">
        <v>0</v>
      </c>
      <c r="L63" s="10" t="b">
        <v>0</v>
      </c>
      <c r="M63" s="10" t="b">
        <v>0</v>
      </c>
      <c r="N63" s="31" t="b">
        <v>0</v>
      </c>
      <c r="O63" s="10" t="b">
        <f t="shared" si="1"/>
        <v>0</v>
      </c>
      <c r="P63" s="31" t="b">
        <v>0</v>
      </c>
      <c r="Q63" s="7"/>
    </row>
    <row r="64">
      <c r="A64" s="29" t="b">
        <v>1</v>
      </c>
      <c r="B64" s="29" t="s">
        <v>1209</v>
      </c>
      <c r="C64" s="20" t="str">
        <f>IF(ISBLANK(B64), "", VLOOKUP(B64, Candidates!B$2:H$1447, 2, FALSE))</f>
        <v>10.1145/3239235.3240496</v>
      </c>
      <c r="D64" s="7" t="str">
        <f>IF(ISBLANK(B64), "", VLOOKUP(B64, Candidates!B$2:H$1447, 3, FALSE))</f>
        <v>Romano S.; Scanniello G.; Fucci D.; Juristo N.; Turhan B.</v>
      </c>
      <c r="E64" s="7" t="str">
        <f>IF(ISBLANK(B64), "", VLOOKUP(B64, Candidates!B$2:H$1447, 4, FALSE))</f>
        <v>The effect of noise on software engineers' performance</v>
      </c>
      <c r="F64" s="20" t="str">
        <f>IF(ISBLANK(B64), "", VLOOKUP(B64, Candidates!B$2:H$1447, 5, FALSE))</f>
        <v>ESEM</v>
      </c>
      <c r="G64" s="7" t="str">
        <f>IF(ISBLANK(B64), "", VLOOKUP(B64, Candidates!B$2:H$1447, 6, FALSE))</f>
        <v>Background: Noise, defined as an unwanted sound, is one of the commonest factors that could affect people's performance in their daily work activities. The software engineering research community has marginally investigated the effects of noise on software engineers' performance. Aims: We studied if noise affects software engineers' performance in: (i) comprehending functional requirements and (ii) fixing faults in source code. Method: We conducted two experiments with final-year undergraduate students in Computer Science. In the first experiment, we asked 55 students to comprehend functional requirements exposing them or not to noise, while in the second experiment 42 students were asked to fix faults in Java code. Results: The participants in the second experiment, when exposed to noise, had significantly worse performance in fixing faults in source code. On the other hand, we did not observe any statistically significant difference in the first experiment. Conclusions: Fixing faults in source code seems to be more vulnerable to noise than comprehending functional requirements. © 2018 ACM.</v>
      </c>
      <c r="H64" s="7" t="str">
        <f>IF(ISBLANK(B64), "", VLOOKUP(B64, Candidates!B$2:H$1447, 7, FALSE))</f>
        <v>Bug fixing; Controlled experiment; Functional requirement; Noise</v>
      </c>
      <c r="I64" s="30" t="b">
        <v>1</v>
      </c>
      <c r="J64" s="9" t="b">
        <v>1</v>
      </c>
      <c r="K64" s="9" t="b">
        <v>1</v>
      </c>
      <c r="L64" s="10" t="b">
        <v>0</v>
      </c>
      <c r="M64" s="10" t="b">
        <v>0</v>
      </c>
      <c r="N64" s="31" t="b">
        <v>0</v>
      </c>
      <c r="O64" s="10" t="b">
        <f t="shared" si="1"/>
        <v>1</v>
      </c>
      <c r="P64" s="31" t="b">
        <v>0</v>
      </c>
      <c r="Q64" s="13" t="s">
        <v>1536</v>
      </c>
    </row>
    <row r="65">
      <c r="A65" s="29" t="b">
        <v>1</v>
      </c>
      <c r="B65" s="29" t="s">
        <v>1229</v>
      </c>
      <c r="C65" s="20" t="str">
        <f>IF(ISBLANK(B65), "", VLOOKUP(B65, Candidates!B$2:H$1447, 2, FALSE))</f>
        <v>10.1007/978-3-540-68237-0_11</v>
      </c>
      <c r="D65" s="7" t="str">
        <f>IF(ISBLANK(B65), "", VLOOKUP(B65, Candidates!B$2:H$1447, 3, FALSE))</f>
        <v>Furia CA,Pradella M,Rossi M</v>
      </c>
      <c r="E65" s="7" t="str">
        <f>IF(ISBLANK(B65), "", VLOOKUP(B65, Candidates!B$2:H$1447, 4, FALSE))</f>
        <v>Automated Verification of Dense-Time MTL Specifications Via Discrete-Time Approximation</v>
      </c>
      <c r="F65" s="20" t="str">
        <f>IF(ISBLANK(B65), "", VLOOKUP(B65, Candidates!B$2:H$1447, 5, FALSE))</f>
        <v>FM</v>
      </c>
      <c r="G65" s="7" t="str">
        <f>IF(ISBLANK(B65), "", VLOOKUP(B65, Candidates!B$2:H$1447, 6, FALSE))</f>
        <v>This paper presents a verification technique for dense-time MTL based on discretization. The technique reduces the validity problem of MTL formulas from dense to discrete time, through the notion of sampling invariance , introduced in previous work [13]. Since the reduction is from an undecidable problem to a decidable one, the technique is necessarily incomplete, so it fails to provide conclusive answers for some formulas. The paper discusses this shortcoming and hints at how it can be mitigated in practice. The verification technique has been implemented on top of the ï ot tool [19] for discrete-time bounded validity checking; the paper also reports on in-the-small experiments with the tool, which show some results that are promising in terms of performance.</v>
      </c>
      <c r="H65" s="7" t="str">
        <f>IF(ISBLANK(B65), "", VLOOKUP(B65, Candidates!B$2:H$1447, 7, FALSE))</f>
        <v>metric temporal logic, discretization, sampling, verification techniques, real-time, dense time</v>
      </c>
      <c r="I65" s="33" t="b">
        <v>0</v>
      </c>
      <c r="J65" s="10" t="b">
        <v>0</v>
      </c>
      <c r="K65" s="10" t="b">
        <v>0</v>
      </c>
      <c r="L65" s="10" t="b">
        <v>0</v>
      </c>
      <c r="M65" s="10" t="b">
        <v>0</v>
      </c>
      <c r="N65" s="31" t="b">
        <v>0</v>
      </c>
      <c r="O65" s="10" t="b">
        <f t="shared" si="1"/>
        <v>0</v>
      </c>
      <c r="P65" s="31" t="b">
        <v>0</v>
      </c>
      <c r="Q65" s="7"/>
    </row>
    <row r="66">
      <c r="A66" s="29" t="b">
        <v>1</v>
      </c>
      <c r="B66" s="29" t="s">
        <v>1245</v>
      </c>
      <c r="C66" s="20" t="str">
        <f>IF(ISBLANK(B66), "", VLOOKUP(B66, Candidates!B$2:H$1447, 2, FALSE))</f>
        <v>10.1109/ICPC.2011.19</v>
      </c>
      <c r="D66" s="7" t="str">
        <f>IF(ISBLANK(B66), "", VLOOKUP(B66, Candidates!B$2:H$1447, 3, FALSE))</f>
        <v>Guzzi A.; Hattori L.; Lanza M.; Pinzger M.; Deursen A.V.</v>
      </c>
      <c r="E66" s="7" t="str">
        <f>IF(ISBLANK(B66), "", VLOOKUP(B66, Candidates!B$2:H$1447, 4, FALSE))</f>
        <v>Collective code bookmarks for program comprehension</v>
      </c>
      <c r="F66" s="20" t="str">
        <f>IF(ISBLANK(B66), "", VLOOKUP(B66, Candidates!B$2:H$1447, 5, FALSE))</f>
        <v>ICPC</v>
      </c>
      <c r="G66" s="7" t="str">
        <f>IF(ISBLANK(B66), "", VLOOKUP(B66, Candidates!B$2:H$1447, 6, FALSE))</f>
        <v>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 © 2011 IEEE.</v>
      </c>
      <c r="H66" s="7" t="str">
        <f>IF(ISBLANK(B66), "", VLOOKUP(B66, Candidates!B$2:H$1447, 7, FALSE))</f>
        <v/>
      </c>
      <c r="I66" s="30" t="b">
        <v>1</v>
      </c>
      <c r="J66" s="10" t="b">
        <v>0</v>
      </c>
      <c r="K66" s="10" t="b">
        <v>0</v>
      </c>
      <c r="L66" s="10" t="b">
        <v>0</v>
      </c>
      <c r="M66" s="10" t="b">
        <v>0</v>
      </c>
      <c r="N66" s="31" t="b">
        <v>0</v>
      </c>
      <c r="O66" s="10" t="b">
        <f t="shared" si="1"/>
        <v>0</v>
      </c>
      <c r="P66" s="31" t="b">
        <v>0</v>
      </c>
      <c r="Q66" s="7"/>
    </row>
    <row r="67">
      <c r="A67" s="29" t="b">
        <v>1</v>
      </c>
      <c r="B67" s="29" t="s">
        <v>1263</v>
      </c>
      <c r="C67" s="20" t="str">
        <f>IF(ISBLANK(B67), "", VLOOKUP(B67, Candidates!B$2:H$1447, 2, FALSE))</f>
        <v>10.1109/ICST53961.2022.00012</v>
      </c>
      <c r="D67" s="7" t="str">
        <f>IF(ISBLANK(B67), "", VLOOKUP(B67, Candidates!B$2:H$1447, 3, FALSE))</f>
        <v>Haltermann J.; Wehrheim H.</v>
      </c>
      <c r="E67" s="7" t="str">
        <f>IF(ISBLANK(B67), "", VLOOKUP(B67, Candidates!B$2:H$1447, 4, FALSE))</f>
        <v>Machine Learning Based Invariant Generation: A Framework and Reproducibility Study</v>
      </c>
      <c r="F67" s="20" t="str">
        <f>IF(ISBLANK(B67), "", VLOOKUP(B67, Candidates!B$2:H$1447, 5, FALSE))</f>
        <v>ICST</v>
      </c>
      <c r="G67" s="7" t="str">
        <f>IF(ISBLANK(B67), "", VLOOKUP(B67, Candidates!B$2:H$1447, 6, FALSE))</f>
        <v>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  © 2022 IEEE.</v>
      </c>
      <c r="H67" s="7" t="str">
        <f>IF(ISBLANK(B67), "", VLOOKUP(B67, Candidates!B$2:H$1447, 7, FALSE))</f>
        <v>invariant generation; machine learning; reproducibility study; Software verification</v>
      </c>
      <c r="I67" s="33" t="b">
        <v>0</v>
      </c>
      <c r="J67" s="10" t="b">
        <v>0</v>
      </c>
      <c r="K67" s="10" t="b">
        <v>0</v>
      </c>
      <c r="L67" s="10" t="b">
        <v>0</v>
      </c>
      <c r="M67" s="10" t="b">
        <v>0</v>
      </c>
      <c r="N67" s="31" t="b">
        <v>0</v>
      </c>
      <c r="O67" s="10" t="b">
        <f t="shared" si="1"/>
        <v>0</v>
      </c>
      <c r="P67" s="31" t="b">
        <v>0</v>
      </c>
      <c r="Q67" s="7"/>
    </row>
    <row r="68">
      <c r="A68" s="29" t="b">
        <v>1</v>
      </c>
      <c r="B68" s="29" t="s">
        <v>1275</v>
      </c>
      <c r="C68" s="20" t="str">
        <f>IF(ISBLANK(B68), "", VLOOKUP(B68, Candidates!B$2:H$1447, 2, FALSE))</f>
        <v>10.1109/ICST.2011.53</v>
      </c>
      <c r="D68" s="7" t="str">
        <f>IF(ISBLANK(B68), "", VLOOKUP(B68, Candidates!B$2:H$1447, 3, FALSE))</f>
        <v>Fraser G.; Zeller A.</v>
      </c>
      <c r="E68" s="7" t="str">
        <f>IF(ISBLANK(B68), "", VLOOKUP(B68, Candidates!B$2:H$1447, 4, FALSE))</f>
        <v>Exploiting common object usage in test case generation</v>
      </c>
      <c r="F68" s="20" t="str">
        <f>IF(ISBLANK(B68), "", VLOOKUP(B68, Candidates!B$2:H$1447, 5, FALSE))</f>
        <v>ICST</v>
      </c>
      <c r="G68" s="7" t="str">
        <f>IF(ISBLANK(B68), "", VLOOKUP(B68, Candidates!B$2:H$1447, 6, FALSE))</f>
        <v>Generated test cases are good at systematically exploring paths and conditions in software. However, generated test cases often do not make sense. We adapt test case generation to follow patterns of common object usage, as mined from code examples. Our experiments show that generated tests thus (a) reuse familiar usage patterns, making them easier to understand and (b) focus on common usage, thus respecting implicit preconditions and avoiding meaningless tests. © 2011 IEEE.</v>
      </c>
      <c r="H68" s="7" t="str">
        <f>IF(ISBLANK(B68), "", VLOOKUP(B68, Candidates!B$2:H$1447, 7, FALSE))</f>
        <v>readability; specification mining; test case generation</v>
      </c>
      <c r="I68" s="33" t="b">
        <v>0</v>
      </c>
      <c r="J68" s="10" t="b">
        <v>0</v>
      </c>
      <c r="K68" s="10" t="b">
        <v>0</v>
      </c>
      <c r="L68" s="10" t="b">
        <v>0</v>
      </c>
      <c r="M68" s="10" t="b">
        <v>0</v>
      </c>
      <c r="N68" s="31" t="b">
        <v>0</v>
      </c>
      <c r="O68" s="10" t="b">
        <f t="shared" si="1"/>
        <v>0</v>
      </c>
      <c r="P68" s="31" t="b">
        <v>0</v>
      </c>
      <c r="Q68" s="7"/>
    </row>
    <row r="69">
      <c r="A69" s="29" t="b">
        <v>1</v>
      </c>
      <c r="B69" s="29" t="s">
        <v>1288</v>
      </c>
      <c r="C69" s="20" t="str">
        <f>IF(ISBLANK(B69), "", VLOOKUP(B69, Candidates!B$2:H$1447, 2, FALSE))</f>
        <v>10.1109/ISSRE.2016.11</v>
      </c>
      <c r="D69" s="7" t="str">
        <f>IF(ISBLANK(B69), "", VLOOKUP(B69, Candidates!B$2:H$1447, 3, FALSE))</f>
        <v>Zhang F.; Khoo S.-C.; Su X.</v>
      </c>
      <c r="E69" s="7" t="str">
        <f>IF(ISBLANK(B69), "", VLOOKUP(B69, Candidates!B$2:H$1447, 4, FALSE))</f>
        <v>Predicting Consistent Clone Change</v>
      </c>
      <c r="F69" s="20" t="str">
        <f>IF(ISBLANK(B69), "", VLOOKUP(B69, Candidates!B$2:H$1447, 5, FALSE))</f>
        <v>ISSRE</v>
      </c>
      <c r="G69" s="7" t="str">
        <f>IF(ISBLANK(B69), "", VLOOKUP(B69, Candidates!B$2:H$1447, 6, FALSE))</f>
        <v>Code clones, being an inevitable by-product of rapid software development, can impact software quality. The introduction of code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changes to other clones in the group. Failure in making consistent change to a clone group when necessary is commonly known as 'clone consistency-defect', which can adversely impact software reliability. We propose an approach to predict clone consistency-requirement at the time when changes have been made to a clone group. Our predictor is a Bayesian network implemented in WEKA. We build a variant of clone genealogies to collect all consistent/inconsistent changes to clone groups, and extract three sets of attributes from clone groups as input for predicting consistent clone change. These three sets are: code attributes, context attributes and evolution attributes. We conduct experiments on three open source projects. These experiments show that our approach has high precision and recall in predicting clone consistency-requirement. This holistic approach can aid developers in maintaining code clone changes, and avoid potential clone consistency-defect, which can improve the software quality and reliability. © 2016 IEEE.</v>
      </c>
      <c r="H69" s="7" t="str">
        <f>IF(ISBLANK(B69), "", VLOOKUP(B69, Candidates!B$2:H$1447, 7, FALSE))</f>
        <v>Bayesian network; clone attributes; clone maintenance; code clones; consistency-requirement prediction; Software quality</v>
      </c>
      <c r="I69" s="30" t="b">
        <v>0</v>
      </c>
      <c r="J69" s="9" t="b">
        <v>0</v>
      </c>
      <c r="K69" s="9" t="b">
        <v>0</v>
      </c>
      <c r="L69" s="10" t="b">
        <v>0</v>
      </c>
      <c r="M69" s="10" t="b">
        <v>0</v>
      </c>
      <c r="N69" s="31" t="b">
        <v>0</v>
      </c>
      <c r="O69" s="10" t="b">
        <f t="shared" si="1"/>
        <v>0</v>
      </c>
      <c r="P69" s="31" t="b">
        <v>0</v>
      </c>
      <c r="Q69" s="7"/>
    </row>
    <row r="70">
      <c r="A70" s="29" t="b">
        <v>1</v>
      </c>
      <c r="B70" s="29" t="s">
        <v>1329</v>
      </c>
      <c r="C70" s="20" t="str">
        <f>IF(ISBLANK(B70), "", VLOOKUP(B70, Candidates!B$2:H$1447, 2, FALSE))</f>
        <v>10.1145/3533767.3534372</v>
      </c>
      <c r="D70" s="7" t="str">
        <f>IF(ISBLANK(B70), "", VLOOKUP(B70, Candidates!B$2:H$1447, 3, FALSE))</f>
        <v>Liu Y.; Li Y.; Lin S.-W.; Artho C.</v>
      </c>
      <c r="E70" s="7" t="str">
        <f>IF(ISBLANK(B70), "", VLOOKUP(B70, Candidates!B$2:H$1447, 4, FALSE))</f>
        <v>Finding permission bugs in smart contracts with role mining</v>
      </c>
      <c r="F70" s="20" t="str">
        <f>IF(ISBLANK(B70), "", VLOOKUP(B70, Candidates!B$2:H$1447, 5, FALSE))</f>
        <v>ISSTA</v>
      </c>
      <c r="G70" s="7" t="str">
        <f>IF(ISBLANK(B70), "", VLOOKUP(B70, Candidates!B$2:H$1447, 6, FALSE))</f>
        <v>Smart contracts deployed on permissionless blockchains, such as Ethereum, are accessible to any user in a trustless environment. Therefore, most smart contract applications implement access control policies to protect their valuable assets from unauthorized accesses. A difficulty in validating the conformance to such policies, i.e., whether the contract implementation adheres to the expected behaviors, is the lack of policy specifications. In this paper, we mine past transactions of a contract to recover a likely access control model, which can then be checked against various information flow policies and identify potential bugs related to user permissions. We implement our role mining and security policy validation in tool SPCon. The experimental evaluation on labeled smart contract role mining benchmark demonstrates that SPCon effectively mines more accurate user roles compared to the state-of-the-art role mining tools. Moreover, the experimental evaluation on real-world smart contract benchmark and access control CVEs indicates SPCon effectively detects potential permission bugs while having better scalability and lower false-positive rate compared to the state-of-the-art security tools, finding 11 previously unknown bugs and detecting six CVEs that no other tool can find.  © 2022 ACM.</v>
      </c>
      <c r="H70" s="7" t="str">
        <f>IF(ISBLANK(B70), "", VLOOKUP(B70, Candidates!B$2:H$1447, 7, FALSE))</f>
        <v>access control; information flow policy; role mining; Smart contract</v>
      </c>
      <c r="I70" s="33" t="b">
        <v>0</v>
      </c>
      <c r="J70" s="10" t="b">
        <v>0</v>
      </c>
      <c r="K70" s="10" t="b">
        <v>0</v>
      </c>
      <c r="L70" s="10" t="b">
        <v>0</v>
      </c>
      <c r="M70" s="10" t="b">
        <v>0</v>
      </c>
      <c r="N70" s="31" t="b">
        <v>0</v>
      </c>
      <c r="O70" s="10" t="b">
        <f t="shared" si="1"/>
        <v>0</v>
      </c>
      <c r="P70" s="31" t="b">
        <v>0</v>
      </c>
      <c r="Q70" s="7"/>
    </row>
    <row r="71">
      <c r="A71" s="29" t="b">
        <v>1</v>
      </c>
      <c r="B71" s="29" t="s">
        <v>1331</v>
      </c>
      <c r="C71" s="20" t="str">
        <f>IF(ISBLANK(B71), "", VLOOKUP(B71, Candidates!B$2:H$1447, 2, FALSE))</f>
        <v>10.1145/3460319.3464805</v>
      </c>
      <c r="D71" s="7" t="str">
        <f>IF(ISBLANK(B71), "", VLOOKUP(B71, Candidates!B$2:H$1447, 3, FALSE))</f>
        <v>Pan Y.; Ma M.; Jiang X.; Wang P.</v>
      </c>
      <c r="E71" s="7" t="str">
        <f>IF(ISBLANK(B71), "", VLOOKUP(B71, Candidates!B$2:H$1447, 4, FALSE))</f>
        <v>Faster, deeper, easier: Crowdsourcing diagnosis of microservice kernel failure from user space</v>
      </c>
      <c r="F71" s="20" t="str">
        <f>IF(ISBLANK(B71), "", VLOOKUP(B71, Candidates!B$2:H$1447, 5, FALSE))</f>
        <v>ISSTA</v>
      </c>
      <c r="G71" s="7" t="str">
        <f>IF(ISBLANK(B71), "", VLOOKUP(B71, Candidates!B$2:H$1447, 6, FALSE))</f>
        <v>With the widespread use of cloud-native architecture, increasing web applications (apps) choose to build on microservices. Simultaneously, troubleshooting becomes full of challenges owing to the high dynamics and complexity of anomaly propagation. Existing diagnostic methods rely heavily on monitoring metrics collected from the kernel side of microservice systems. Without a comprehensive monitoring infrastructure, application owners and even cloud operators cannot resort to these kernel-space solutions. This paper summarizes several insights on operating a top commercial cloud platform. Then, for the first time, we put forward the idea of user-space diagnosis for microservice kernel failures. To this end, we develop a crowdsourcing solution - DyCause, to resolve the asymmetric diagnostic information problem. DyCause deploys on the application side in a distributed manner. Through lightweight API log sharing, apps collect the operational status of kernel services collaboratively and initiate diagnosis on demand. Deploying DyCause is fast and lightweight as we do not have any architectural and functional requirements for the kernel. To reveal more accurate correlations from asymmetric diagnostic information, we design a novel statistical algorithm that can efficiently discover the time-varying causalities between services. This algorithm also helps us build the temporal order of the anomaly propagation. Therefore, by using DyCause, we can obtain more in-depth and interpretable diagnostic clues with limited indicators. We apply and evaluate DyCause on both a simulated test-bed and a real-world cloud system. Experimental results verify that DyCause running in the user-space outperforms several state-of-the-art algorithms running in the kernel on accuracy. Besides, DyCause shows superior advantages in terms of algorithmic efficiency and data sensitivity. Simply put, DyCause produces a significantly better result than other baselines when analyzing much fewer or sparser metrics. To conclude, DyCause is faster to act, deeper in analysis, and easier to deploy. © 2021 ACM.</v>
      </c>
      <c r="H71" s="7" t="str">
        <f>IF(ISBLANK(B71), "", VLOOKUP(B71, Candidates!B$2:H$1447, 7, FALSE))</f>
        <v>Dynamic service dependency; Granger causal intervals; Microservice system; Root cause analysis</v>
      </c>
      <c r="I71" s="33" t="b">
        <v>0</v>
      </c>
      <c r="J71" s="10" t="b">
        <v>0</v>
      </c>
      <c r="K71" s="10" t="b">
        <v>0</v>
      </c>
      <c r="L71" s="10" t="b">
        <v>0</v>
      </c>
      <c r="M71" s="10" t="b">
        <v>0</v>
      </c>
      <c r="N71" s="31" t="b">
        <v>0</v>
      </c>
      <c r="O71" s="10" t="b">
        <f t="shared" si="1"/>
        <v>0</v>
      </c>
      <c r="P71" s="31" t="b">
        <v>0</v>
      </c>
      <c r="Q71" s="7"/>
    </row>
    <row r="72">
      <c r="A72" s="29" t="b">
        <v>1</v>
      </c>
      <c r="B72" s="29" t="s">
        <v>1368</v>
      </c>
      <c r="C72" s="20" t="str">
        <f>IF(ISBLANK(B72), "", VLOOKUP(B72, Candidates!B$2:H$1447, 2, FALSE))</f>
        <v/>
      </c>
      <c r="D72" s="7" t="str">
        <f>IF(ISBLANK(B72), "", VLOOKUP(B72, Candidates!B$2:H$1447, 3, FALSE))</f>
        <v/>
      </c>
      <c r="E72" s="7" t="str">
        <f>IF(ISBLANK(B72), "", VLOOKUP(B72, Candidates!B$2:H$1447, 4, FALSE))</f>
        <v>Proceedings - 25th ACM/IEEE International Conference on Model Driven Engineering Languages and Systems, MODELS 2022</v>
      </c>
      <c r="F72" s="20" t="str">
        <f>IF(ISBLANK(B72), "", VLOOKUP(B72, Candidates!B$2:H$1447, 5, FALSE))</f>
        <v>MODELS</v>
      </c>
      <c r="G72" s="7" t="str">
        <f>IF(ISBLANK(B72), "", VLOOKUP(B72, Candidates!B$2:H$1447, 6, FALSE))</f>
        <v>The proceedings contain 35 papers. The topics discussed include: incremental causal connection for self-adaptive systems based on relational reference attribute grammars; addressing the uncertainty interaction problem in software-intensive systems: challenges and desiderata; precomputing reconfiguration strategies based on stochastic timed game automata; system architecture synthesis for performability by logic solvers; digital twin as risk free experimentation aid for techno-socio-economic systems; reactive links across multi-domain engineering models; modelling program verification tools for software engineers; automatic test amplification for executable models; feedback on the formal verification of UML models in an industrial context: the case of a smart device life cycle management system; validating the correctness of reactive systems specifications through systematic exploration; and machine learning methods for model classification: a comparative study.</v>
      </c>
      <c r="H72" s="7" t="str">
        <f>IF(ISBLANK(B72), "", VLOOKUP(B72, Candidates!B$2:H$1447, 7, FALSE))</f>
        <v/>
      </c>
      <c r="I72" s="33" t="b">
        <v>0</v>
      </c>
      <c r="J72" s="10" t="b">
        <v>0</v>
      </c>
      <c r="K72" s="10" t="b">
        <v>0</v>
      </c>
      <c r="L72" s="10" t="b">
        <v>0</v>
      </c>
      <c r="M72" s="10" t="b">
        <v>0</v>
      </c>
      <c r="N72" s="31" t="b">
        <v>0</v>
      </c>
      <c r="O72" s="10" t="b">
        <f t="shared" si="1"/>
        <v>0</v>
      </c>
      <c r="P72" s="31" t="b">
        <v>0</v>
      </c>
      <c r="Q72" s="7"/>
    </row>
    <row r="73">
      <c r="A73" s="29" t="b">
        <v>1</v>
      </c>
      <c r="B73" s="29" t="s">
        <v>1380</v>
      </c>
      <c r="C73" s="20" t="str">
        <f>IF(ISBLANK(B73), "", VLOOKUP(B73, Candidates!B$2:H$1447, 2, FALSE))</f>
        <v>10.1109/MODELS50736.2021.00039</v>
      </c>
      <c r="D73" s="7" t="str">
        <f>IF(ISBLANK(B73), "", VLOOKUP(B73, Candidates!B$2:H$1447, 3, FALSE))</f>
        <v>Wete E.; Greenyer J.; Wortmann A.; Flegel O.; Klein M.</v>
      </c>
      <c r="E73" s="7" t="str">
        <f>IF(ISBLANK(B73), "", VLOOKUP(B73, Candidates!B$2:H$1447, 4, FALSE))</f>
        <v>Monte Carlo Tree Search and GR(1) Synthesis for Robot Tasks Planning in Automotive Production Lines</v>
      </c>
      <c r="F73" s="20" t="str">
        <f>IF(ISBLANK(B73), "", VLOOKUP(B73, Candidates!B$2:H$1447, 5, FALSE))</f>
        <v>MODELS</v>
      </c>
      <c r="G73" s="7" t="str">
        <f>IF(ISBLANK(B73), "", VLOOKUP(B73, Candidates!B$2:H$1447, 6, FALSE))</f>
        <v>In automotive production cells, complex processes involving multiple robots must be optimized for cycle time. We investigated using symbolic GR(1) controller synthesis for automating multi-robot task planning. Given a specification of the order of tasks and states to avoid, often multiple valid strategies can be computed; in many states there are multiple choices to satisfy the specification, such as choosing different robots to perform a certain task. To determine the best choices under the consideration of movement times and probabilities that robots may be interrupted for repairs or corrections, we combine the execution of the synthesized controller with Monte Carlo Tree Search (MCTS), a heuristic AI-planning technique. The result is a model-at-run-time approach that we present by the example of a multi-robot spot welding cell. We report on experiments showing that the approach (1) can reduce cycle times by choosing time-efficient movement sequences and (2) can choose executions that react efficiently to interruptions by choosing to delay tasks that, if an interruption of one robot should occur later, can be reallocated to another robot. Most interestingly, we found, however, that (3) in some cases there is a conflict between time-efficient movement sequences and ones that may react efficiently to probable future interruptions - and when interruption probabilities are low, increasing the time allocated for MCTS, i.e., increasing the number of sample simulations made by MCTS, does not improve cycle time.  © 2021 IEEE.</v>
      </c>
      <c r="H73" s="7" t="str">
        <f>IF(ISBLANK(B73), "", VLOOKUP(B73, Candidates!B$2:H$1447, 7, FALSE))</f>
        <v>Monte Carlo Tree Search; Reactive systems; Robot tasks planning</v>
      </c>
      <c r="I73" s="33" t="b">
        <v>0</v>
      </c>
      <c r="J73" s="10" t="b">
        <v>0</v>
      </c>
      <c r="K73" s="10" t="b">
        <v>0</v>
      </c>
      <c r="L73" s="10" t="b">
        <v>0</v>
      </c>
      <c r="M73" s="10" t="b">
        <v>0</v>
      </c>
      <c r="N73" s="31" t="b">
        <v>0</v>
      </c>
      <c r="O73" s="10" t="b">
        <f t="shared" si="1"/>
        <v>0</v>
      </c>
      <c r="P73" s="31" t="b">
        <v>0</v>
      </c>
      <c r="Q73" s="7"/>
    </row>
    <row r="74">
      <c r="A74" s="29" t="b">
        <v>1</v>
      </c>
      <c r="B74" s="29" t="s">
        <v>1401</v>
      </c>
      <c r="C74" s="20" t="str">
        <f>IF(ISBLANK(B74), "", VLOOKUP(B74, Candidates!B$2:H$1447, 2, FALSE))</f>
        <v>10.1145/1297027.1297031</v>
      </c>
      <c r="D74" s="7" t="str">
        <f>IF(ISBLANK(B74), "", VLOOKUP(B74, Candidates!B$2:H$1447, 3, FALSE))</f>
        <v>Gang T.; Morrisett G.</v>
      </c>
      <c r="E74" s="7" t="str">
        <f>IF(ISBLANK(B74), "", VLOOKUP(B74, Candidates!B$2:H$1447, 4, FALSE))</f>
        <v>ILEA: Inter-language analysis across java and C</v>
      </c>
      <c r="F74" s="20" t="str">
        <f>IF(ISBLANK(B74), "", VLOOKUP(B74, Candidates!B$2:H$1447, 5, FALSE))</f>
        <v>OOPSLA</v>
      </c>
      <c r="G74" s="7" t="str">
        <f>IF(ISBLANK(B74), "", VLOOKUP(B74, Candidates!B$2:H$1447, 6, FALSE))</f>
        <v>Java bug finders perform static analysis to find implementation mistakes that can lead to exploits and failures; Java compilers perform static analysis for optimization. If Java programs contain foreign function calls to C libraries, however, static analysis is forced to make either optimistic or pessimistic assumptions about the foreign function calls, since models of the C libraries are typically not available. We propose ILEA (stands for Inter-LanguagE Analysis), which is a framework that enables existing Java analyses to understand the behavior of C code. Our framework includes: (1) a novel specification language, which extends the Java Virtual Machine Language (JVML) with a few primitives that approximate the effects that the C code might have; (2) an automatic specification extractor, which builds models of the C code. Comparing to other possible specification languages, our language is expressive, yet facilitates construction of automatic specification extractors. Furthermore, because the specification language is based on the JVML, existing Java analyses can be easily migrated to utilize specifications in the language. We also demonstrate the utility of the specifications generated, by modifying an existing nonnull analysis to identify null-related bugs in Java applications that contain C libraries. Our preliminary experiments identified dozens of null-related bugs. Copyright © 2007 ACM.</v>
      </c>
      <c r="H74" s="7" t="str">
        <f>IF(ISBLANK(B74), "", VLOOKUP(B74, Candidates!B$2:H$1447, 7, FALSE))</f>
        <v>Inter-language analysis; Java native interface; JNI; JVML; Specification extraction</v>
      </c>
      <c r="I74" s="33" t="b">
        <v>0</v>
      </c>
      <c r="J74" s="10" t="b">
        <v>0</v>
      </c>
      <c r="K74" s="10" t="b">
        <v>0</v>
      </c>
      <c r="L74" s="10" t="b">
        <v>0</v>
      </c>
      <c r="M74" s="10" t="b">
        <v>0</v>
      </c>
      <c r="N74" s="31" t="b">
        <v>0</v>
      </c>
      <c r="O74" s="10" t="b">
        <f t="shared" si="1"/>
        <v>0</v>
      </c>
      <c r="P74" s="31" t="b">
        <v>0</v>
      </c>
      <c r="Q74" s="7"/>
    </row>
    <row r="75">
      <c r="A75" s="29" t="b">
        <v>1</v>
      </c>
      <c r="B75" s="29" t="s">
        <v>1415</v>
      </c>
      <c r="C75" s="20" t="str">
        <f>IF(ISBLANK(B75), "", VLOOKUP(B75, Candidates!B$2:H$1447, 2, FALSE))</f>
        <v>10.1109/SANER.2017.7884611</v>
      </c>
      <c r="D75" s="7" t="str">
        <f>IF(ISBLANK(B75), "", VLOOKUP(B75, Candidates!B$2:H$1447, 3, FALSE))</f>
        <v>Rahman M.M.; Roy C.K.</v>
      </c>
      <c r="E75" s="7" t="str">
        <f>IF(ISBLANK(B75), "", VLOOKUP(B75, Candidates!B$2:H$1447, 4, FALSE))</f>
        <v>STRICT: Information retrieval based search term identification for concept location</v>
      </c>
      <c r="F75" s="20" t="str">
        <f>IF(ISBLANK(B75), "", VLOOKUP(B75, Candidates!B$2:H$1447, 5, FALSE))</f>
        <v>SANER</v>
      </c>
      <c r="G75" s="7" t="str">
        <f>IF(ISBLANK(B75), "", VLOOKUP(B75, Candidates!B$2:H$1447, 6, FALSE))</f>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 2017 IEEE.</v>
      </c>
      <c r="H75" s="7" t="str">
        <f>IF(ISBLANK(B75), "", VLOOKUP(B75, Candidates!B$2:H$1447, 7, FALSE))</f>
        <v>Concept location; information retrieval; POSRank; search term identification; TextRank</v>
      </c>
      <c r="I75" s="33" t="b">
        <v>0</v>
      </c>
      <c r="J75" s="10" t="b">
        <v>0</v>
      </c>
      <c r="K75" s="10" t="b">
        <v>0</v>
      </c>
      <c r="L75" s="10" t="b">
        <v>0</v>
      </c>
      <c r="M75" s="10" t="b">
        <v>0</v>
      </c>
      <c r="N75" s="31" t="b">
        <v>0</v>
      </c>
      <c r="O75" s="10" t="b">
        <f t="shared" si="1"/>
        <v>0</v>
      </c>
      <c r="P75" s="31" t="b">
        <v>0</v>
      </c>
      <c r="Q75" s="7"/>
    </row>
    <row r="76">
      <c r="A76" s="29" t="b">
        <v>1</v>
      </c>
      <c r="B76" s="29" t="s">
        <v>1497</v>
      </c>
      <c r="C76" s="20" t="str">
        <f>IF(ISBLANK(B76), "", VLOOKUP(B76, Candidates!B$2:H$1447, 2, FALSE))</f>
        <v>10.1109/SEAA.2010.58</v>
      </c>
      <c r="D76" s="7" t="str">
        <f>IF(ISBLANK(B76), "", VLOOKUP(B76, Candidates!B$2:H$1447, 3, FALSE))</f>
        <v>Bertolino A.; Lonetti F.; Marchetti E.</v>
      </c>
      <c r="E76" s="7" t="str">
        <f>IF(ISBLANK(B76), "", VLOOKUP(B76, Candidates!B$2:H$1447, 4, FALSE))</f>
        <v>Systematic XACML request generation for testing purposes</v>
      </c>
      <c r="F76" s="20" t="str">
        <f>IF(ISBLANK(B76), "", VLOOKUP(B76, Candidates!B$2:H$1447, 5, FALSE))</f>
        <v>SEAA</v>
      </c>
      <c r="G76" s="7" t="str">
        <f>IF(ISBLANK(B76), "", VLOOKUP(B76, Candidates!B$2:H$1447, 6, FALSE))</f>
        <v>A widely adopted security mechanism is the specification of access control policies by means of the XACML language. In this paper, we propose a framework, called X-CREATE, for the systematic generation of test inputs (XACML requests). Differently from existing tools, X-CREATE exploits the XACML Context Schema. In particular, the tool applies a XML-based methodology (XPT) to systematically produce a set of intermediate instances, covering the XACML Context Schema. Moreover, for request generation, X-CREATE applies a procedure for parsing the policy under test and assigning values to the generated intermediate instances. The aim of the proposed framework is twofold: testing of policy evaluation engines and testing of access control policies. The experimental results show that the fault detection effectiveness of X-CREATE is similar or higher than that of existing approaches. © 2010 IEEE.</v>
      </c>
      <c r="H76" s="7" t="str">
        <f>IF(ISBLANK(B76), "", VLOOKUP(B76, Candidates!B$2:H$1447, 7, FALSE))</f>
        <v/>
      </c>
      <c r="I76" s="33" t="b">
        <v>0</v>
      </c>
      <c r="J76" s="10" t="b">
        <v>0</v>
      </c>
      <c r="K76" s="10" t="b">
        <v>0</v>
      </c>
      <c r="L76" s="10" t="b">
        <v>0</v>
      </c>
      <c r="M76" s="10" t="b">
        <v>0</v>
      </c>
      <c r="N76" s="31" t="b">
        <v>0</v>
      </c>
      <c r="O76" s="10" t="b">
        <f t="shared" si="1"/>
        <v>0</v>
      </c>
      <c r="P76" s="31" t="b">
        <v>0</v>
      </c>
      <c r="Q76" s="7"/>
    </row>
  </sheetData>
  <conditionalFormatting sqref="A2:A76">
    <cfRule type="cellIs" dxfId="4" priority="1" operator="equal">
      <formula>"TRUE"</formula>
    </cfRule>
  </conditionalFormatting>
  <conditionalFormatting sqref="I2:K76">
    <cfRule type="cellIs" dxfId="10" priority="2" operator="equal">
      <formula>"TRUE"</formula>
    </cfRule>
  </conditionalFormatting>
  <conditionalFormatting sqref="L2:N76">
    <cfRule type="cellIs" dxfId="11" priority="3" operator="equal">
      <formula>"TRUE"</formula>
    </cfRule>
  </conditionalFormatting>
  <conditionalFormatting sqref="O2:O76">
    <cfRule type="expression" dxfId="4" priority="4">
      <formula>AND(A2, O2)</formula>
    </cfRule>
  </conditionalFormatting>
  <conditionalFormatting sqref="P2:P76">
    <cfRule type="cellIs" dxfId="12" priority="5" operator="equal">
      <formula>"TRUE"</formula>
    </cfRule>
  </conditionalFormatting>
  <conditionalFormatting sqref="O2:O76">
    <cfRule type="expression" dxfId="13" priority="6">
      <formula>AND(A2, NOT(O2))</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15" width="3.88"/>
    <col customWidth="1" min="16" max="16" width="7.63"/>
    <col customWidth="1" min="17" max="17" width="50.13"/>
  </cols>
  <sheetData>
    <row r="1">
      <c r="A1" s="19" t="s">
        <v>1537</v>
      </c>
      <c r="B1" s="4" t="s">
        <v>1538</v>
      </c>
      <c r="I1" s="4" t="s">
        <v>1539</v>
      </c>
      <c r="P1" s="19" t="s">
        <v>1540</v>
      </c>
      <c r="Q1" s="2"/>
    </row>
    <row r="2">
      <c r="A2" s="24"/>
      <c r="B2" s="19" t="s">
        <v>7</v>
      </c>
      <c r="C2" s="19" t="s">
        <v>8</v>
      </c>
      <c r="D2" s="19" t="s">
        <v>9</v>
      </c>
      <c r="E2" s="19" t="s">
        <v>10</v>
      </c>
      <c r="F2" s="19" t="s">
        <v>11</v>
      </c>
      <c r="G2" s="19" t="s">
        <v>12</v>
      </c>
      <c r="H2" s="19" t="s">
        <v>13</v>
      </c>
      <c r="I2" s="19" t="s">
        <v>7</v>
      </c>
      <c r="J2" s="19" t="s">
        <v>8</v>
      </c>
      <c r="K2" s="19" t="s">
        <v>9</v>
      </c>
      <c r="L2" s="19" t="s">
        <v>10</v>
      </c>
      <c r="M2" s="19" t="s">
        <v>11</v>
      </c>
      <c r="N2" s="19" t="s">
        <v>12</v>
      </c>
      <c r="O2" s="19" t="s">
        <v>13</v>
      </c>
      <c r="P2" s="24"/>
      <c r="Q2" s="25"/>
    </row>
    <row r="3">
      <c r="A3" s="34" t="str">
        <f>IFERROR(__xludf.DUMMYFUNCTION("UNIQUE(Overlap!B2:B22)"),"E12")</f>
        <v>E12</v>
      </c>
      <c r="B3" s="20" t="b">
        <f>VLOOKUP($A3, Candidates!$B$2:$P$1447, 8, FALSE)</f>
        <v>0</v>
      </c>
      <c r="C3" s="20" t="b">
        <f>VLOOKUP($A3, Candidates!$B$2:$P$1447, 9, FALSE)</f>
        <v>0</v>
      </c>
      <c r="D3" s="20" t="b">
        <f>VLOOKUP($A3, Candidates!$B$2:$P$1447, 10, FALSE)</f>
        <v>0</v>
      </c>
      <c r="E3" s="20" t="b">
        <f>VLOOKUP($A3, Candidates!$B$2:$P$1447, 11, FALSE)</f>
        <v>0</v>
      </c>
      <c r="F3" s="20" t="b">
        <f>VLOOKUP($A3, Candidates!$B$2:$P$1447, 12, FALSE)</f>
        <v>0</v>
      </c>
      <c r="G3" s="20" t="b">
        <f>VLOOKUP($A3, Candidates!$B$2:$P$1447, 13, FALSE)</f>
        <v>0</v>
      </c>
      <c r="H3" s="35" t="b">
        <f>VLOOKUP($A3, Candidates!$B$2:$P$1447, 14, FALSE)</f>
        <v>0</v>
      </c>
      <c r="I3" s="29" t="b">
        <f>VLOOKUP($A3, Overlap!$B$2:$P$21, 8, FALSE)</f>
        <v>0</v>
      </c>
      <c r="J3" s="29" t="b">
        <f>VLOOKUP($A3, Overlap!$B$2:$P$21, 9, FALSE)</f>
        <v>0</v>
      </c>
      <c r="K3" s="29" t="b">
        <f>VLOOKUP($A3, Overlap!$B$2:$P$21, 10, FALSE)</f>
        <v>0</v>
      </c>
      <c r="L3" s="29" t="b">
        <f>VLOOKUP($A3, Overlap!$B$2:$P$21, 11, FALSE)</f>
        <v>0</v>
      </c>
      <c r="M3" s="29" t="b">
        <f>VLOOKUP($A3, Overlap!$B$2:$P$21, 12, FALSE)</f>
        <v>0</v>
      </c>
      <c r="N3" s="29" t="b">
        <f>VLOOKUP($A3, Overlap!$B$2:$P$21, 13, FALSE)</f>
        <v>0</v>
      </c>
      <c r="O3" s="36" t="b">
        <f>VLOOKUP($A3, Overlap!$B$2:$P$21, 14, FALSE)</f>
        <v>0</v>
      </c>
      <c r="P3" s="11" t="b">
        <f t="shared" ref="P3:P22" si="1">(H3=O3)</f>
        <v>1</v>
      </c>
      <c r="Q3" s="7"/>
    </row>
    <row r="4">
      <c r="A4" s="34" t="str">
        <f>IFERROR(__xludf.DUMMYFUNCTION("""COMPUTED_VALUE"""),"E15")</f>
        <v>E15</v>
      </c>
      <c r="B4" s="20" t="b">
        <f>VLOOKUP($A4, Candidates!$B$2:$P$1447, 8, FALSE)</f>
        <v>1</v>
      </c>
      <c r="C4" s="20" t="b">
        <f>VLOOKUP($A4, Candidates!$B$2:$P$1447, 9, FALSE)</f>
        <v>0</v>
      </c>
      <c r="D4" s="20" t="b">
        <f>VLOOKUP($A4, Candidates!$B$2:$P$1447, 10, FALSE)</f>
        <v>1</v>
      </c>
      <c r="E4" s="20" t="b">
        <f>VLOOKUP($A4, Candidates!$B$2:$P$1447, 11, FALSE)</f>
        <v>0</v>
      </c>
      <c r="F4" s="20" t="b">
        <f>VLOOKUP($A4, Candidates!$B$2:$P$1447, 12, FALSE)</f>
        <v>0</v>
      </c>
      <c r="G4" s="20" t="b">
        <f>VLOOKUP($A4, Candidates!$B$2:$P$1447, 13, FALSE)</f>
        <v>0</v>
      </c>
      <c r="H4" s="35" t="b">
        <f>VLOOKUP($A4, Candidates!$B$2:$P$1447, 14, FALSE)</f>
        <v>0</v>
      </c>
      <c r="I4" s="29" t="b">
        <f>VLOOKUP($A4, Overlap!$B$2:$P$21, 8, FALSE)</f>
        <v>1</v>
      </c>
      <c r="J4" s="29" t="b">
        <f>VLOOKUP($A4, Overlap!$B$2:$P$21, 9, FALSE)</f>
        <v>0</v>
      </c>
      <c r="K4" s="29" t="b">
        <f>VLOOKUP($A4, Overlap!$B$2:$P$21, 10, FALSE)</f>
        <v>0</v>
      </c>
      <c r="L4" s="29" t="b">
        <f>VLOOKUP($A4, Overlap!$B$2:$P$21, 11, FALSE)</f>
        <v>0</v>
      </c>
      <c r="M4" s="29" t="b">
        <f>VLOOKUP($A4, Overlap!$B$2:$P$21, 12, FALSE)</f>
        <v>0</v>
      </c>
      <c r="N4" s="29" t="b">
        <f>VLOOKUP($A4, Overlap!$B$2:$P$21, 13, FALSE)</f>
        <v>0</v>
      </c>
      <c r="O4" s="36" t="b">
        <f>VLOOKUP($A4, Overlap!$B$2:$P$21, 14, FALSE)</f>
        <v>0</v>
      </c>
      <c r="P4" s="11" t="b">
        <f t="shared" si="1"/>
        <v>1</v>
      </c>
      <c r="Q4" s="13" t="s">
        <v>1541</v>
      </c>
    </row>
    <row r="5">
      <c r="A5" s="34" t="str">
        <f>IFERROR(__xludf.DUMMYFUNCTION("""COMPUTED_VALUE"""),"E19")</f>
        <v>E19</v>
      </c>
      <c r="B5" s="20" t="b">
        <f>VLOOKUP($A5, Candidates!$B$2:$P$1447, 8, FALSE)</f>
        <v>0</v>
      </c>
      <c r="C5" s="20" t="b">
        <f>VLOOKUP($A5, Candidates!$B$2:$P$1447, 9, FALSE)</f>
        <v>1</v>
      </c>
      <c r="D5" s="20" t="b">
        <f>VLOOKUP($A5, Candidates!$B$2:$P$1447, 10, FALSE)</f>
        <v>0</v>
      </c>
      <c r="E5" s="20" t="b">
        <f>VLOOKUP($A5, Candidates!$B$2:$P$1447, 11, FALSE)</f>
        <v>0</v>
      </c>
      <c r="F5" s="20" t="b">
        <f>VLOOKUP($A5, Candidates!$B$2:$P$1447, 12, FALSE)</f>
        <v>0</v>
      </c>
      <c r="G5" s="20" t="b">
        <f>VLOOKUP($A5, Candidates!$B$2:$P$1447, 13, FALSE)</f>
        <v>0</v>
      </c>
      <c r="H5" s="35" t="b">
        <f>VLOOKUP($A5, Candidates!$B$2:$P$1447, 14, FALSE)</f>
        <v>0</v>
      </c>
      <c r="I5" s="29" t="b">
        <f>VLOOKUP($A5, Overlap!$B$2:$P$21, 8, FALSE)</f>
        <v>0</v>
      </c>
      <c r="J5" s="29" t="b">
        <f>VLOOKUP($A5, Overlap!$B$2:$P$21, 9, FALSE)</f>
        <v>0</v>
      </c>
      <c r="K5" s="29" t="b">
        <f>VLOOKUP($A5, Overlap!$B$2:$P$21, 10, FALSE)</f>
        <v>0</v>
      </c>
      <c r="L5" s="29" t="b">
        <f>VLOOKUP($A5, Overlap!$B$2:$P$21, 11, FALSE)</f>
        <v>0</v>
      </c>
      <c r="M5" s="29" t="b">
        <f>VLOOKUP($A5, Overlap!$B$2:$P$21, 12, FALSE)</f>
        <v>0</v>
      </c>
      <c r="N5" s="29" t="b">
        <f>VLOOKUP($A5, Overlap!$B$2:$P$21, 13, FALSE)</f>
        <v>0</v>
      </c>
      <c r="O5" s="36" t="b">
        <f>VLOOKUP($A5, Overlap!$B$2:$P$21, 14, FALSE)</f>
        <v>0</v>
      </c>
      <c r="P5" s="11" t="b">
        <f t="shared" si="1"/>
        <v>1</v>
      </c>
      <c r="Q5" s="7"/>
    </row>
    <row r="6">
      <c r="A6" s="34" t="str">
        <f>IFERROR(__xludf.DUMMYFUNCTION("""COMPUTED_VALUE"""),"E20")</f>
        <v>E20</v>
      </c>
      <c r="B6" s="20" t="b">
        <f>VLOOKUP($A6, Candidates!$B$2:$P$1447, 8, FALSE)</f>
        <v>1</v>
      </c>
      <c r="C6" s="20" t="b">
        <f>VLOOKUP($A6, Candidates!$B$2:$P$1447, 9, FALSE)</f>
        <v>0</v>
      </c>
      <c r="D6" s="20" t="b">
        <f>VLOOKUP($A6, Candidates!$B$2:$P$1447, 10, FALSE)</f>
        <v>1</v>
      </c>
      <c r="E6" s="20" t="b">
        <f>VLOOKUP($A6, Candidates!$B$2:$P$1447, 11, FALSE)</f>
        <v>0</v>
      </c>
      <c r="F6" s="20" t="b">
        <f>VLOOKUP($A6, Candidates!$B$2:$P$1447, 12, FALSE)</f>
        <v>0</v>
      </c>
      <c r="G6" s="20" t="b">
        <f>VLOOKUP($A6, Candidates!$B$2:$P$1447, 13, FALSE)</f>
        <v>0</v>
      </c>
      <c r="H6" s="35" t="b">
        <f>VLOOKUP($A6, Candidates!$B$2:$P$1447, 14, FALSE)</f>
        <v>0</v>
      </c>
      <c r="I6" s="29" t="b">
        <f>VLOOKUP($A6, Overlap!$B$2:$P$21, 8, FALSE)</f>
        <v>1</v>
      </c>
      <c r="J6" s="29" t="b">
        <f>VLOOKUP($A6, Overlap!$B$2:$P$21, 9, FALSE)</f>
        <v>0</v>
      </c>
      <c r="K6" s="29" t="b">
        <f>VLOOKUP($A6, Overlap!$B$2:$P$21, 10, FALSE)</f>
        <v>0</v>
      </c>
      <c r="L6" s="29" t="b">
        <f>VLOOKUP($A6, Overlap!$B$2:$P$21, 11, FALSE)</f>
        <v>0</v>
      </c>
      <c r="M6" s="29" t="b">
        <f>VLOOKUP($A6, Overlap!$B$2:$P$21, 12, FALSE)</f>
        <v>0</v>
      </c>
      <c r="N6" s="29" t="b">
        <f>VLOOKUP($A6, Overlap!$B$2:$P$21, 13, FALSE)</f>
        <v>0</v>
      </c>
      <c r="O6" s="36" t="b">
        <f>VLOOKUP($A6, Overlap!$B$2:$P$21, 14, FALSE)</f>
        <v>0</v>
      </c>
      <c r="P6" s="11" t="b">
        <f t="shared" si="1"/>
        <v>1</v>
      </c>
      <c r="Q6" s="13" t="s">
        <v>1542</v>
      </c>
    </row>
    <row r="7">
      <c r="A7" s="34" t="str">
        <f>IFERROR(__xludf.DUMMYFUNCTION("""COMPUTED_VALUE"""),"E29")</f>
        <v>E29</v>
      </c>
      <c r="B7" s="20" t="b">
        <f>VLOOKUP($A7, Candidates!$B$2:$P$1447, 8, FALSE)</f>
        <v>0</v>
      </c>
      <c r="C7" s="20" t="b">
        <f>VLOOKUP($A7, Candidates!$B$2:$P$1447, 9, FALSE)</f>
        <v>0</v>
      </c>
      <c r="D7" s="20" t="b">
        <f>VLOOKUP($A7, Candidates!$B$2:$P$1447, 10, FALSE)</f>
        <v>0</v>
      </c>
      <c r="E7" s="20" t="b">
        <f>VLOOKUP($A7, Candidates!$B$2:$P$1447, 11, FALSE)</f>
        <v>0</v>
      </c>
      <c r="F7" s="20" t="b">
        <f>VLOOKUP($A7, Candidates!$B$2:$P$1447, 12, FALSE)</f>
        <v>0</v>
      </c>
      <c r="G7" s="20" t="b">
        <f>VLOOKUP($A7, Candidates!$B$2:$P$1447, 13, FALSE)</f>
        <v>0</v>
      </c>
      <c r="H7" s="35" t="b">
        <f>VLOOKUP($A7, Candidates!$B$2:$P$1447, 14, FALSE)</f>
        <v>0</v>
      </c>
      <c r="I7" s="29" t="b">
        <f>VLOOKUP($A7, Overlap!$B$2:$P$21, 8, FALSE)</f>
        <v>0</v>
      </c>
      <c r="J7" s="29" t="b">
        <f>VLOOKUP($A7, Overlap!$B$2:$P$21, 9, FALSE)</f>
        <v>1</v>
      </c>
      <c r="K7" s="29" t="b">
        <f>VLOOKUP($A7, Overlap!$B$2:$P$21, 10, FALSE)</f>
        <v>0</v>
      </c>
      <c r="L7" s="29" t="b">
        <f>VLOOKUP($A7, Overlap!$B$2:$P$21, 11, FALSE)</f>
        <v>0</v>
      </c>
      <c r="M7" s="29" t="b">
        <f>VLOOKUP($A7, Overlap!$B$2:$P$21, 12, FALSE)</f>
        <v>0</v>
      </c>
      <c r="N7" s="29" t="b">
        <f>VLOOKUP($A7, Overlap!$B$2:$P$21, 13, FALSE)</f>
        <v>0</v>
      </c>
      <c r="O7" s="36" t="b">
        <f>VLOOKUP($A7, Overlap!$B$2:$P$21, 14, FALSE)</f>
        <v>0</v>
      </c>
      <c r="P7" s="11" t="b">
        <f t="shared" si="1"/>
        <v>1</v>
      </c>
      <c r="Q7" s="7"/>
    </row>
    <row r="8">
      <c r="A8" s="34" t="str">
        <f>IFERROR(__xludf.DUMMYFUNCTION("""COMPUTED_VALUE"""),"E32")</f>
        <v>E32</v>
      </c>
      <c r="B8" s="20" t="b">
        <f>VLOOKUP($A8, Candidates!$B$2:$P$1447, 8, FALSE)</f>
        <v>0</v>
      </c>
      <c r="C8" s="20" t="b">
        <f>VLOOKUP($A8, Candidates!$B$2:$P$1447, 9, FALSE)</f>
        <v>1</v>
      </c>
      <c r="D8" s="20" t="b">
        <f>VLOOKUP($A8, Candidates!$B$2:$P$1447, 10, FALSE)</f>
        <v>0</v>
      </c>
      <c r="E8" s="20" t="b">
        <f>VLOOKUP($A8, Candidates!$B$2:$P$1447, 11, FALSE)</f>
        <v>0</v>
      </c>
      <c r="F8" s="20" t="b">
        <f>VLOOKUP($A8, Candidates!$B$2:$P$1447, 12, FALSE)</f>
        <v>0</v>
      </c>
      <c r="G8" s="20" t="b">
        <f>VLOOKUP($A8, Candidates!$B$2:$P$1447, 13, FALSE)</f>
        <v>0</v>
      </c>
      <c r="H8" s="35" t="b">
        <f>VLOOKUP($A8, Candidates!$B$2:$P$1447, 14, FALSE)</f>
        <v>0</v>
      </c>
      <c r="I8" s="29" t="b">
        <f>VLOOKUP($A8, Overlap!$B$2:$P$21, 8, FALSE)</f>
        <v>0</v>
      </c>
      <c r="J8" s="29" t="b">
        <f>VLOOKUP($A8, Overlap!$B$2:$P$21, 9, FALSE)</f>
        <v>0</v>
      </c>
      <c r="K8" s="29" t="b">
        <f>VLOOKUP($A8, Overlap!$B$2:$P$21, 10, FALSE)</f>
        <v>0</v>
      </c>
      <c r="L8" s="29" t="b">
        <f>VLOOKUP($A8, Overlap!$B$2:$P$21, 11, FALSE)</f>
        <v>0</v>
      </c>
      <c r="M8" s="29" t="b">
        <f>VLOOKUP($A8, Overlap!$B$2:$P$21, 12, FALSE)</f>
        <v>0</v>
      </c>
      <c r="N8" s="29" t="b">
        <f>VLOOKUP($A8, Overlap!$B$2:$P$21, 13, FALSE)</f>
        <v>0</v>
      </c>
      <c r="O8" s="36" t="b">
        <f>VLOOKUP($A8, Overlap!$B$2:$P$21, 14, FALSE)</f>
        <v>0</v>
      </c>
      <c r="P8" s="11" t="b">
        <f t="shared" si="1"/>
        <v>1</v>
      </c>
      <c r="Q8" s="7"/>
    </row>
    <row r="9">
      <c r="A9" s="34" t="str">
        <f>IFERROR(__xludf.DUMMYFUNCTION("""COMPUTED_VALUE"""),"E35")</f>
        <v>E35</v>
      </c>
      <c r="B9" s="20" t="b">
        <f>VLOOKUP($A9, Candidates!$B$2:$P$1447, 8, FALSE)</f>
        <v>1</v>
      </c>
      <c r="C9" s="20" t="b">
        <f>VLOOKUP($A9, Candidates!$B$2:$P$1447, 9, FALSE)</f>
        <v>1</v>
      </c>
      <c r="D9" s="20" t="b">
        <f>VLOOKUP($A9, Candidates!$B$2:$P$1447, 10, FALSE)</f>
        <v>1</v>
      </c>
      <c r="E9" s="20" t="b">
        <f>VLOOKUP($A9, Candidates!$B$2:$P$1447, 11, FALSE)</f>
        <v>0</v>
      </c>
      <c r="F9" s="20" t="b">
        <f>VLOOKUP($A9, Candidates!$B$2:$P$1447, 12, FALSE)</f>
        <v>0</v>
      </c>
      <c r="G9" s="20" t="b">
        <f>VLOOKUP($A9, Candidates!$B$2:$P$1447, 13, FALSE)</f>
        <v>0</v>
      </c>
      <c r="H9" s="35" t="b">
        <f>VLOOKUP($A9, Candidates!$B$2:$P$1447, 14, FALSE)</f>
        <v>1</v>
      </c>
      <c r="I9" s="29" t="b">
        <f>VLOOKUP($A9, Overlap!$B$2:$P$21, 8, FALSE)</f>
        <v>1</v>
      </c>
      <c r="J9" s="29" t="b">
        <f>VLOOKUP($A9, Overlap!$B$2:$P$21, 9, FALSE)</f>
        <v>0</v>
      </c>
      <c r="K9" s="29" t="b">
        <f>VLOOKUP($A9, Overlap!$B$2:$P$21, 10, FALSE)</f>
        <v>0</v>
      </c>
      <c r="L9" s="29" t="b">
        <f>VLOOKUP($A9, Overlap!$B$2:$P$21, 11, FALSE)</f>
        <v>0</v>
      </c>
      <c r="M9" s="29" t="b">
        <f>VLOOKUP($A9, Overlap!$B$2:$P$21, 12, FALSE)</f>
        <v>0</v>
      </c>
      <c r="N9" s="29" t="b">
        <f>VLOOKUP($A9, Overlap!$B$2:$P$21, 13, FALSE)</f>
        <v>0</v>
      </c>
      <c r="O9" s="36" t="b">
        <f>VLOOKUP($A9, Overlap!$B$2:$P$21, 14, FALSE)</f>
        <v>0</v>
      </c>
      <c r="P9" s="11" t="b">
        <f t="shared" si="1"/>
        <v>0</v>
      </c>
      <c r="Q9" s="13" t="s">
        <v>1543</v>
      </c>
    </row>
    <row r="10">
      <c r="A10" s="34" t="str">
        <f>IFERROR(__xludf.DUMMYFUNCTION("""COMPUTED_VALUE"""),"E39")</f>
        <v>E39</v>
      </c>
      <c r="B10" s="20" t="b">
        <f>VLOOKUP($A10, Candidates!$B$2:$P$1447, 8, FALSE)</f>
        <v>1</v>
      </c>
      <c r="C10" s="20" t="b">
        <f>VLOOKUP($A10, Candidates!$B$2:$P$1447, 9, FALSE)</f>
        <v>1</v>
      </c>
      <c r="D10" s="20" t="b">
        <f>VLOOKUP($A10, Candidates!$B$2:$P$1447, 10, FALSE)</f>
        <v>1</v>
      </c>
      <c r="E10" s="20" t="b">
        <f>VLOOKUP($A10, Candidates!$B$2:$P$1447, 11, FALSE)</f>
        <v>0</v>
      </c>
      <c r="F10" s="20" t="b">
        <f>VLOOKUP($A10, Candidates!$B$2:$P$1447, 12, FALSE)</f>
        <v>0</v>
      </c>
      <c r="G10" s="20" t="b">
        <f>VLOOKUP($A10, Candidates!$B$2:$P$1447, 13, FALSE)</f>
        <v>0</v>
      </c>
      <c r="H10" s="35" t="b">
        <f>VLOOKUP($A10, Candidates!$B$2:$P$1447, 14, FALSE)</f>
        <v>1</v>
      </c>
      <c r="I10" s="29" t="b">
        <f>VLOOKUP($A10, Overlap!$B$2:$P$21, 8, FALSE)</f>
        <v>1</v>
      </c>
      <c r="J10" s="29" t="b">
        <f>VLOOKUP($A10, Overlap!$B$2:$P$21, 9, FALSE)</f>
        <v>1</v>
      </c>
      <c r="K10" s="29" t="b">
        <f>VLOOKUP($A10, Overlap!$B$2:$P$21, 10, FALSE)</f>
        <v>1</v>
      </c>
      <c r="L10" s="29" t="b">
        <f>VLOOKUP($A10, Overlap!$B$2:$P$21, 11, FALSE)</f>
        <v>0</v>
      </c>
      <c r="M10" s="29" t="b">
        <f>VLOOKUP($A10, Overlap!$B$2:$P$21, 12, FALSE)</f>
        <v>0</v>
      </c>
      <c r="N10" s="29" t="b">
        <f>VLOOKUP($A10, Overlap!$B$2:$P$21, 13, FALSE)</f>
        <v>0</v>
      </c>
      <c r="O10" s="36" t="b">
        <f>VLOOKUP($A10, Overlap!$B$2:$P$21, 14, FALSE)</f>
        <v>1</v>
      </c>
      <c r="P10" s="11" t="b">
        <f t="shared" si="1"/>
        <v>1</v>
      </c>
      <c r="Q10" s="7"/>
    </row>
    <row r="11">
      <c r="A11" s="34" t="str">
        <f>IFERROR(__xludf.DUMMYFUNCTION("""COMPUTED_VALUE"""),"E41")</f>
        <v>E41</v>
      </c>
      <c r="B11" s="20" t="b">
        <f>VLOOKUP($A11, Candidates!$B$2:$P$1447, 8, FALSE)</f>
        <v>1</v>
      </c>
      <c r="C11" s="20" t="b">
        <f>VLOOKUP($A11, Candidates!$B$2:$P$1447, 9, FALSE)</f>
        <v>1</v>
      </c>
      <c r="D11" s="20" t="b">
        <f>VLOOKUP($A11, Candidates!$B$2:$P$1447, 10, FALSE)</f>
        <v>1</v>
      </c>
      <c r="E11" s="20" t="b">
        <f>VLOOKUP($A11, Candidates!$B$2:$P$1447, 11, FALSE)</f>
        <v>0</v>
      </c>
      <c r="F11" s="20" t="b">
        <f>VLOOKUP($A11, Candidates!$B$2:$P$1447, 12, FALSE)</f>
        <v>0</v>
      </c>
      <c r="G11" s="20" t="b">
        <f>VLOOKUP($A11, Candidates!$B$2:$P$1447, 13, FALSE)</f>
        <v>0</v>
      </c>
      <c r="H11" s="35" t="b">
        <f>VLOOKUP($A11, Candidates!$B$2:$P$1447, 14, FALSE)</f>
        <v>1</v>
      </c>
      <c r="I11" s="29" t="b">
        <f>VLOOKUP($A11, Overlap!$B$2:$P$21, 8, FALSE)</f>
        <v>1</v>
      </c>
      <c r="J11" s="29" t="b">
        <f>VLOOKUP($A11, Overlap!$B$2:$P$21, 9, FALSE)</f>
        <v>1</v>
      </c>
      <c r="K11" s="29" t="b">
        <f>VLOOKUP($A11, Overlap!$B$2:$P$21, 10, FALSE)</f>
        <v>1</v>
      </c>
      <c r="L11" s="29" t="b">
        <f>VLOOKUP($A11, Overlap!$B$2:$P$21, 11, FALSE)</f>
        <v>0</v>
      </c>
      <c r="M11" s="29" t="b">
        <f>VLOOKUP($A11, Overlap!$B$2:$P$21, 12, FALSE)</f>
        <v>0</v>
      </c>
      <c r="N11" s="29" t="b">
        <f>VLOOKUP($A11, Overlap!$B$2:$P$21, 13, FALSE)</f>
        <v>0</v>
      </c>
      <c r="O11" s="36" t="b">
        <f>VLOOKUP($A11, Overlap!$B$2:$P$21, 14, FALSE)</f>
        <v>1</v>
      </c>
      <c r="P11" s="11" t="b">
        <f t="shared" si="1"/>
        <v>1</v>
      </c>
      <c r="Q11" s="7"/>
    </row>
    <row r="12">
      <c r="A12" s="34" t="str">
        <f>IFERROR(__xludf.DUMMYFUNCTION("""COMPUTED_VALUE"""),"E46")</f>
        <v>E46</v>
      </c>
      <c r="B12" s="20" t="b">
        <f>VLOOKUP($A12, Candidates!$B$2:$P$1447, 8, FALSE)</f>
        <v>0</v>
      </c>
      <c r="C12" s="20" t="b">
        <f>VLOOKUP($A12, Candidates!$B$2:$P$1447, 9, FALSE)</f>
        <v>1</v>
      </c>
      <c r="D12" s="20" t="b">
        <f>VLOOKUP($A12, Candidates!$B$2:$P$1447, 10, FALSE)</f>
        <v>0</v>
      </c>
      <c r="E12" s="20" t="b">
        <f>VLOOKUP($A12, Candidates!$B$2:$P$1447, 11, FALSE)</f>
        <v>0</v>
      </c>
      <c r="F12" s="20" t="b">
        <f>VLOOKUP($A12, Candidates!$B$2:$P$1447, 12, FALSE)</f>
        <v>0</v>
      </c>
      <c r="G12" s="20" t="b">
        <f>VLOOKUP($A12, Candidates!$B$2:$P$1447, 13, FALSE)</f>
        <v>0</v>
      </c>
      <c r="H12" s="35" t="b">
        <f>VLOOKUP($A12, Candidates!$B$2:$P$1447, 14, FALSE)</f>
        <v>0</v>
      </c>
      <c r="I12" s="29" t="b">
        <f>VLOOKUP($A12, Overlap!$B$2:$P$21, 8, FALSE)</f>
        <v>1</v>
      </c>
      <c r="J12" s="29" t="b">
        <f>VLOOKUP($A12, Overlap!$B$2:$P$21, 9, FALSE)</f>
        <v>1</v>
      </c>
      <c r="K12" s="29" t="b">
        <f>VLOOKUP($A12, Overlap!$B$2:$P$21, 10, FALSE)</f>
        <v>1</v>
      </c>
      <c r="L12" s="29" t="b">
        <f>VLOOKUP($A12, Overlap!$B$2:$P$21, 11, FALSE)</f>
        <v>0</v>
      </c>
      <c r="M12" s="29" t="b">
        <f>VLOOKUP($A12, Overlap!$B$2:$P$21, 12, FALSE)</f>
        <v>0</v>
      </c>
      <c r="N12" s="29" t="b">
        <f>VLOOKUP($A12, Overlap!$B$2:$P$21, 13, FALSE)</f>
        <v>0</v>
      </c>
      <c r="O12" s="36" t="b">
        <f>VLOOKUP($A12, Overlap!$B$2:$P$21, 14, FALSE)</f>
        <v>1</v>
      </c>
      <c r="P12" s="11" t="b">
        <f t="shared" si="1"/>
        <v>0</v>
      </c>
      <c r="Q12" s="13" t="s">
        <v>1544</v>
      </c>
    </row>
    <row r="13">
      <c r="A13" s="34" t="str">
        <f>IFERROR(__xludf.DUMMYFUNCTION("""COMPUTED_VALUE"""),"E48")</f>
        <v>E48</v>
      </c>
      <c r="B13" s="20" t="b">
        <f>VLOOKUP($A13, Candidates!$B$2:$P$1447, 8, FALSE)</f>
        <v>0</v>
      </c>
      <c r="C13" s="20" t="b">
        <f>VLOOKUP($A13, Candidates!$B$2:$P$1447, 9, FALSE)</f>
        <v>1</v>
      </c>
      <c r="D13" s="20" t="b">
        <f>VLOOKUP($A13, Candidates!$B$2:$P$1447, 10, FALSE)</f>
        <v>1</v>
      </c>
      <c r="E13" s="20" t="b">
        <f>VLOOKUP($A13, Candidates!$B$2:$P$1447, 11, FALSE)</f>
        <v>0</v>
      </c>
      <c r="F13" s="20" t="b">
        <f>VLOOKUP($A13, Candidates!$B$2:$P$1447, 12, FALSE)</f>
        <v>0</v>
      </c>
      <c r="G13" s="20" t="b">
        <f>VLOOKUP($A13, Candidates!$B$2:$P$1447, 13, FALSE)</f>
        <v>0</v>
      </c>
      <c r="H13" s="35" t="b">
        <f>VLOOKUP($A13, Candidates!$B$2:$P$1447, 14, FALSE)</f>
        <v>0</v>
      </c>
      <c r="I13" s="29" t="b">
        <f>VLOOKUP($A13, Overlap!$B$2:$P$21, 8, FALSE)</f>
        <v>0</v>
      </c>
      <c r="J13" s="29" t="b">
        <f>VLOOKUP($A13, Overlap!$B$2:$P$21, 9, FALSE)</f>
        <v>1</v>
      </c>
      <c r="K13" s="29" t="b">
        <f>VLOOKUP($A13, Overlap!$B$2:$P$21, 10, FALSE)</f>
        <v>1</v>
      </c>
      <c r="L13" s="29" t="b">
        <f>VLOOKUP($A13, Overlap!$B$2:$P$21, 11, FALSE)</f>
        <v>0</v>
      </c>
      <c r="M13" s="29" t="b">
        <f>VLOOKUP($A13, Overlap!$B$2:$P$21, 12, FALSE)</f>
        <v>0</v>
      </c>
      <c r="N13" s="29" t="b">
        <f>VLOOKUP($A13, Overlap!$B$2:$P$21, 13, FALSE)</f>
        <v>0</v>
      </c>
      <c r="O13" s="36" t="b">
        <f>VLOOKUP($A13, Overlap!$B$2:$P$21, 14, FALSE)</f>
        <v>0</v>
      </c>
      <c r="P13" s="11" t="b">
        <f t="shared" si="1"/>
        <v>1</v>
      </c>
      <c r="Q13" s="7"/>
    </row>
    <row r="14">
      <c r="A14" s="34" t="str">
        <f>IFERROR(__xludf.DUMMYFUNCTION("""COMPUTED_VALUE"""),"E54")</f>
        <v>E54</v>
      </c>
      <c r="B14" s="20" t="b">
        <f>VLOOKUP($A14, Candidates!$B$2:$P$1447, 8, FALSE)</f>
        <v>1</v>
      </c>
      <c r="C14" s="20" t="b">
        <f>VLOOKUP($A14, Candidates!$B$2:$P$1447, 9, FALSE)</f>
        <v>1</v>
      </c>
      <c r="D14" s="20" t="b">
        <f>VLOOKUP($A14, Candidates!$B$2:$P$1447, 10, FALSE)</f>
        <v>1</v>
      </c>
      <c r="E14" s="20" t="b">
        <f>VLOOKUP($A14, Candidates!$B$2:$P$1447, 11, FALSE)</f>
        <v>0</v>
      </c>
      <c r="F14" s="20" t="b">
        <f>VLOOKUP($A14, Candidates!$B$2:$P$1447, 12, FALSE)</f>
        <v>0</v>
      </c>
      <c r="G14" s="20" t="b">
        <f>VLOOKUP($A14, Candidates!$B$2:$P$1447, 13, FALSE)</f>
        <v>0</v>
      </c>
      <c r="H14" s="35" t="b">
        <f>VLOOKUP($A14, Candidates!$B$2:$P$1447, 14, FALSE)</f>
        <v>1</v>
      </c>
      <c r="I14" s="29" t="b">
        <f>VLOOKUP($A14, Overlap!$B$2:$P$21, 8, FALSE)</f>
        <v>1</v>
      </c>
      <c r="J14" s="29" t="b">
        <f>VLOOKUP($A14, Overlap!$B$2:$P$21, 9, FALSE)</f>
        <v>1</v>
      </c>
      <c r="K14" s="29" t="b">
        <f>VLOOKUP($A14, Overlap!$B$2:$P$21, 10, FALSE)</f>
        <v>1</v>
      </c>
      <c r="L14" s="29" t="b">
        <f>VLOOKUP($A14, Overlap!$B$2:$P$21, 11, FALSE)</f>
        <v>0</v>
      </c>
      <c r="M14" s="29" t="b">
        <f>VLOOKUP($A14, Overlap!$B$2:$P$21, 12, FALSE)</f>
        <v>0</v>
      </c>
      <c r="N14" s="29" t="b">
        <f>VLOOKUP($A14, Overlap!$B$2:$P$21, 13, FALSE)</f>
        <v>0</v>
      </c>
      <c r="O14" s="36" t="b">
        <f>VLOOKUP($A14, Overlap!$B$2:$P$21, 14, FALSE)</f>
        <v>1</v>
      </c>
      <c r="P14" s="11" t="b">
        <f t="shared" si="1"/>
        <v>1</v>
      </c>
      <c r="Q14" s="7"/>
    </row>
    <row r="15">
      <c r="A15" s="34" t="str">
        <f>IFERROR(__xludf.DUMMYFUNCTION("""COMPUTED_VALUE"""),"E56")</f>
        <v>E56</v>
      </c>
      <c r="B15" s="20" t="b">
        <f>VLOOKUP($A15, Candidates!$B$2:$P$1447, 8, FALSE)</f>
        <v>1</v>
      </c>
      <c r="C15" s="20" t="b">
        <f>VLOOKUP($A15, Candidates!$B$2:$P$1447, 9, FALSE)</f>
        <v>1</v>
      </c>
      <c r="D15" s="20" t="b">
        <f>VLOOKUP($A15, Candidates!$B$2:$P$1447, 10, FALSE)</f>
        <v>0</v>
      </c>
      <c r="E15" s="20" t="b">
        <f>VLOOKUP($A15, Candidates!$B$2:$P$1447, 11, FALSE)</f>
        <v>0</v>
      </c>
      <c r="F15" s="20" t="b">
        <f>VLOOKUP($A15, Candidates!$B$2:$P$1447, 12, FALSE)</f>
        <v>0</v>
      </c>
      <c r="G15" s="20" t="b">
        <f>VLOOKUP($A15, Candidates!$B$2:$P$1447, 13, FALSE)</f>
        <v>0</v>
      </c>
      <c r="H15" s="35" t="b">
        <f>VLOOKUP($A15, Candidates!$B$2:$P$1447, 14, FALSE)</f>
        <v>0</v>
      </c>
      <c r="I15" s="29" t="b">
        <f>VLOOKUP($A15, Overlap!$B$2:$P$21, 8, FALSE)</f>
        <v>1</v>
      </c>
      <c r="J15" s="29" t="b">
        <f>VLOOKUP($A15, Overlap!$B$2:$P$21, 9, FALSE)</f>
        <v>1</v>
      </c>
      <c r="K15" s="29" t="b">
        <f>VLOOKUP($A15, Overlap!$B$2:$P$21, 10, FALSE)</f>
        <v>0</v>
      </c>
      <c r="L15" s="29" t="b">
        <f>VLOOKUP($A15, Overlap!$B$2:$P$21, 11, FALSE)</f>
        <v>0</v>
      </c>
      <c r="M15" s="29" t="b">
        <f>VLOOKUP($A15, Overlap!$B$2:$P$21, 12, FALSE)</f>
        <v>0</v>
      </c>
      <c r="N15" s="29" t="b">
        <f>VLOOKUP($A15, Overlap!$B$2:$P$21, 13, FALSE)</f>
        <v>0</v>
      </c>
      <c r="O15" s="36" t="b">
        <f>VLOOKUP($A15, Overlap!$B$2:$P$21, 14, FALSE)</f>
        <v>0</v>
      </c>
      <c r="P15" s="11" t="b">
        <f t="shared" si="1"/>
        <v>1</v>
      </c>
      <c r="Q15" s="7"/>
    </row>
    <row r="16">
      <c r="A16" s="34" t="str">
        <f>IFERROR(__xludf.DUMMYFUNCTION("""COMPUTED_VALUE"""),"E57")</f>
        <v>E57</v>
      </c>
      <c r="B16" s="20" t="b">
        <f>VLOOKUP($A16, Candidates!$B$2:$P$1447, 8, FALSE)</f>
        <v>1</v>
      </c>
      <c r="C16" s="20" t="b">
        <f>VLOOKUP($A16, Candidates!$B$2:$P$1447, 9, FALSE)</f>
        <v>1</v>
      </c>
      <c r="D16" s="20" t="b">
        <f>VLOOKUP($A16, Candidates!$B$2:$P$1447, 10, FALSE)</f>
        <v>1</v>
      </c>
      <c r="E16" s="20" t="b">
        <f>VLOOKUP($A16, Candidates!$B$2:$P$1447, 11, FALSE)</f>
        <v>0</v>
      </c>
      <c r="F16" s="20" t="b">
        <f>VLOOKUP($A16, Candidates!$B$2:$P$1447, 12, FALSE)</f>
        <v>0</v>
      </c>
      <c r="G16" s="20" t="b">
        <f>VLOOKUP($A16, Candidates!$B$2:$P$1447, 13, FALSE)</f>
        <v>0</v>
      </c>
      <c r="H16" s="35" t="b">
        <f>VLOOKUP($A16, Candidates!$B$2:$P$1447, 14, FALSE)</f>
        <v>1</v>
      </c>
      <c r="I16" s="29" t="b">
        <f>VLOOKUP($A16, Overlap!$B$2:$P$21, 8, FALSE)</f>
        <v>1</v>
      </c>
      <c r="J16" s="29" t="b">
        <f>VLOOKUP($A16, Overlap!$B$2:$P$21, 9, FALSE)</f>
        <v>1</v>
      </c>
      <c r="K16" s="29" t="b">
        <f>VLOOKUP($A16, Overlap!$B$2:$P$21, 10, FALSE)</f>
        <v>1</v>
      </c>
      <c r="L16" s="29" t="b">
        <f>VLOOKUP($A16, Overlap!$B$2:$P$21, 11, FALSE)</f>
        <v>0</v>
      </c>
      <c r="M16" s="29" t="b">
        <f>VLOOKUP($A16, Overlap!$B$2:$P$21, 12, FALSE)</f>
        <v>0</v>
      </c>
      <c r="N16" s="29" t="b">
        <f>VLOOKUP($A16, Overlap!$B$2:$P$21, 13, FALSE)</f>
        <v>0</v>
      </c>
      <c r="O16" s="36" t="b">
        <f>VLOOKUP($A16, Overlap!$B$2:$P$21, 14, FALSE)</f>
        <v>1</v>
      </c>
      <c r="P16" s="11" t="b">
        <f t="shared" si="1"/>
        <v>1</v>
      </c>
      <c r="Q16" s="7"/>
    </row>
    <row r="17">
      <c r="A17" s="34" t="str">
        <f>IFERROR(__xludf.DUMMYFUNCTION("""COMPUTED_VALUE"""),"E61")</f>
        <v>E61</v>
      </c>
      <c r="B17" s="20" t="b">
        <f>VLOOKUP($A17, Candidates!$B$2:$P$1447, 8, FALSE)</f>
        <v>1</v>
      </c>
      <c r="C17" s="20" t="b">
        <f>VLOOKUP($A17, Candidates!$B$2:$P$1447, 9, FALSE)</f>
        <v>0</v>
      </c>
      <c r="D17" s="20" t="b">
        <f>VLOOKUP($A17, Candidates!$B$2:$P$1447, 10, FALSE)</f>
        <v>0</v>
      </c>
      <c r="E17" s="20" t="b">
        <f>VLOOKUP($A17, Candidates!$B$2:$P$1447, 11, FALSE)</f>
        <v>0</v>
      </c>
      <c r="F17" s="20" t="b">
        <f>VLOOKUP($A17, Candidates!$B$2:$P$1447, 12, FALSE)</f>
        <v>0</v>
      </c>
      <c r="G17" s="20" t="b">
        <f>VLOOKUP($A17, Candidates!$B$2:$P$1447, 13, FALSE)</f>
        <v>0</v>
      </c>
      <c r="H17" s="35" t="b">
        <f>VLOOKUP($A17, Candidates!$B$2:$P$1447, 14, FALSE)</f>
        <v>0</v>
      </c>
      <c r="I17" s="29" t="b">
        <f>VLOOKUP($A17, Overlap!$B$2:$P$21, 8, FALSE)</f>
        <v>1</v>
      </c>
      <c r="J17" s="29" t="b">
        <f>VLOOKUP($A17, Overlap!$B$2:$P$21, 9, FALSE)</f>
        <v>0</v>
      </c>
      <c r="K17" s="29" t="b">
        <f>VLOOKUP($A17, Overlap!$B$2:$P$21, 10, FALSE)</f>
        <v>0</v>
      </c>
      <c r="L17" s="29" t="b">
        <f>VLOOKUP($A17, Overlap!$B$2:$P$21, 11, FALSE)</f>
        <v>0</v>
      </c>
      <c r="M17" s="29" t="b">
        <f>VLOOKUP($A17, Overlap!$B$2:$P$21, 12, FALSE)</f>
        <v>0</v>
      </c>
      <c r="N17" s="29" t="b">
        <f>VLOOKUP($A17, Overlap!$B$2:$P$21, 13, FALSE)</f>
        <v>0</v>
      </c>
      <c r="O17" s="36" t="b">
        <f>VLOOKUP($A17, Overlap!$B$2:$P$21, 14, FALSE)</f>
        <v>0</v>
      </c>
      <c r="P17" s="11" t="b">
        <f t="shared" si="1"/>
        <v>1</v>
      </c>
      <c r="Q17" s="7"/>
    </row>
    <row r="18">
      <c r="A18" s="34" t="str">
        <f>IFERROR(__xludf.DUMMYFUNCTION("""COMPUTED_VALUE"""),"E67")</f>
        <v>E67</v>
      </c>
      <c r="B18" s="20" t="b">
        <f>VLOOKUP($A18, Candidates!$B$2:$P$1447, 8, FALSE)</f>
        <v>0</v>
      </c>
      <c r="C18" s="20" t="b">
        <f>VLOOKUP($A18, Candidates!$B$2:$P$1447, 9, FALSE)</f>
        <v>1</v>
      </c>
      <c r="D18" s="20" t="b">
        <f>VLOOKUP($A18, Candidates!$B$2:$P$1447, 10, FALSE)</f>
        <v>1</v>
      </c>
      <c r="E18" s="20" t="b">
        <f>VLOOKUP($A18, Candidates!$B$2:$P$1447, 11, FALSE)</f>
        <v>0</v>
      </c>
      <c r="F18" s="20" t="b">
        <f>VLOOKUP($A18, Candidates!$B$2:$P$1447, 12, FALSE)</f>
        <v>0</v>
      </c>
      <c r="G18" s="20" t="b">
        <f>VLOOKUP($A18, Candidates!$B$2:$P$1447, 13, FALSE)</f>
        <v>0</v>
      </c>
      <c r="H18" s="35" t="b">
        <f>VLOOKUP($A18, Candidates!$B$2:$P$1447, 14, FALSE)</f>
        <v>0</v>
      </c>
      <c r="I18" s="29" t="b">
        <f>VLOOKUP($A18, Overlap!$B$2:$P$21, 8, FALSE)</f>
        <v>0</v>
      </c>
      <c r="J18" s="29" t="b">
        <f>VLOOKUP($A18, Overlap!$B$2:$P$21, 9, FALSE)</f>
        <v>1</v>
      </c>
      <c r="K18" s="29" t="b">
        <f>VLOOKUP($A18, Overlap!$B$2:$P$21, 10, FALSE)</f>
        <v>1</v>
      </c>
      <c r="L18" s="29" t="b">
        <f>VLOOKUP($A18, Overlap!$B$2:$P$21, 11, FALSE)</f>
        <v>0</v>
      </c>
      <c r="M18" s="29" t="b">
        <f>VLOOKUP($A18, Overlap!$B$2:$P$21, 12, FALSE)</f>
        <v>0</v>
      </c>
      <c r="N18" s="29" t="b">
        <f>VLOOKUP($A18, Overlap!$B$2:$P$21, 13, FALSE)</f>
        <v>0</v>
      </c>
      <c r="O18" s="36" t="b">
        <f>VLOOKUP($A18, Overlap!$B$2:$P$21, 14, FALSE)</f>
        <v>0</v>
      </c>
      <c r="P18" s="11" t="b">
        <f t="shared" si="1"/>
        <v>1</v>
      </c>
      <c r="Q18" s="7"/>
    </row>
    <row r="19">
      <c r="A19" s="34" t="str">
        <f>IFERROR(__xludf.DUMMYFUNCTION("""COMPUTED_VALUE"""),"E69")</f>
        <v>E69</v>
      </c>
      <c r="B19" s="20" t="b">
        <f>VLOOKUP($A19, Candidates!$B$2:$P$1447, 8, FALSE)</f>
        <v>0</v>
      </c>
      <c r="C19" s="20" t="b">
        <f>VLOOKUP($A19, Candidates!$B$2:$P$1447, 9, FALSE)</f>
        <v>1</v>
      </c>
      <c r="D19" s="20" t="b">
        <f>VLOOKUP($A19, Candidates!$B$2:$P$1447, 10, FALSE)</f>
        <v>1</v>
      </c>
      <c r="E19" s="20" t="b">
        <f>VLOOKUP($A19, Candidates!$B$2:$P$1447, 11, FALSE)</f>
        <v>0</v>
      </c>
      <c r="F19" s="20" t="b">
        <f>VLOOKUP($A19, Candidates!$B$2:$P$1447, 12, FALSE)</f>
        <v>0</v>
      </c>
      <c r="G19" s="20" t="b">
        <f>VLOOKUP($A19, Candidates!$B$2:$P$1447, 13, FALSE)</f>
        <v>0</v>
      </c>
      <c r="H19" s="35" t="b">
        <f>VLOOKUP($A19, Candidates!$B$2:$P$1447, 14, FALSE)</f>
        <v>0</v>
      </c>
      <c r="I19" s="29" t="b">
        <f>VLOOKUP($A19, Overlap!$B$2:$P$21, 8, FALSE)</f>
        <v>0</v>
      </c>
      <c r="J19" s="29" t="b">
        <f>VLOOKUP($A19, Overlap!$B$2:$P$21, 9, FALSE)</f>
        <v>1</v>
      </c>
      <c r="K19" s="29" t="b">
        <f>VLOOKUP($A19, Overlap!$B$2:$P$21, 10, FALSE)</f>
        <v>1</v>
      </c>
      <c r="L19" s="29" t="b">
        <f>VLOOKUP($A19, Overlap!$B$2:$P$21, 11, FALSE)</f>
        <v>0</v>
      </c>
      <c r="M19" s="29" t="b">
        <f>VLOOKUP($A19, Overlap!$B$2:$P$21, 12, FALSE)</f>
        <v>0</v>
      </c>
      <c r="N19" s="29" t="b">
        <f>VLOOKUP($A19, Overlap!$B$2:$P$21, 13, FALSE)</f>
        <v>0</v>
      </c>
      <c r="O19" s="36" t="b">
        <f>VLOOKUP($A19, Overlap!$B$2:$P$21, 14, FALSE)</f>
        <v>0</v>
      </c>
      <c r="P19" s="11" t="b">
        <f t="shared" si="1"/>
        <v>1</v>
      </c>
      <c r="Q19" s="13" t="s">
        <v>1545</v>
      </c>
    </row>
    <row r="20">
      <c r="A20" s="34" t="str">
        <f>IFERROR(__xludf.DUMMYFUNCTION("""COMPUTED_VALUE"""),"E78")</f>
        <v>E78</v>
      </c>
      <c r="B20" s="20" t="b">
        <f>VLOOKUP($A20, Candidates!$B$2:$P$1447, 8, FALSE)</f>
        <v>1</v>
      </c>
      <c r="C20" s="20" t="b">
        <f>VLOOKUP($A20, Candidates!$B$2:$P$1447, 9, FALSE)</f>
        <v>1</v>
      </c>
      <c r="D20" s="20" t="b">
        <f>VLOOKUP($A20, Candidates!$B$2:$P$1447, 10, FALSE)</f>
        <v>1</v>
      </c>
      <c r="E20" s="20" t="b">
        <f>VLOOKUP($A20, Candidates!$B$2:$P$1447, 11, FALSE)</f>
        <v>0</v>
      </c>
      <c r="F20" s="20" t="b">
        <f>VLOOKUP($A20, Candidates!$B$2:$P$1447, 12, FALSE)</f>
        <v>0</v>
      </c>
      <c r="G20" s="20" t="b">
        <f>VLOOKUP($A20, Candidates!$B$2:$P$1447, 13, FALSE)</f>
        <v>0</v>
      </c>
      <c r="H20" s="35" t="b">
        <f>VLOOKUP($A20, Candidates!$B$2:$P$1447, 14, FALSE)</f>
        <v>1</v>
      </c>
      <c r="I20" s="29" t="b">
        <f>VLOOKUP($A20, Overlap!$B$2:$P$21, 8, FALSE)</f>
        <v>1</v>
      </c>
      <c r="J20" s="29" t="b">
        <f>VLOOKUP($A20, Overlap!$B$2:$P$21, 9, FALSE)</f>
        <v>1</v>
      </c>
      <c r="K20" s="29" t="b">
        <f>VLOOKUP($A20, Overlap!$B$2:$P$21, 10, FALSE)</f>
        <v>1</v>
      </c>
      <c r="L20" s="29" t="b">
        <f>VLOOKUP($A20, Overlap!$B$2:$P$21, 11, FALSE)</f>
        <v>0</v>
      </c>
      <c r="M20" s="29" t="b">
        <f>VLOOKUP($A20, Overlap!$B$2:$P$21, 12, FALSE)</f>
        <v>0</v>
      </c>
      <c r="N20" s="29" t="b">
        <f>VLOOKUP($A20, Overlap!$B$2:$P$21, 13, FALSE)</f>
        <v>0</v>
      </c>
      <c r="O20" s="36" t="b">
        <f>VLOOKUP($A20, Overlap!$B$2:$P$21, 14, FALSE)</f>
        <v>1</v>
      </c>
      <c r="P20" s="11" t="b">
        <f t="shared" si="1"/>
        <v>1</v>
      </c>
      <c r="Q20" s="7"/>
    </row>
    <row r="21">
      <c r="A21" s="34" t="str">
        <f>IFERROR(__xludf.DUMMYFUNCTION("""COMPUTED_VALUE"""),"E79")</f>
        <v>E79</v>
      </c>
      <c r="B21" s="20" t="b">
        <f>VLOOKUP($A21, Candidates!$B$2:$P$1447, 8, FALSE)</f>
        <v>0</v>
      </c>
      <c r="C21" s="20" t="b">
        <f>VLOOKUP($A21, Candidates!$B$2:$P$1447, 9, FALSE)</f>
        <v>1</v>
      </c>
      <c r="D21" s="20" t="b">
        <f>VLOOKUP($A21, Candidates!$B$2:$P$1447, 10, FALSE)</f>
        <v>1</v>
      </c>
      <c r="E21" s="20" t="b">
        <f>VLOOKUP($A21, Candidates!$B$2:$P$1447, 11, FALSE)</f>
        <v>0</v>
      </c>
      <c r="F21" s="20" t="b">
        <f>VLOOKUP($A21, Candidates!$B$2:$P$1447, 12, FALSE)</f>
        <v>0</v>
      </c>
      <c r="G21" s="20" t="b">
        <f>VLOOKUP($A21, Candidates!$B$2:$P$1447, 13, FALSE)</f>
        <v>0</v>
      </c>
      <c r="H21" s="35" t="b">
        <f>VLOOKUP($A21, Candidates!$B$2:$P$1447, 14, FALSE)</f>
        <v>0</v>
      </c>
      <c r="I21" s="29" t="b">
        <f>VLOOKUP($A21, Overlap!$B$2:$P$21, 8, FALSE)</f>
        <v>0</v>
      </c>
      <c r="J21" s="29" t="b">
        <f>VLOOKUP($A21, Overlap!$B$2:$P$21, 9, FALSE)</f>
        <v>0</v>
      </c>
      <c r="K21" s="29" t="b">
        <f>VLOOKUP($A21, Overlap!$B$2:$P$21, 10, FALSE)</f>
        <v>0</v>
      </c>
      <c r="L21" s="29" t="b">
        <f>VLOOKUP($A21, Overlap!$B$2:$P$21, 11, FALSE)</f>
        <v>0</v>
      </c>
      <c r="M21" s="29" t="b">
        <f>VLOOKUP($A21, Overlap!$B$2:$P$21, 12, FALSE)</f>
        <v>0</v>
      </c>
      <c r="N21" s="29" t="b">
        <f>VLOOKUP($A21, Overlap!$B$2:$P$21, 13, FALSE)</f>
        <v>0</v>
      </c>
      <c r="O21" s="36" t="b">
        <f>VLOOKUP($A21, Overlap!$B$2:$P$21, 14, FALSE)</f>
        <v>0</v>
      </c>
      <c r="P21" s="11" t="b">
        <f t="shared" si="1"/>
        <v>1</v>
      </c>
      <c r="Q21" s="7"/>
    </row>
    <row r="22">
      <c r="A22" s="34" t="str">
        <f>IFERROR(__xludf.DUMMYFUNCTION("""COMPUTED_VALUE"""),"E81")</f>
        <v>E81</v>
      </c>
      <c r="B22" s="20" t="b">
        <f>VLOOKUP($A22, Candidates!$B$2:$P$1447, 8, FALSE)</f>
        <v>1</v>
      </c>
      <c r="C22" s="20" t="b">
        <f>VLOOKUP($A22, Candidates!$B$2:$P$1447, 9, FALSE)</f>
        <v>0</v>
      </c>
      <c r="D22" s="20" t="b">
        <f>VLOOKUP($A22, Candidates!$B$2:$P$1447, 10, FALSE)</f>
        <v>1</v>
      </c>
      <c r="E22" s="20" t="b">
        <f>VLOOKUP($A22, Candidates!$B$2:$P$1447, 11, FALSE)</f>
        <v>0</v>
      </c>
      <c r="F22" s="20" t="b">
        <f>VLOOKUP($A22, Candidates!$B$2:$P$1447, 12, FALSE)</f>
        <v>0</v>
      </c>
      <c r="G22" s="20" t="b">
        <f>VLOOKUP($A22, Candidates!$B$2:$P$1447, 13, FALSE)</f>
        <v>0</v>
      </c>
      <c r="H22" s="35" t="b">
        <f>VLOOKUP($A22, Candidates!$B$2:$P$1447, 14, FALSE)</f>
        <v>0</v>
      </c>
      <c r="I22" s="29" t="b">
        <f>VLOOKUP($A22, Overlap!$B$2:$P$21, 8, FALSE)</f>
        <v>0</v>
      </c>
      <c r="J22" s="29" t="b">
        <f>VLOOKUP($A22, Overlap!$B$2:$P$21, 9, FALSE)</f>
        <v>0</v>
      </c>
      <c r="K22" s="29" t="b">
        <f>VLOOKUP($A22, Overlap!$B$2:$P$21, 10, FALSE)</f>
        <v>0</v>
      </c>
      <c r="L22" s="29" t="b">
        <f>VLOOKUP($A22, Overlap!$B$2:$P$21, 11, FALSE)</f>
        <v>0</v>
      </c>
      <c r="M22" s="29" t="b">
        <f>VLOOKUP($A22, Overlap!$B$2:$P$21, 12, FALSE)</f>
        <v>0</v>
      </c>
      <c r="N22" s="29" t="b">
        <f>VLOOKUP($A22, Overlap!$B$2:$P$21, 13, FALSE)</f>
        <v>0</v>
      </c>
      <c r="O22" s="36" t="b">
        <f>VLOOKUP($A22, Overlap!$B$2:$P$21, 14, FALSE)</f>
        <v>0</v>
      </c>
      <c r="P22" s="11" t="b">
        <f t="shared" si="1"/>
        <v>1</v>
      </c>
      <c r="Q22" s="7"/>
    </row>
  </sheetData>
  <mergeCells count="2">
    <mergeCell ref="B1:H1"/>
    <mergeCell ref="I1:O1"/>
  </mergeCells>
  <conditionalFormatting sqref="B3:D22 I3:K22">
    <cfRule type="cellIs" dxfId="8" priority="1" operator="equal">
      <formula>"TRUE"</formula>
    </cfRule>
  </conditionalFormatting>
  <conditionalFormatting sqref="H3:H22 O3:O22">
    <cfRule type="cellIs" dxfId="4" priority="2" operator="equal">
      <formula>"TRUE"</formula>
    </cfRule>
  </conditionalFormatting>
  <conditionalFormatting sqref="P3:P22">
    <cfRule type="cellIs" dxfId="13" priority="3" operator="equal">
      <formula>"FALSE"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7" width="3.88"/>
    <col customWidth="1" min="8" max="8" width="6.38"/>
    <col customWidth="1" min="9" max="14" width="3.88"/>
    <col customWidth="1" min="15" max="15" width="6.38"/>
    <col customWidth="1" min="16" max="16" width="7.63"/>
    <col customWidth="1" min="17" max="17" width="50.13"/>
  </cols>
  <sheetData>
    <row r="1">
      <c r="A1" s="19" t="s">
        <v>1537</v>
      </c>
      <c r="B1" s="4" t="s">
        <v>1538</v>
      </c>
      <c r="I1" s="4" t="s">
        <v>1539</v>
      </c>
      <c r="P1" s="19" t="s">
        <v>1540</v>
      </c>
      <c r="Q1" s="2" t="s">
        <v>1546</v>
      </c>
    </row>
    <row r="2">
      <c r="A2" s="24"/>
      <c r="B2" s="19" t="s">
        <v>7</v>
      </c>
      <c r="C2" s="19" t="s">
        <v>8</v>
      </c>
      <c r="D2" s="19" t="s">
        <v>9</v>
      </c>
      <c r="E2" s="19" t="s">
        <v>10</v>
      </c>
      <c r="F2" s="19" t="s">
        <v>11</v>
      </c>
      <c r="G2" s="19" t="s">
        <v>12</v>
      </c>
      <c r="H2" s="19" t="s">
        <v>13</v>
      </c>
      <c r="I2" s="19" t="s">
        <v>7</v>
      </c>
      <c r="J2" s="19" t="s">
        <v>8</v>
      </c>
      <c r="K2" s="19" t="s">
        <v>9</v>
      </c>
      <c r="L2" s="19" t="s">
        <v>10</v>
      </c>
      <c r="M2" s="19" t="s">
        <v>11</v>
      </c>
      <c r="N2" s="19" t="s">
        <v>12</v>
      </c>
      <c r="O2" s="19" t="s">
        <v>13</v>
      </c>
      <c r="P2" s="24"/>
      <c r="Q2" s="25"/>
    </row>
    <row r="3">
      <c r="A3" s="34" t="str">
        <f>IFERROR(__xludf.DUMMYFUNCTION("UNIQUE('Overlap 2'!B2:B78)"),"E18")</f>
        <v>E18</v>
      </c>
      <c r="B3" s="20" t="b">
        <f>IF(ISBLANK($A3), FALSE, VLOOKUP($A3, Candidates!$B$2:$P$1447, 8, FALSE))</f>
        <v>0</v>
      </c>
      <c r="C3" s="20" t="b">
        <f>IF(ISBLANK($A3), FALSE, VLOOKUP($A3, Candidates!$B$2:$P$1447, 9, FALSE))</f>
        <v>0</v>
      </c>
      <c r="D3" s="20" t="b">
        <f>IF(ISBLANK($A3), FALSE, VLOOKUP($A3, Candidates!$B$2:$P$1447, 10, FALSE))</f>
        <v>0</v>
      </c>
      <c r="E3" s="20" t="b">
        <f>IF(ISBLANK($A3), FALSE, VLOOKUP($A3, Candidates!$B$2:$P$1447, 11, FALSE))</f>
        <v>0</v>
      </c>
      <c r="F3" s="20" t="b">
        <f>IF(ISBLANK($A3), FALSE, VLOOKUP($A3, Candidates!$B$2:$P$1447, 12, FALSE))</f>
        <v>0</v>
      </c>
      <c r="G3" s="20" t="b">
        <f>IF(ISBLANK($A3), FALSE, VLOOKUP($A3, Candidates!$B$2:$P$1447, 13, FALSE))</f>
        <v>0</v>
      </c>
      <c r="H3" s="35" t="b">
        <f t="shared" ref="H3:H77" si="1">AND(B3, C3, D3, NOT(E3), NOT(F3), NOT(G3))</f>
        <v>0</v>
      </c>
      <c r="I3" s="29" t="b">
        <f>VLOOKUP($A3, 'Overlap 2'!$B$2:$P$76, 8, FALSE)</f>
        <v>0</v>
      </c>
      <c r="J3" s="29" t="b">
        <f>VLOOKUP($A3, 'Overlap 2'!$B$2:$P$76, 9, FALSE)</f>
        <v>0</v>
      </c>
      <c r="K3" s="29" t="b">
        <f>VLOOKUP($A3, 'Overlap 2'!$B$2:$P$76, 10, FALSE)</f>
        <v>0</v>
      </c>
      <c r="L3" s="29" t="b">
        <f>VLOOKUP($A3, 'Overlap 2'!$B$2:$P$76, 11, FALSE)</f>
        <v>0</v>
      </c>
      <c r="M3" s="29" t="b">
        <f>VLOOKUP($A3, 'Overlap 2'!$B$2:$P$76, 12, FALSE)</f>
        <v>0</v>
      </c>
      <c r="N3" s="29" t="b">
        <f>VLOOKUP($A3, 'Overlap 2'!$B$2:$P$76, 13, FALSE)</f>
        <v>0</v>
      </c>
      <c r="O3" s="36" t="b">
        <f t="shared" ref="O3:O77" si="2">AND(I3, J3, K3, NOT(L3), NOT(M3), NOT(N3))</f>
        <v>0</v>
      </c>
      <c r="P3" s="35" t="b">
        <f t="shared" ref="P3:P77" si="3">(H3=O3)</f>
        <v>1</v>
      </c>
      <c r="Q3" s="7"/>
    </row>
    <row r="4">
      <c r="A4" s="34" t="str">
        <f>IFERROR(__xludf.DUMMYFUNCTION("""COMPUTED_VALUE"""),"E59")</f>
        <v>E59</v>
      </c>
      <c r="B4" s="20" t="b">
        <f>IF(ISBLANK($A4), FALSE, VLOOKUP($A4, Candidates!$B$2:$P$1447, 8, FALSE))</f>
        <v>0</v>
      </c>
      <c r="C4" s="20" t="b">
        <f>IF(ISBLANK($A4), FALSE, VLOOKUP($A4, Candidates!$B$2:$P$1447, 9, FALSE))</f>
        <v>0</v>
      </c>
      <c r="D4" s="20" t="b">
        <f>IF(ISBLANK($A4), FALSE, VLOOKUP($A4, Candidates!$B$2:$P$1447, 10, FALSE))</f>
        <v>0</v>
      </c>
      <c r="E4" s="20" t="b">
        <f>IF(ISBLANK($A4), FALSE, VLOOKUP($A4, Candidates!$B$2:$P$1447, 11, FALSE))</f>
        <v>0</v>
      </c>
      <c r="F4" s="20" t="b">
        <f>IF(ISBLANK($A4), FALSE, VLOOKUP($A4, Candidates!$B$2:$P$1447, 12, FALSE))</f>
        <v>0</v>
      </c>
      <c r="G4" s="20" t="b">
        <f>IF(ISBLANK($A4), FALSE, VLOOKUP($A4, Candidates!$B$2:$P$1447, 13, FALSE))</f>
        <v>0</v>
      </c>
      <c r="H4" s="35" t="b">
        <f t="shared" si="1"/>
        <v>0</v>
      </c>
      <c r="I4" s="29" t="b">
        <f>VLOOKUP($A4, 'Overlap 2'!$B$2:$P$76, 8, FALSE)</f>
        <v>0</v>
      </c>
      <c r="J4" s="29" t="b">
        <f>VLOOKUP($A4, 'Overlap 2'!$B$2:$P$76, 9, FALSE)</f>
        <v>0</v>
      </c>
      <c r="K4" s="29" t="b">
        <f>VLOOKUP($A4, 'Overlap 2'!$B$2:$P$76, 10, FALSE)</f>
        <v>0</v>
      </c>
      <c r="L4" s="29" t="b">
        <f>VLOOKUP($A4, 'Overlap 2'!$B$2:$P$76, 11, FALSE)</f>
        <v>0</v>
      </c>
      <c r="M4" s="29" t="b">
        <f>VLOOKUP($A4, 'Overlap 2'!$B$2:$P$76, 12, FALSE)</f>
        <v>0</v>
      </c>
      <c r="N4" s="29" t="b">
        <f>VLOOKUP($A4, 'Overlap 2'!$B$2:$P$76, 13, FALSE)</f>
        <v>0</v>
      </c>
      <c r="O4" s="36" t="b">
        <f t="shared" si="2"/>
        <v>0</v>
      </c>
      <c r="P4" s="35" t="b">
        <f t="shared" si="3"/>
        <v>1</v>
      </c>
      <c r="Q4" s="13"/>
    </row>
    <row r="5">
      <c r="A5" s="34" t="str">
        <f>IFERROR(__xludf.DUMMYFUNCTION("""COMPUTED_VALUE"""),"E81")</f>
        <v>E81</v>
      </c>
      <c r="B5" s="20" t="b">
        <f>IF(ISBLANK($A5), FALSE, VLOOKUP($A5, Candidates!$B$2:$P$1447, 8, FALSE))</f>
        <v>1</v>
      </c>
      <c r="C5" s="20" t="b">
        <f>IF(ISBLANK($A5), FALSE, VLOOKUP($A5, Candidates!$B$2:$P$1447, 9, FALSE))</f>
        <v>0</v>
      </c>
      <c r="D5" s="20" t="b">
        <f>IF(ISBLANK($A5), FALSE, VLOOKUP($A5, Candidates!$B$2:$P$1447, 10, FALSE))</f>
        <v>1</v>
      </c>
      <c r="E5" s="20" t="b">
        <f>IF(ISBLANK($A5), FALSE, VLOOKUP($A5, Candidates!$B$2:$P$1447, 11, FALSE))</f>
        <v>0</v>
      </c>
      <c r="F5" s="20" t="b">
        <f>IF(ISBLANK($A5), FALSE, VLOOKUP($A5, Candidates!$B$2:$P$1447, 12, FALSE))</f>
        <v>0</v>
      </c>
      <c r="G5" s="20" t="b">
        <f>IF(ISBLANK($A5), FALSE, VLOOKUP($A5, Candidates!$B$2:$P$1447, 13, FALSE))</f>
        <v>0</v>
      </c>
      <c r="H5" s="35" t="b">
        <f t="shared" si="1"/>
        <v>0</v>
      </c>
      <c r="I5" s="29" t="b">
        <f>VLOOKUP($A5, 'Overlap 2'!$B$2:$P$76, 8, FALSE)</f>
        <v>1</v>
      </c>
      <c r="J5" s="29" t="b">
        <f>VLOOKUP($A5, 'Overlap 2'!$B$2:$P$76, 9, FALSE)</f>
        <v>0</v>
      </c>
      <c r="K5" s="29" t="b">
        <f>VLOOKUP($A5, 'Overlap 2'!$B$2:$P$76, 10, FALSE)</f>
        <v>1</v>
      </c>
      <c r="L5" s="29" t="b">
        <f>VLOOKUP($A5, 'Overlap 2'!$B$2:$P$76, 11, FALSE)</f>
        <v>0</v>
      </c>
      <c r="M5" s="29" t="b">
        <f>VLOOKUP($A5, 'Overlap 2'!$B$2:$P$76, 12, FALSE)</f>
        <v>0</v>
      </c>
      <c r="N5" s="29" t="b">
        <f>VLOOKUP($A5, 'Overlap 2'!$B$2:$P$76, 13, FALSE)</f>
        <v>0</v>
      </c>
      <c r="O5" s="36" t="b">
        <f t="shared" si="2"/>
        <v>0</v>
      </c>
      <c r="P5" s="35" t="b">
        <f t="shared" si="3"/>
        <v>1</v>
      </c>
      <c r="Q5" s="7"/>
    </row>
    <row r="6">
      <c r="A6" s="34" t="str">
        <f>IFERROR(__xludf.DUMMYFUNCTION("""COMPUTED_VALUE"""),"E95")</f>
        <v>E95</v>
      </c>
      <c r="B6" s="20" t="b">
        <f>IF(ISBLANK($A6), FALSE, VLOOKUP($A6, Candidates!$B$2:$P$1447, 8, FALSE))</f>
        <v>0</v>
      </c>
      <c r="C6" s="20" t="b">
        <f>IF(ISBLANK($A6), FALSE, VLOOKUP($A6, Candidates!$B$2:$P$1447, 9, FALSE))</f>
        <v>1</v>
      </c>
      <c r="D6" s="20" t="b">
        <f>IF(ISBLANK($A6), FALSE, VLOOKUP($A6, Candidates!$B$2:$P$1447, 10, FALSE))</f>
        <v>1</v>
      </c>
      <c r="E6" s="20" t="b">
        <f>IF(ISBLANK($A6), FALSE, VLOOKUP($A6, Candidates!$B$2:$P$1447, 11, FALSE))</f>
        <v>0</v>
      </c>
      <c r="F6" s="20" t="b">
        <f>IF(ISBLANK($A6), FALSE, VLOOKUP($A6, Candidates!$B$2:$P$1447, 12, FALSE))</f>
        <v>0</v>
      </c>
      <c r="G6" s="20" t="b">
        <f>IF(ISBLANK($A6), FALSE, VLOOKUP($A6, Candidates!$B$2:$P$1447, 13, FALSE))</f>
        <v>0</v>
      </c>
      <c r="H6" s="35" t="b">
        <f t="shared" si="1"/>
        <v>0</v>
      </c>
      <c r="I6" s="29" t="b">
        <f>VLOOKUP($A6, 'Overlap 2'!$B$2:$P$76, 8, FALSE)</f>
        <v>0</v>
      </c>
      <c r="J6" s="29" t="b">
        <f>VLOOKUP($A6, 'Overlap 2'!$B$2:$P$76, 9, FALSE)</f>
        <v>0</v>
      </c>
      <c r="K6" s="29" t="b">
        <f>VLOOKUP($A6, 'Overlap 2'!$B$2:$P$76, 10, FALSE)</f>
        <v>0</v>
      </c>
      <c r="L6" s="29" t="b">
        <f>VLOOKUP($A6, 'Overlap 2'!$B$2:$P$76, 11, FALSE)</f>
        <v>0</v>
      </c>
      <c r="M6" s="29" t="b">
        <f>VLOOKUP($A6, 'Overlap 2'!$B$2:$P$76, 12, FALSE)</f>
        <v>0</v>
      </c>
      <c r="N6" s="29" t="b">
        <f>VLOOKUP($A6, 'Overlap 2'!$B$2:$P$76, 13, FALSE)</f>
        <v>0</v>
      </c>
      <c r="O6" s="36" t="b">
        <f t="shared" si="2"/>
        <v>0</v>
      </c>
      <c r="P6" s="35" t="b">
        <f t="shared" si="3"/>
        <v>1</v>
      </c>
      <c r="Q6" s="13"/>
    </row>
    <row r="7">
      <c r="A7" s="34" t="str">
        <f>IFERROR(__xludf.DUMMYFUNCTION("""COMPUTED_VALUE"""),"E97")</f>
        <v>E97</v>
      </c>
      <c r="B7" s="20" t="b">
        <f>IF(ISBLANK($A7), FALSE, VLOOKUP($A7, Candidates!$B$2:$P$1447, 8, FALSE))</f>
        <v>0</v>
      </c>
      <c r="C7" s="20" t="b">
        <f>IF(ISBLANK($A7), FALSE, VLOOKUP($A7, Candidates!$B$2:$P$1447, 9, FALSE))</f>
        <v>0</v>
      </c>
      <c r="D7" s="20" t="b">
        <f>IF(ISBLANK($A7), FALSE, VLOOKUP($A7, Candidates!$B$2:$P$1447, 10, FALSE))</f>
        <v>0</v>
      </c>
      <c r="E7" s="20" t="b">
        <f>IF(ISBLANK($A7), FALSE, VLOOKUP($A7, Candidates!$B$2:$P$1447, 11, FALSE))</f>
        <v>0</v>
      </c>
      <c r="F7" s="20" t="b">
        <f>IF(ISBLANK($A7), FALSE, VLOOKUP($A7, Candidates!$B$2:$P$1447, 12, FALSE))</f>
        <v>0</v>
      </c>
      <c r="G7" s="20" t="b">
        <f>IF(ISBLANK($A7), FALSE, VLOOKUP($A7, Candidates!$B$2:$P$1447, 13, FALSE))</f>
        <v>0</v>
      </c>
      <c r="H7" s="35" t="b">
        <f t="shared" si="1"/>
        <v>0</v>
      </c>
      <c r="I7" s="29" t="b">
        <f>VLOOKUP($A7, 'Overlap 2'!$B$2:$P$76, 8, FALSE)</f>
        <v>0</v>
      </c>
      <c r="J7" s="29" t="b">
        <f>VLOOKUP($A7, 'Overlap 2'!$B$2:$P$76, 9, FALSE)</f>
        <v>0</v>
      </c>
      <c r="K7" s="29" t="b">
        <f>VLOOKUP($A7, 'Overlap 2'!$B$2:$P$76, 10, FALSE)</f>
        <v>0</v>
      </c>
      <c r="L7" s="29" t="b">
        <f>VLOOKUP($A7, 'Overlap 2'!$B$2:$P$76, 11, FALSE)</f>
        <v>0</v>
      </c>
      <c r="M7" s="29" t="b">
        <f>VLOOKUP($A7, 'Overlap 2'!$B$2:$P$76, 12, FALSE)</f>
        <v>0</v>
      </c>
      <c r="N7" s="29" t="b">
        <f>VLOOKUP($A7, 'Overlap 2'!$B$2:$P$76, 13, FALSE)</f>
        <v>0</v>
      </c>
      <c r="O7" s="36" t="b">
        <f t="shared" si="2"/>
        <v>0</v>
      </c>
      <c r="P7" s="35" t="b">
        <f t="shared" si="3"/>
        <v>1</v>
      </c>
      <c r="Q7" s="7"/>
    </row>
    <row r="8">
      <c r="A8" s="34" t="str">
        <f>IFERROR(__xludf.DUMMYFUNCTION("""COMPUTED_VALUE"""),"E106")</f>
        <v>E106</v>
      </c>
      <c r="B8" s="20" t="b">
        <f>IF(ISBLANK($A8), FALSE, VLOOKUP($A8, Candidates!$B$2:$P$1447, 8, FALSE))</f>
        <v>0</v>
      </c>
      <c r="C8" s="20" t="b">
        <f>IF(ISBLANK($A8), FALSE, VLOOKUP($A8, Candidates!$B$2:$P$1447, 9, FALSE))</f>
        <v>0</v>
      </c>
      <c r="D8" s="20" t="b">
        <f>IF(ISBLANK($A8), FALSE, VLOOKUP($A8, Candidates!$B$2:$P$1447, 10, FALSE))</f>
        <v>0</v>
      </c>
      <c r="E8" s="20" t="b">
        <f>IF(ISBLANK($A8), FALSE, VLOOKUP($A8, Candidates!$B$2:$P$1447, 11, FALSE))</f>
        <v>0</v>
      </c>
      <c r="F8" s="20" t="b">
        <f>IF(ISBLANK($A8), FALSE, VLOOKUP($A8, Candidates!$B$2:$P$1447, 12, FALSE))</f>
        <v>0</v>
      </c>
      <c r="G8" s="20" t="b">
        <f>IF(ISBLANK($A8), FALSE, VLOOKUP($A8, Candidates!$B$2:$P$1447, 13, FALSE))</f>
        <v>0</v>
      </c>
      <c r="H8" s="35" t="b">
        <f t="shared" si="1"/>
        <v>0</v>
      </c>
      <c r="I8" s="29" t="b">
        <f>VLOOKUP($A8, 'Overlap 2'!$B$2:$P$76, 8, FALSE)</f>
        <v>0</v>
      </c>
      <c r="J8" s="29" t="b">
        <f>VLOOKUP($A8, 'Overlap 2'!$B$2:$P$76, 9, FALSE)</f>
        <v>0</v>
      </c>
      <c r="K8" s="29" t="b">
        <f>VLOOKUP($A8, 'Overlap 2'!$B$2:$P$76, 10, FALSE)</f>
        <v>0</v>
      </c>
      <c r="L8" s="29" t="b">
        <f>VLOOKUP($A8, 'Overlap 2'!$B$2:$P$76, 11, FALSE)</f>
        <v>0</v>
      </c>
      <c r="M8" s="29" t="b">
        <f>VLOOKUP($A8, 'Overlap 2'!$B$2:$P$76, 12, FALSE)</f>
        <v>0</v>
      </c>
      <c r="N8" s="29" t="b">
        <f>VLOOKUP($A8, 'Overlap 2'!$B$2:$P$76, 13, FALSE)</f>
        <v>0</v>
      </c>
      <c r="O8" s="36" t="b">
        <f t="shared" si="2"/>
        <v>0</v>
      </c>
      <c r="P8" s="35" t="b">
        <f t="shared" si="3"/>
        <v>1</v>
      </c>
      <c r="Q8" s="7"/>
    </row>
    <row r="9">
      <c r="A9" s="34" t="str">
        <f>IFERROR(__xludf.DUMMYFUNCTION("""COMPUTED_VALUE"""),"E122")</f>
        <v>E122</v>
      </c>
      <c r="B9" s="20" t="b">
        <f>IF(ISBLANK($A9), FALSE, VLOOKUP($A9, Candidates!$B$2:$P$1447, 8, FALSE))</f>
        <v>0</v>
      </c>
      <c r="C9" s="20" t="b">
        <f>IF(ISBLANK($A9), FALSE, VLOOKUP($A9, Candidates!$B$2:$P$1447, 9, FALSE))</f>
        <v>0</v>
      </c>
      <c r="D9" s="20" t="b">
        <f>IF(ISBLANK($A9), FALSE, VLOOKUP($A9, Candidates!$B$2:$P$1447, 10, FALSE))</f>
        <v>0</v>
      </c>
      <c r="E9" s="20" t="b">
        <f>IF(ISBLANK($A9), FALSE, VLOOKUP($A9, Candidates!$B$2:$P$1447, 11, FALSE))</f>
        <v>0</v>
      </c>
      <c r="F9" s="20" t="b">
        <f>IF(ISBLANK($A9), FALSE, VLOOKUP($A9, Candidates!$B$2:$P$1447, 12, FALSE))</f>
        <v>0</v>
      </c>
      <c r="G9" s="20" t="b">
        <f>IF(ISBLANK($A9), FALSE, VLOOKUP($A9, Candidates!$B$2:$P$1447, 13, FALSE))</f>
        <v>0</v>
      </c>
      <c r="H9" s="35" t="b">
        <f t="shared" si="1"/>
        <v>0</v>
      </c>
      <c r="I9" s="29" t="b">
        <f>VLOOKUP($A9, 'Overlap 2'!$B$2:$P$76, 8, FALSE)</f>
        <v>0</v>
      </c>
      <c r="J9" s="29" t="b">
        <f>VLOOKUP($A9, 'Overlap 2'!$B$2:$P$76, 9, FALSE)</f>
        <v>0</v>
      </c>
      <c r="K9" s="29" t="b">
        <f>VLOOKUP($A9, 'Overlap 2'!$B$2:$P$76, 10, FALSE)</f>
        <v>0</v>
      </c>
      <c r="L9" s="29" t="b">
        <f>VLOOKUP($A9, 'Overlap 2'!$B$2:$P$76, 11, FALSE)</f>
        <v>0</v>
      </c>
      <c r="M9" s="29" t="b">
        <f>VLOOKUP($A9, 'Overlap 2'!$B$2:$P$76, 12, FALSE)</f>
        <v>0</v>
      </c>
      <c r="N9" s="29" t="b">
        <f>VLOOKUP($A9, 'Overlap 2'!$B$2:$P$76, 13, FALSE)</f>
        <v>0</v>
      </c>
      <c r="O9" s="36" t="b">
        <f t="shared" si="2"/>
        <v>0</v>
      </c>
      <c r="P9" s="35" t="b">
        <f t="shared" si="3"/>
        <v>1</v>
      </c>
      <c r="Q9" s="13"/>
    </row>
    <row r="10">
      <c r="A10" s="34" t="str">
        <f>IFERROR(__xludf.DUMMYFUNCTION("""COMPUTED_VALUE"""),"E127")</f>
        <v>E127</v>
      </c>
      <c r="B10" s="20" t="b">
        <f>IF(ISBLANK($A10), FALSE, VLOOKUP($A10, Candidates!$B$2:$P$1447, 8, FALSE))</f>
        <v>0</v>
      </c>
      <c r="C10" s="20" t="b">
        <f>IF(ISBLANK($A10), FALSE, VLOOKUP($A10, Candidates!$B$2:$P$1447, 9, FALSE))</f>
        <v>0</v>
      </c>
      <c r="D10" s="20" t="b">
        <f>IF(ISBLANK($A10), FALSE, VLOOKUP($A10, Candidates!$B$2:$P$1447, 10, FALSE))</f>
        <v>0</v>
      </c>
      <c r="E10" s="20" t="b">
        <f>IF(ISBLANK($A10), FALSE, VLOOKUP($A10, Candidates!$B$2:$P$1447, 11, FALSE))</f>
        <v>0</v>
      </c>
      <c r="F10" s="20" t="b">
        <f>IF(ISBLANK($A10), FALSE, VLOOKUP($A10, Candidates!$B$2:$P$1447, 12, FALSE))</f>
        <v>0</v>
      </c>
      <c r="G10" s="20" t="b">
        <f>IF(ISBLANK($A10), FALSE, VLOOKUP($A10, Candidates!$B$2:$P$1447, 13, FALSE))</f>
        <v>0</v>
      </c>
      <c r="H10" s="35" t="b">
        <f t="shared" si="1"/>
        <v>0</v>
      </c>
      <c r="I10" s="29" t="b">
        <f>VLOOKUP($A10, 'Overlap 2'!$B$2:$P$76, 8, FALSE)</f>
        <v>0</v>
      </c>
      <c r="J10" s="29" t="b">
        <f>VLOOKUP($A10, 'Overlap 2'!$B$2:$P$76, 9, FALSE)</f>
        <v>0</v>
      </c>
      <c r="K10" s="29" t="b">
        <f>VLOOKUP($A10, 'Overlap 2'!$B$2:$P$76, 10, FALSE)</f>
        <v>0</v>
      </c>
      <c r="L10" s="29" t="b">
        <f>VLOOKUP($A10, 'Overlap 2'!$B$2:$P$76, 11, FALSE)</f>
        <v>0</v>
      </c>
      <c r="M10" s="29" t="b">
        <f>VLOOKUP($A10, 'Overlap 2'!$B$2:$P$76, 12, FALSE)</f>
        <v>0</v>
      </c>
      <c r="N10" s="29" t="b">
        <f>VLOOKUP($A10, 'Overlap 2'!$B$2:$P$76, 13, FALSE)</f>
        <v>0</v>
      </c>
      <c r="O10" s="36" t="b">
        <f t="shared" si="2"/>
        <v>0</v>
      </c>
      <c r="P10" s="35" t="b">
        <f t="shared" si="3"/>
        <v>1</v>
      </c>
      <c r="Q10" s="7"/>
    </row>
    <row r="11">
      <c r="A11" s="34" t="str">
        <f>IFERROR(__xludf.DUMMYFUNCTION("""COMPUTED_VALUE"""),"E137")</f>
        <v>E137</v>
      </c>
      <c r="B11" s="20" t="b">
        <f>IF(ISBLANK($A11), FALSE, VLOOKUP($A11, Candidates!$B$2:$P$1447, 8, FALSE))</f>
        <v>0</v>
      </c>
      <c r="C11" s="20" t="b">
        <f>IF(ISBLANK($A11), FALSE, VLOOKUP($A11, Candidates!$B$2:$P$1447, 9, FALSE))</f>
        <v>0</v>
      </c>
      <c r="D11" s="20" t="b">
        <f>IF(ISBLANK($A11), FALSE, VLOOKUP($A11, Candidates!$B$2:$P$1447, 10, FALSE))</f>
        <v>0</v>
      </c>
      <c r="E11" s="20" t="b">
        <f>IF(ISBLANK($A11), FALSE, VLOOKUP($A11, Candidates!$B$2:$P$1447, 11, FALSE))</f>
        <v>0</v>
      </c>
      <c r="F11" s="20" t="b">
        <f>IF(ISBLANK($A11), FALSE, VLOOKUP($A11, Candidates!$B$2:$P$1447, 12, FALSE))</f>
        <v>0</v>
      </c>
      <c r="G11" s="20" t="b">
        <f>IF(ISBLANK($A11), FALSE, VLOOKUP($A11, Candidates!$B$2:$P$1447, 13, FALSE))</f>
        <v>0</v>
      </c>
      <c r="H11" s="35" t="b">
        <f t="shared" si="1"/>
        <v>0</v>
      </c>
      <c r="I11" s="29" t="b">
        <f>VLOOKUP($A11, 'Overlap 2'!$B$2:$P$76, 8, FALSE)</f>
        <v>0</v>
      </c>
      <c r="J11" s="29" t="b">
        <f>VLOOKUP($A11, 'Overlap 2'!$B$2:$P$76, 9, FALSE)</f>
        <v>0</v>
      </c>
      <c r="K11" s="29" t="b">
        <f>VLOOKUP($A11, 'Overlap 2'!$B$2:$P$76, 10, FALSE)</f>
        <v>0</v>
      </c>
      <c r="L11" s="29" t="b">
        <f>VLOOKUP($A11, 'Overlap 2'!$B$2:$P$76, 11, FALSE)</f>
        <v>0</v>
      </c>
      <c r="M11" s="29" t="b">
        <f>VLOOKUP($A11, 'Overlap 2'!$B$2:$P$76, 12, FALSE)</f>
        <v>0</v>
      </c>
      <c r="N11" s="29" t="b">
        <f>VLOOKUP($A11, 'Overlap 2'!$B$2:$P$76, 13, FALSE)</f>
        <v>0</v>
      </c>
      <c r="O11" s="36" t="b">
        <f t="shared" si="2"/>
        <v>0</v>
      </c>
      <c r="P11" s="35" t="b">
        <f t="shared" si="3"/>
        <v>1</v>
      </c>
      <c r="Q11" s="7"/>
    </row>
    <row r="12">
      <c r="A12" s="34" t="str">
        <f>IFERROR(__xludf.DUMMYFUNCTION("""COMPUTED_VALUE"""),"E150")</f>
        <v>E150</v>
      </c>
      <c r="B12" s="20" t="b">
        <f>IF(ISBLANK($A12), FALSE, VLOOKUP($A12, Candidates!$B$2:$P$1447, 8, FALSE))</f>
        <v>0</v>
      </c>
      <c r="C12" s="20" t="b">
        <f>IF(ISBLANK($A12), FALSE, VLOOKUP($A12, Candidates!$B$2:$P$1447, 9, FALSE))</f>
        <v>0</v>
      </c>
      <c r="D12" s="20" t="b">
        <f>IF(ISBLANK($A12), FALSE, VLOOKUP($A12, Candidates!$B$2:$P$1447, 10, FALSE))</f>
        <v>0</v>
      </c>
      <c r="E12" s="20" t="b">
        <f>IF(ISBLANK($A12), FALSE, VLOOKUP($A12, Candidates!$B$2:$P$1447, 11, FALSE))</f>
        <v>0</v>
      </c>
      <c r="F12" s="20" t="b">
        <f>IF(ISBLANK($A12), FALSE, VLOOKUP($A12, Candidates!$B$2:$P$1447, 12, FALSE))</f>
        <v>0</v>
      </c>
      <c r="G12" s="20" t="b">
        <f>IF(ISBLANK($A12), FALSE, VLOOKUP($A12, Candidates!$B$2:$P$1447, 13, FALSE))</f>
        <v>0</v>
      </c>
      <c r="H12" s="35" t="b">
        <f t="shared" si="1"/>
        <v>0</v>
      </c>
      <c r="I12" s="29" t="b">
        <f>VLOOKUP($A12, 'Overlap 2'!$B$2:$P$76, 8, FALSE)</f>
        <v>0</v>
      </c>
      <c r="J12" s="29" t="b">
        <f>VLOOKUP($A12, 'Overlap 2'!$B$2:$P$76, 9, FALSE)</f>
        <v>0</v>
      </c>
      <c r="K12" s="29" t="b">
        <f>VLOOKUP($A12, 'Overlap 2'!$B$2:$P$76, 10, FALSE)</f>
        <v>0</v>
      </c>
      <c r="L12" s="29" t="b">
        <f>VLOOKUP($A12, 'Overlap 2'!$B$2:$P$76, 11, FALSE)</f>
        <v>0</v>
      </c>
      <c r="M12" s="29" t="b">
        <f>VLOOKUP($A12, 'Overlap 2'!$B$2:$P$76, 12, FALSE)</f>
        <v>0</v>
      </c>
      <c r="N12" s="29" t="b">
        <f>VLOOKUP($A12, 'Overlap 2'!$B$2:$P$76, 13, FALSE)</f>
        <v>0</v>
      </c>
      <c r="O12" s="36" t="b">
        <f t="shared" si="2"/>
        <v>0</v>
      </c>
      <c r="P12" s="35" t="b">
        <f t="shared" si="3"/>
        <v>1</v>
      </c>
      <c r="Q12" s="13"/>
    </row>
    <row r="13">
      <c r="A13" s="34" t="str">
        <f>IFERROR(__xludf.DUMMYFUNCTION("""COMPUTED_VALUE"""),"E159")</f>
        <v>E159</v>
      </c>
      <c r="B13" s="20" t="b">
        <f>IF(ISBLANK($A13), FALSE, VLOOKUP($A13, Candidates!$B$2:$P$1447, 8, FALSE))</f>
        <v>0</v>
      </c>
      <c r="C13" s="20" t="b">
        <f>IF(ISBLANK($A13), FALSE, VLOOKUP($A13, Candidates!$B$2:$P$1447, 9, FALSE))</f>
        <v>0</v>
      </c>
      <c r="D13" s="20" t="b">
        <f>IF(ISBLANK($A13), FALSE, VLOOKUP($A13, Candidates!$B$2:$P$1447, 10, FALSE))</f>
        <v>0</v>
      </c>
      <c r="E13" s="20" t="b">
        <f>IF(ISBLANK($A13), FALSE, VLOOKUP($A13, Candidates!$B$2:$P$1447, 11, FALSE))</f>
        <v>0</v>
      </c>
      <c r="F13" s="20" t="b">
        <f>IF(ISBLANK($A13), FALSE, VLOOKUP($A13, Candidates!$B$2:$P$1447, 12, FALSE))</f>
        <v>0</v>
      </c>
      <c r="G13" s="20" t="b">
        <f>IF(ISBLANK($A13), FALSE, VLOOKUP($A13, Candidates!$B$2:$P$1447, 13, FALSE))</f>
        <v>0</v>
      </c>
      <c r="H13" s="35" t="b">
        <f t="shared" si="1"/>
        <v>0</v>
      </c>
      <c r="I13" s="29" t="b">
        <f>VLOOKUP($A13, 'Overlap 2'!$B$2:$P$76, 8, FALSE)</f>
        <v>0</v>
      </c>
      <c r="J13" s="29" t="b">
        <f>VLOOKUP($A13, 'Overlap 2'!$B$2:$P$76, 9, FALSE)</f>
        <v>0</v>
      </c>
      <c r="K13" s="29" t="b">
        <f>VLOOKUP($A13, 'Overlap 2'!$B$2:$P$76, 10, FALSE)</f>
        <v>0</v>
      </c>
      <c r="L13" s="29" t="b">
        <f>VLOOKUP($A13, 'Overlap 2'!$B$2:$P$76, 11, FALSE)</f>
        <v>0</v>
      </c>
      <c r="M13" s="29" t="b">
        <f>VLOOKUP($A13, 'Overlap 2'!$B$2:$P$76, 12, FALSE)</f>
        <v>0</v>
      </c>
      <c r="N13" s="29" t="b">
        <f>VLOOKUP($A13, 'Overlap 2'!$B$2:$P$76, 13, FALSE)</f>
        <v>0</v>
      </c>
      <c r="O13" s="36" t="b">
        <f t="shared" si="2"/>
        <v>0</v>
      </c>
      <c r="P13" s="35" t="b">
        <f t="shared" si="3"/>
        <v>1</v>
      </c>
      <c r="Q13" s="7"/>
    </row>
    <row r="14">
      <c r="A14" s="34" t="str">
        <f>IFERROR(__xludf.DUMMYFUNCTION("""COMPUTED_VALUE"""),"E167")</f>
        <v>E167</v>
      </c>
      <c r="B14" s="20" t="b">
        <f>IF(ISBLANK($A14), FALSE, VLOOKUP($A14, Candidates!$B$2:$P$1447, 8, FALSE))</f>
        <v>0</v>
      </c>
      <c r="C14" s="20" t="b">
        <f>IF(ISBLANK($A14), FALSE, VLOOKUP($A14, Candidates!$B$2:$P$1447, 9, FALSE))</f>
        <v>0</v>
      </c>
      <c r="D14" s="20" t="b">
        <f>IF(ISBLANK($A14), FALSE, VLOOKUP($A14, Candidates!$B$2:$P$1447, 10, FALSE))</f>
        <v>0</v>
      </c>
      <c r="E14" s="20" t="b">
        <f>IF(ISBLANK($A14), FALSE, VLOOKUP($A14, Candidates!$B$2:$P$1447, 11, FALSE))</f>
        <v>0</v>
      </c>
      <c r="F14" s="20" t="b">
        <f>IF(ISBLANK($A14), FALSE, VLOOKUP($A14, Candidates!$B$2:$P$1447, 12, FALSE))</f>
        <v>0</v>
      </c>
      <c r="G14" s="20" t="b">
        <f>IF(ISBLANK($A14), FALSE, VLOOKUP($A14, Candidates!$B$2:$P$1447, 13, FALSE))</f>
        <v>0</v>
      </c>
      <c r="H14" s="35" t="b">
        <f t="shared" si="1"/>
        <v>0</v>
      </c>
      <c r="I14" s="29" t="b">
        <f>VLOOKUP($A14, 'Overlap 2'!$B$2:$P$76, 8, FALSE)</f>
        <v>0</v>
      </c>
      <c r="J14" s="29" t="b">
        <f>VLOOKUP($A14, 'Overlap 2'!$B$2:$P$76, 9, FALSE)</f>
        <v>0</v>
      </c>
      <c r="K14" s="29" t="b">
        <f>VLOOKUP($A14, 'Overlap 2'!$B$2:$P$76, 10, FALSE)</f>
        <v>0</v>
      </c>
      <c r="L14" s="29" t="b">
        <f>VLOOKUP($A14, 'Overlap 2'!$B$2:$P$76, 11, FALSE)</f>
        <v>0</v>
      </c>
      <c r="M14" s="29" t="b">
        <f>VLOOKUP($A14, 'Overlap 2'!$B$2:$P$76, 12, FALSE)</f>
        <v>0</v>
      </c>
      <c r="N14" s="29" t="b">
        <f>VLOOKUP($A14, 'Overlap 2'!$B$2:$P$76, 13, FALSE)</f>
        <v>0</v>
      </c>
      <c r="O14" s="36" t="b">
        <f t="shared" si="2"/>
        <v>0</v>
      </c>
      <c r="P14" s="35" t="b">
        <f t="shared" si="3"/>
        <v>1</v>
      </c>
      <c r="Q14" s="7"/>
    </row>
    <row r="15">
      <c r="A15" s="34" t="str">
        <f>IFERROR(__xludf.DUMMYFUNCTION("""COMPUTED_VALUE"""),"E206")</f>
        <v>E206</v>
      </c>
      <c r="B15" s="20" t="b">
        <f>IF(ISBLANK($A15), FALSE, VLOOKUP($A15, Candidates!$B$2:$P$1447, 8, FALSE))</f>
        <v>0</v>
      </c>
      <c r="C15" s="20" t="b">
        <f>IF(ISBLANK($A15), FALSE, VLOOKUP($A15, Candidates!$B$2:$P$1447, 9, FALSE))</f>
        <v>0</v>
      </c>
      <c r="D15" s="20" t="b">
        <f>IF(ISBLANK($A15), FALSE, VLOOKUP($A15, Candidates!$B$2:$P$1447, 10, FALSE))</f>
        <v>0</v>
      </c>
      <c r="E15" s="20" t="b">
        <f>IF(ISBLANK($A15), FALSE, VLOOKUP($A15, Candidates!$B$2:$P$1447, 11, FALSE))</f>
        <v>0</v>
      </c>
      <c r="F15" s="20" t="b">
        <f>IF(ISBLANK($A15), FALSE, VLOOKUP($A15, Candidates!$B$2:$P$1447, 12, FALSE))</f>
        <v>0</v>
      </c>
      <c r="G15" s="20" t="b">
        <f>IF(ISBLANK($A15), FALSE, VLOOKUP($A15, Candidates!$B$2:$P$1447, 13, FALSE))</f>
        <v>0</v>
      </c>
      <c r="H15" s="35" t="b">
        <f t="shared" si="1"/>
        <v>0</v>
      </c>
      <c r="I15" s="29" t="b">
        <f>VLOOKUP($A15, 'Overlap 2'!$B$2:$P$76, 8, FALSE)</f>
        <v>0</v>
      </c>
      <c r="J15" s="29" t="b">
        <f>VLOOKUP($A15, 'Overlap 2'!$B$2:$P$76, 9, FALSE)</f>
        <v>0</v>
      </c>
      <c r="K15" s="29" t="b">
        <f>VLOOKUP($A15, 'Overlap 2'!$B$2:$P$76, 10, FALSE)</f>
        <v>0</v>
      </c>
      <c r="L15" s="29" t="b">
        <f>VLOOKUP($A15, 'Overlap 2'!$B$2:$P$76, 11, FALSE)</f>
        <v>0</v>
      </c>
      <c r="M15" s="29" t="b">
        <f>VLOOKUP($A15, 'Overlap 2'!$B$2:$P$76, 12, FALSE)</f>
        <v>0</v>
      </c>
      <c r="N15" s="29" t="b">
        <f>VLOOKUP($A15, 'Overlap 2'!$B$2:$P$76, 13, FALSE)</f>
        <v>0</v>
      </c>
      <c r="O15" s="36" t="b">
        <f t="shared" si="2"/>
        <v>0</v>
      </c>
      <c r="P15" s="35" t="b">
        <f t="shared" si="3"/>
        <v>1</v>
      </c>
      <c r="Q15" s="7"/>
    </row>
    <row r="16">
      <c r="A16" s="34" t="str">
        <f>IFERROR(__xludf.DUMMYFUNCTION("""COMPUTED_VALUE"""),"E225")</f>
        <v>E225</v>
      </c>
      <c r="B16" s="20" t="b">
        <f>IF(ISBLANK($A16), FALSE, VLOOKUP($A16, Candidates!$B$2:$P$1447, 8, FALSE))</f>
        <v>1</v>
      </c>
      <c r="C16" s="20" t="b">
        <f>IF(ISBLANK($A16), FALSE, VLOOKUP($A16, Candidates!$B$2:$P$1447, 9, FALSE))</f>
        <v>1</v>
      </c>
      <c r="D16" s="20" t="b">
        <f>IF(ISBLANK($A16), FALSE, VLOOKUP($A16, Candidates!$B$2:$P$1447, 10, FALSE))</f>
        <v>1</v>
      </c>
      <c r="E16" s="20" t="b">
        <f>IF(ISBLANK($A16), FALSE, VLOOKUP($A16, Candidates!$B$2:$P$1447, 11, FALSE))</f>
        <v>0</v>
      </c>
      <c r="F16" s="20" t="b">
        <f>IF(ISBLANK($A16), FALSE, VLOOKUP($A16, Candidates!$B$2:$P$1447, 12, FALSE))</f>
        <v>0</v>
      </c>
      <c r="G16" s="20" t="b">
        <f>IF(ISBLANK($A16), FALSE, VLOOKUP($A16, Candidates!$B$2:$P$1447, 13, FALSE))</f>
        <v>0</v>
      </c>
      <c r="H16" s="35" t="b">
        <f t="shared" si="1"/>
        <v>1</v>
      </c>
      <c r="I16" s="29" t="b">
        <f>VLOOKUP($A16, 'Overlap 2'!$B$2:$P$76, 8, FALSE)</f>
        <v>1</v>
      </c>
      <c r="J16" s="29" t="b">
        <f>VLOOKUP($A16, 'Overlap 2'!$B$2:$P$76, 9, FALSE)</f>
        <v>1</v>
      </c>
      <c r="K16" s="29" t="b">
        <f>VLOOKUP($A16, 'Overlap 2'!$B$2:$P$76, 10, FALSE)</f>
        <v>0</v>
      </c>
      <c r="L16" s="29" t="b">
        <f>VLOOKUP($A16, 'Overlap 2'!$B$2:$P$76, 11, FALSE)</f>
        <v>0</v>
      </c>
      <c r="M16" s="29" t="b">
        <f>VLOOKUP($A16, 'Overlap 2'!$B$2:$P$76, 12, FALSE)</f>
        <v>0</v>
      </c>
      <c r="N16" s="29" t="b">
        <f>VLOOKUP($A16, 'Overlap 2'!$B$2:$P$76, 13, FALSE)</f>
        <v>0</v>
      </c>
      <c r="O16" s="36" t="b">
        <f t="shared" si="2"/>
        <v>0</v>
      </c>
      <c r="P16" s="35" t="b">
        <f t="shared" si="3"/>
        <v>0</v>
      </c>
      <c r="Q16" s="7"/>
    </row>
    <row r="17">
      <c r="A17" s="34" t="str">
        <f>IFERROR(__xludf.DUMMYFUNCTION("""COMPUTED_VALUE"""),"E246")</f>
        <v>E246</v>
      </c>
      <c r="B17" s="20" t="b">
        <f>IF(ISBLANK($A17), FALSE, VLOOKUP($A17, Candidates!$B$2:$P$1447, 8, FALSE))</f>
        <v>1</v>
      </c>
      <c r="C17" s="20" t="b">
        <f>IF(ISBLANK($A17), FALSE, VLOOKUP($A17, Candidates!$B$2:$P$1447, 9, FALSE))</f>
        <v>1</v>
      </c>
      <c r="D17" s="20" t="b">
        <f>IF(ISBLANK($A17), FALSE, VLOOKUP($A17, Candidates!$B$2:$P$1447, 10, FALSE))</f>
        <v>1</v>
      </c>
      <c r="E17" s="20" t="b">
        <f>IF(ISBLANK($A17), FALSE, VLOOKUP($A17, Candidates!$B$2:$P$1447, 11, FALSE))</f>
        <v>0</v>
      </c>
      <c r="F17" s="20" t="b">
        <f>IF(ISBLANK($A17), FALSE, VLOOKUP($A17, Candidates!$B$2:$P$1447, 12, FALSE))</f>
        <v>0</v>
      </c>
      <c r="G17" s="20" t="b">
        <f>IF(ISBLANK($A17), FALSE, VLOOKUP($A17, Candidates!$B$2:$P$1447, 13, FALSE))</f>
        <v>0</v>
      </c>
      <c r="H17" s="35" t="b">
        <f t="shared" si="1"/>
        <v>1</v>
      </c>
      <c r="I17" s="29" t="b">
        <f>VLOOKUP($A17, 'Overlap 2'!$B$2:$P$76, 8, FALSE)</f>
        <v>1</v>
      </c>
      <c r="J17" s="29" t="b">
        <f>VLOOKUP($A17, 'Overlap 2'!$B$2:$P$76, 9, FALSE)</f>
        <v>1</v>
      </c>
      <c r="K17" s="29" t="b">
        <f>VLOOKUP($A17, 'Overlap 2'!$B$2:$P$76, 10, FALSE)</f>
        <v>1</v>
      </c>
      <c r="L17" s="29" t="b">
        <f>VLOOKUP($A17, 'Overlap 2'!$B$2:$P$76, 11, FALSE)</f>
        <v>0</v>
      </c>
      <c r="M17" s="29" t="b">
        <f>VLOOKUP($A17, 'Overlap 2'!$B$2:$P$76, 12, FALSE)</f>
        <v>0</v>
      </c>
      <c r="N17" s="29" t="b">
        <f>VLOOKUP($A17, 'Overlap 2'!$B$2:$P$76, 13, FALSE)</f>
        <v>0</v>
      </c>
      <c r="O17" s="36" t="b">
        <f t="shared" si="2"/>
        <v>1</v>
      </c>
      <c r="P17" s="35" t="b">
        <f t="shared" si="3"/>
        <v>1</v>
      </c>
      <c r="Q17" s="7"/>
    </row>
    <row r="18">
      <c r="A18" s="34" t="str">
        <f>IFERROR(__xludf.DUMMYFUNCTION("""COMPUTED_VALUE"""),"E275")</f>
        <v>E275</v>
      </c>
      <c r="B18" s="20" t="b">
        <f>IF(ISBLANK($A18), FALSE, VLOOKUP($A18, Candidates!$B$2:$P$1447, 8, FALSE))</f>
        <v>0</v>
      </c>
      <c r="C18" s="20" t="b">
        <f>IF(ISBLANK($A18), FALSE, VLOOKUP($A18, Candidates!$B$2:$P$1447, 9, FALSE))</f>
        <v>0</v>
      </c>
      <c r="D18" s="20" t="b">
        <f>IF(ISBLANK($A18), FALSE, VLOOKUP($A18, Candidates!$B$2:$P$1447, 10, FALSE))</f>
        <v>0</v>
      </c>
      <c r="E18" s="20" t="b">
        <f>IF(ISBLANK($A18), FALSE, VLOOKUP($A18, Candidates!$B$2:$P$1447, 11, FALSE))</f>
        <v>0</v>
      </c>
      <c r="F18" s="20" t="b">
        <f>IF(ISBLANK($A18), FALSE, VLOOKUP($A18, Candidates!$B$2:$P$1447, 12, FALSE))</f>
        <v>0</v>
      </c>
      <c r="G18" s="20" t="b">
        <f>IF(ISBLANK($A18), FALSE, VLOOKUP($A18, Candidates!$B$2:$P$1447, 13, FALSE))</f>
        <v>0</v>
      </c>
      <c r="H18" s="35" t="b">
        <f t="shared" si="1"/>
        <v>0</v>
      </c>
      <c r="I18" s="29" t="b">
        <f>VLOOKUP($A18, 'Overlap 2'!$B$2:$P$76, 8, FALSE)</f>
        <v>0</v>
      </c>
      <c r="J18" s="29" t="b">
        <f>VLOOKUP($A18, 'Overlap 2'!$B$2:$P$76, 9, FALSE)</f>
        <v>0</v>
      </c>
      <c r="K18" s="29" t="b">
        <f>VLOOKUP($A18, 'Overlap 2'!$B$2:$P$76, 10, FALSE)</f>
        <v>0</v>
      </c>
      <c r="L18" s="29" t="b">
        <f>VLOOKUP($A18, 'Overlap 2'!$B$2:$P$76, 11, FALSE)</f>
        <v>0</v>
      </c>
      <c r="M18" s="29" t="b">
        <f>VLOOKUP($A18, 'Overlap 2'!$B$2:$P$76, 12, FALSE)</f>
        <v>0</v>
      </c>
      <c r="N18" s="29" t="b">
        <f>VLOOKUP($A18, 'Overlap 2'!$B$2:$P$76, 13, FALSE)</f>
        <v>0</v>
      </c>
      <c r="O18" s="36" t="b">
        <f t="shared" si="2"/>
        <v>0</v>
      </c>
      <c r="P18" s="35" t="b">
        <f t="shared" si="3"/>
        <v>1</v>
      </c>
      <c r="Q18" s="7"/>
    </row>
    <row r="19">
      <c r="A19" s="34" t="str">
        <f>IFERROR(__xludf.DUMMYFUNCTION("""COMPUTED_VALUE"""),"E284")</f>
        <v>E284</v>
      </c>
      <c r="B19" s="20" t="b">
        <f>IF(ISBLANK($A19), FALSE, VLOOKUP($A19, Candidates!$B$2:$P$1447, 8, FALSE))</f>
        <v>0</v>
      </c>
      <c r="C19" s="20" t="b">
        <f>IF(ISBLANK($A19), FALSE, VLOOKUP($A19, Candidates!$B$2:$P$1447, 9, FALSE))</f>
        <v>0</v>
      </c>
      <c r="D19" s="20" t="b">
        <f>IF(ISBLANK($A19), FALSE, VLOOKUP($A19, Candidates!$B$2:$P$1447, 10, FALSE))</f>
        <v>0</v>
      </c>
      <c r="E19" s="20" t="b">
        <f>IF(ISBLANK($A19), FALSE, VLOOKUP($A19, Candidates!$B$2:$P$1447, 11, FALSE))</f>
        <v>0</v>
      </c>
      <c r="F19" s="20" t="b">
        <f>IF(ISBLANK($A19), FALSE, VLOOKUP($A19, Candidates!$B$2:$P$1447, 12, FALSE))</f>
        <v>0</v>
      </c>
      <c r="G19" s="20" t="b">
        <f>IF(ISBLANK($A19), FALSE, VLOOKUP($A19, Candidates!$B$2:$P$1447, 13, FALSE))</f>
        <v>0</v>
      </c>
      <c r="H19" s="35" t="b">
        <f t="shared" si="1"/>
        <v>0</v>
      </c>
      <c r="I19" s="29" t="b">
        <f>VLOOKUP($A19, 'Overlap 2'!$B$2:$P$76, 8, FALSE)</f>
        <v>0</v>
      </c>
      <c r="J19" s="29" t="b">
        <f>VLOOKUP($A19, 'Overlap 2'!$B$2:$P$76, 9, FALSE)</f>
        <v>0</v>
      </c>
      <c r="K19" s="29" t="b">
        <f>VLOOKUP($A19, 'Overlap 2'!$B$2:$P$76, 10, FALSE)</f>
        <v>0</v>
      </c>
      <c r="L19" s="29" t="b">
        <f>VLOOKUP($A19, 'Overlap 2'!$B$2:$P$76, 11, FALSE)</f>
        <v>0</v>
      </c>
      <c r="M19" s="29" t="b">
        <f>VLOOKUP($A19, 'Overlap 2'!$B$2:$P$76, 12, FALSE)</f>
        <v>0</v>
      </c>
      <c r="N19" s="29" t="b">
        <f>VLOOKUP($A19, 'Overlap 2'!$B$2:$P$76, 13, FALSE)</f>
        <v>0</v>
      </c>
      <c r="O19" s="36" t="b">
        <f t="shared" si="2"/>
        <v>0</v>
      </c>
      <c r="P19" s="35" t="b">
        <f t="shared" si="3"/>
        <v>1</v>
      </c>
      <c r="Q19" s="13"/>
    </row>
    <row r="20">
      <c r="A20" s="34" t="str">
        <f>IFERROR(__xludf.DUMMYFUNCTION("""COMPUTED_VALUE"""),"E302")</f>
        <v>E302</v>
      </c>
      <c r="B20" s="20" t="b">
        <f>IF(ISBLANK($A20), FALSE, VLOOKUP($A20, Candidates!$B$2:$P$1447, 8, FALSE))</f>
        <v>0</v>
      </c>
      <c r="C20" s="20" t="b">
        <f>IF(ISBLANK($A20), FALSE, VLOOKUP($A20, Candidates!$B$2:$P$1447, 9, FALSE))</f>
        <v>0</v>
      </c>
      <c r="D20" s="20" t="b">
        <f>IF(ISBLANK($A20), FALSE, VLOOKUP($A20, Candidates!$B$2:$P$1447, 10, FALSE))</f>
        <v>0</v>
      </c>
      <c r="E20" s="20" t="b">
        <f>IF(ISBLANK($A20), FALSE, VLOOKUP($A20, Candidates!$B$2:$P$1447, 11, FALSE))</f>
        <v>0</v>
      </c>
      <c r="F20" s="20" t="b">
        <f>IF(ISBLANK($A20), FALSE, VLOOKUP($A20, Candidates!$B$2:$P$1447, 12, FALSE))</f>
        <v>0</v>
      </c>
      <c r="G20" s="20" t="b">
        <f>IF(ISBLANK($A20), FALSE, VLOOKUP($A20, Candidates!$B$2:$P$1447, 13, FALSE))</f>
        <v>0</v>
      </c>
      <c r="H20" s="35" t="b">
        <f t="shared" si="1"/>
        <v>0</v>
      </c>
      <c r="I20" s="29" t="b">
        <f>VLOOKUP($A20, 'Overlap 2'!$B$2:$P$76, 8, FALSE)</f>
        <v>0</v>
      </c>
      <c r="J20" s="29" t="b">
        <f>VLOOKUP($A20, 'Overlap 2'!$B$2:$P$76, 9, FALSE)</f>
        <v>0</v>
      </c>
      <c r="K20" s="29" t="b">
        <f>VLOOKUP($A20, 'Overlap 2'!$B$2:$P$76, 10, FALSE)</f>
        <v>0</v>
      </c>
      <c r="L20" s="29" t="b">
        <f>VLOOKUP($A20, 'Overlap 2'!$B$2:$P$76, 11, FALSE)</f>
        <v>0</v>
      </c>
      <c r="M20" s="29" t="b">
        <f>VLOOKUP($A20, 'Overlap 2'!$B$2:$P$76, 12, FALSE)</f>
        <v>0</v>
      </c>
      <c r="N20" s="29" t="b">
        <f>VLOOKUP($A20, 'Overlap 2'!$B$2:$P$76, 13, FALSE)</f>
        <v>0</v>
      </c>
      <c r="O20" s="36" t="b">
        <f t="shared" si="2"/>
        <v>0</v>
      </c>
      <c r="P20" s="35" t="b">
        <f t="shared" si="3"/>
        <v>1</v>
      </c>
      <c r="Q20" s="7"/>
    </row>
    <row r="21">
      <c r="A21" s="34" t="str">
        <f>IFERROR(__xludf.DUMMYFUNCTION("""COMPUTED_VALUE"""),"E307")</f>
        <v>E307</v>
      </c>
      <c r="B21" s="20" t="b">
        <f>IF(ISBLANK($A21), FALSE, VLOOKUP($A21, Candidates!$B$2:$P$1447, 8, FALSE))</f>
        <v>0</v>
      </c>
      <c r="C21" s="20" t="b">
        <f>IF(ISBLANK($A21), FALSE, VLOOKUP($A21, Candidates!$B$2:$P$1447, 9, FALSE))</f>
        <v>0</v>
      </c>
      <c r="D21" s="20" t="b">
        <f>IF(ISBLANK($A21), FALSE, VLOOKUP($A21, Candidates!$B$2:$P$1447, 10, FALSE))</f>
        <v>0</v>
      </c>
      <c r="E21" s="20" t="b">
        <f>IF(ISBLANK($A21), FALSE, VLOOKUP($A21, Candidates!$B$2:$P$1447, 11, FALSE))</f>
        <v>0</v>
      </c>
      <c r="F21" s="20" t="b">
        <f>IF(ISBLANK($A21), FALSE, VLOOKUP($A21, Candidates!$B$2:$P$1447, 12, FALSE))</f>
        <v>0</v>
      </c>
      <c r="G21" s="20" t="b">
        <f>IF(ISBLANK($A21), FALSE, VLOOKUP($A21, Candidates!$B$2:$P$1447, 13, FALSE))</f>
        <v>0</v>
      </c>
      <c r="H21" s="35" t="b">
        <f t="shared" si="1"/>
        <v>0</v>
      </c>
      <c r="I21" s="29" t="b">
        <f>VLOOKUP($A21, 'Overlap 2'!$B$2:$P$76, 8, FALSE)</f>
        <v>0</v>
      </c>
      <c r="J21" s="29" t="b">
        <f>VLOOKUP($A21, 'Overlap 2'!$B$2:$P$76, 9, FALSE)</f>
        <v>0</v>
      </c>
      <c r="K21" s="29" t="b">
        <f>VLOOKUP($A21, 'Overlap 2'!$B$2:$P$76, 10, FALSE)</f>
        <v>0</v>
      </c>
      <c r="L21" s="29" t="b">
        <f>VLOOKUP($A21, 'Overlap 2'!$B$2:$P$76, 11, FALSE)</f>
        <v>0</v>
      </c>
      <c r="M21" s="29" t="b">
        <f>VLOOKUP($A21, 'Overlap 2'!$B$2:$P$76, 12, FALSE)</f>
        <v>0</v>
      </c>
      <c r="N21" s="29" t="b">
        <f>VLOOKUP($A21, 'Overlap 2'!$B$2:$P$76, 13, FALSE)</f>
        <v>0</v>
      </c>
      <c r="O21" s="36" t="b">
        <f t="shared" si="2"/>
        <v>0</v>
      </c>
      <c r="P21" s="35" t="b">
        <f t="shared" si="3"/>
        <v>1</v>
      </c>
      <c r="Q21" s="7"/>
    </row>
    <row r="22">
      <c r="A22" s="34" t="str">
        <f>IFERROR(__xludf.DUMMYFUNCTION("""COMPUTED_VALUE"""),"E322")</f>
        <v>E322</v>
      </c>
      <c r="B22" s="20" t="b">
        <f>IF(ISBLANK($A22), FALSE, VLOOKUP($A22, Candidates!$B$2:$P$1447, 8, FALSE))</f>
        <v>0</v>
      </c>
      <c r="C22" s="20" t="b">
        <f>IF(ISBLANK($A22), FALSE, VLOOKUP($A22, Candidates!$B$2:$P$1447, 9, FALSE))</f>
        <v>0</v>
      </c>
      <c r="D22" s="20" t="b">
        <f>IF(ISBLANK($A22), FALSE, VLOOKUP($A22, Candidates!$B$2:$P$1447, 10, FALSE))</f>
        <v>0</v>
      </c>
      <c r="E22" s="20" t="b">
        <f>IF(ISBLANK($A22), FALSE, VLOOKUP($A22, Candidates!$B$2:$P$1447, 11, FALSE))</f>
        <v>0</v>
      </c>
      <c r="F22" s="20" t="b">
        <f>IF(ISBLANK($A22), FALSE, VLOOKUP($A22, Candidates!$B$2:$P$1447, 12, FALSE))</f>
        <v>0</v>
      </c>
      <c r="G22" s="20" t="b">
        <f>IF(ISBLANK($A22), FALSE, VLOOKUP($A22, Candidates!$B$2:$P$1447, 13, FALSE))</f>
        <v>0</v>
      </c>
      <c r="H22" s="35" t="b">
        <f t="shared" si="1"/>
        <v>0</v>
      </c>
      <c r="I22" s="29" t="b">
        <f>VLOOKUP($A22, 'Overlap 2'!$B$2:$P$76, 8, FALSE)</f>
        <v>0</v>
      </c>
      <c r="J22" s="29" t="b">
        <f>VLOOKUP($A22, 'Overlap 2'!$B$2:$P$76, 9, FALSE)</f>
        <v>0</v>
      </c>
      <c r="K22" s="29" t="b">
        <f>VLOOKUP($A22, 'Overlap 2'!$B$2:$P$76, 10, FALSE)</f>
        <v>0</v>
      </c>
      <c r="L22" s="29" t="b">
        <f>VLOOKUP($A22, 'Overlap 2'!$B$2:$P$76, 11, FALSE)</f>
        <v>0</v>
      </c>
      <c r="M22" s="29" t="b">
        <f>VLOOKUP($A22, 'Overlap 2'!$B$2:$P$76, 12, FALSE)</f>
        <v>0</v>
      </c>
      <c r="N22" s="29" t="b">
        <f>VLOOKUP($A22, 'Overlap 2'!$B$2:$P$76, 13, FALSE)</f>
        <v>0</v>
      </c>
      <c r="O22" s="36" t="b">
        <f t="shared" si="2"/>
        <v>0</v>
      </c>
      <c r="P22" s="35" t="b">
        <f t="shared" si="3"/>
        <v>1</v>
      </c>
      <c r="Q22" s="7"/>
    </row>
    <row r="23">
      <c r="A23" s="34" t="str">
        <f>IFERROR(__xludf.DUMMYFUNCTION("""COMPUTED_VALUE"""),"E328")</f>
        <v>E328</v>
      </c>
      <c r="B23" s="20" t="b">
        <f>IF(ISBLANK($A23), FALSE, VLOOKUP($A23, Candidates!$B$2:$P$1447, 8, FALSE))</f>
        <v>0</v>
      </c>
      <c r="C23" s="20" t="b">
        <f>IF(ISBLANK($A23), FALSE, VLOOKUP($A23, Candidates!$B$2:$P$1447, 9, FALSE))</f>
        <v>0</v>
      </c>
      <c r="D23" s="20" t="b">
        <f>IF(ISBLANK($A23), FALSE, VLOOKUP($A23, Candidates!$B$2:$P$1447, 10, FALSE))</f>
        <v>0</v>
      </c>
      <c r="E23" s="20" t="b">
        <f>IF(ISBLANK($A23), FALSE, VLOOKUP($A23, Candidates!$B$2:$P$1447, 11, FALSE))</f>
        <v>0</v>
      </c>
      <c r="F23" s="20" t="b">
        <f>IF(ISBLANK($A23), FALSE, VLOOKUP($A23, Candidates!$B$2:$P$1447, 12, FALSE))</f>
        <v>0</v>
      </c>
      <c r="G23" s="20" t="b">
        <f>IF(ISBLANK($A23), FALSE, VLOOKUP($A23, Candidates!$B$2:$P$1447, 13, FALSE))</f>
        <v>0</v>
      </c>
      <c r="H23" s="35" t="b">
        <f t="shared" si="1"/>
        <v>0</v>
      </c>
      <c r="I23" s="29" t="b">
        <f>VLOOKUP($A23, 'Overlap 2'!$B$2:$P$76, 8, FALSE)</f>
        <v>0</v>
      </c>
      <c r="J23" s="29" t="b">
        <f>VLOOKUP($A23, 'Overlap 2'!$B$2:$P$76, 9, FALSE)</f>
        <v>0</v>
      </c>
      <c r="K23" s="29" t="b">
        <f>VLOOKUP($A23, 'Overlap 2'!$B$2:$P$76, 10, FALSE)</f>
        <v>0</v>
      </c>
      <c r="L23" s="29" t="b">
        <f>VLOOKUP($A23, 'Overlap 2'!$B$2:$P$76, 11, FALSE)</f>
        <v>0</v>
      </c>
      <c r="M23" s="29" t="b">
        <f>VLOOKUP($A23, 'Overlap 2'!$B$2:$P$76, 12, FALSE)</f>
        <v>0</v>
      </c>
      <c r="N23" s="29" t="b">
        <f>VLOOKUP($A23, 'Overlap 2'!$B$2:$P$76, 13, FALSE)</f>
        <v>0</v>
      </c>
      <c r="O23" s="36" t="b">
        <f t="shared" si="2"/>
        <v>0</v>
      </c>
      <c r="P23" s="35" t="b">
        <f t="shared" si="3"/>
        <v>1</v>
      </c>
      <c r="Q23" s="7"/>
    </row>
    <row r="24">
      <c r="A24" s="34" t="str">
        <f>IFERROR(__xludf.DUMMYFUNCTION("""COMPUTED_VALUE"""),"E337")</f>
        <v>E337</v>
      </c>
      <c r="B24" s="20" t="b">
        <f>IF(ISBLANK($A24), FALSE, VLOOKUP($A24, Candidates!$B$2:$P$1447, 8, FALSE))</f>
        <v>0</v>
      </c>
      <c r="C24" s="20" t="b">
        <f>IF(ISBLANK($A24), FALSE, VLOOKUP($A24, Candidates!$B$2:$P$1447, 9, FALSE))</f>
        <v>0</v>
      </c>
      <c r="D24" s="20" t="b">
        <f>IF(ISBLANK($A24), FALSE, VLOOKUP($A24, Candidates!$B$2:$P$1447, 10, FALSE))</f>
        <v>0</v>
      </c>
      <c r="E24" s="20" t="b">
        <f>IF(ISBLANK($A24), FALSE, VLOOKUP($A24, Candidates!$B$2:$P$1447, 11, FALSE))</f>
        <v>0</v>
      </c>
      <c r="F24" s="20" t="b">
        <f>IF(ISBLANK($A24), FALSE, VLOOKUP($A24, Candidates!$B$2:$P$1447, 12, FALSE))</f>
        <v>0</v>
      </c>
      <c r="G24" s="20" t="b">
        <f>IF(ISBLANK($A24), FALSE, VLOOKUP($A24, Candidates!$B$2:$P$1447, 13, FALSE))</f>
        <v>0</v>
      </c>
      <c r="H24" s="35" t="b">
        <f t="shared" si="1"/>
        <v>0</v>
      </c>
      <c r="I24" s="29" t="b">
        <f>VLOOKUP($A24, 'Overlap 2'!$B$2:$P$76, 8, FALSE)</f>
        <v>0</v>
      </c>
      <c r="J24" s="29" t="b">
        <f>VLOOKUP($A24, 'Overlap 2'!$B$2:$P$76, 9, FALSE)</f>
        <v>0</v>
      </c>
      <c r="K24" s="29" t="b">
        <f>VLOOKUP($A24, 'Overlap 2'!$B$2:$P$76, 10, FALSE)</f>
        <v>0</v>
      </c>
      <c r="L24" s="29" t="b">
        <f>VLOOKUP($A24, 'Overlap 2'!$B$2:$P$76, 11, FALSE)</f>
        <v>0</v>
      </c>
      <c r="M24" s="29" t="b">
        <f>VLOOKUP($A24, 'Overlap 2'!$B$2:$P$76, 12, FALSE)</f>
        <v>0</v>
      </c>
      <c r="N24" s="29" t="b">
        <f>VLOOKUP($A24, 'Overlap 2'!$B$2:$P$76, 13, FALSE)</f>
        <v>0</v>
      </c>
      <c r="O24" s="36" t="b">
        <f t="shared" si="2"/>
        <v>0</v>
      </c>
      <c r="P24" s="35" t="b">
        <f t="shared" si="3"/>
        <v>1</v>
      </c>
      <c r="Q24" s="7"/>
    </row>
    <row r="25">
      <c r="A25" s="34" t="str">
        <f>IFERROR(__xludf.DUMMYFUNCTION("""COMPUTED_VALUE"""),"E375")</f>
        <v>E375</v>
      </c>
      <c r="B25" s="20" t="b">
        <f>IF(ISBLANK($A25), FALSE, VLOOKUP($A25, Candidates!$B$2:$P$1447, 8, FALSE))</f>
        <v>0</v>
      </c>
      <c r="C25" s="20" t="b">
        <f>IF(ISBLANK($A25), FALSE, VLOOKUP($A25, Candidates!$B$2:$P$1447, 9, FALSE))</f>
        <v>0</v>
      </c>
      <c r="D25" s="20" t="b">
        <f>IF(ISBLANK($A25), FALSE, VLOOKUP($A25, Candidates!$B$2:$P$1447, 10, FALSE))</f>
        <v>0</v>
      </c>
      <c r="E25" s="20" t="b">
        <f>IF(ISBLANK($A25), FALSE, VLOOKUP($A25, Candidates!$B$2:$P$1447, 11, FALSE))</f>
        <v>0</v>
      </c>
      <c r="F25" s="20" t="b">
        <f>IF(ISBLANK($A25), FALSE, VLOOKUP($A25, Candidates!$B$2:$P$1447, 12, FALSE))</f>
        <v>0</v>
      </c>
      <c r="G25" s="20" t="b">
        <f>IF(ISBLANK($A25), FALSE, VLOOKUP($A25, Candidates!$B$2:$P$1447, 13, FALSE))</f>
        <v>0</v>
      </c>
      <c r="H25" s="35" t="b">
        <f t="shared" si="1"/>
        <v>0</v>
      </c>
      <c r="I25" s="29" t="b">
        <f>VLOOKUP($A25, 'Overlap 2'!$B$2:$P$76, 8, FALSE)</f>
        <v>0</v>
      </c>
      <c r="J25" s="29" t="b">
        <f>VLOOKUP($A25, 'Overlap 2'!$B$2:$P$76, 9, FALSE)</f>
        <v>0</v>
      </c>
      <c r="K25" s="29" t="b">
        <f>VLOOKUP($A25, 'Overlap 2'!$B$2:$P$76, 10, FALSE)</f>
        <v>0</v>
      </c>
      <c r="L25" s="29" t="b">
        <f>VLOOKUP($A25, 'Overlap 2'!$B$2:$P$76, 11, FALSE)</f>
        <v>0</v>
      </c>
      <c r="M25" s="29" t="b">
        <f>VLOOKUP($A25, 'Overlap 2'!$B$2:$P$76, 12, FALSE)</f>
        <v>0</v>
      </c>
      <c r="N25" s="29" t="b">
        <f>VLOOKUP($A25, 'Overlap 2'!$B$2:$P$76, 13, FALSE)</f>
        <v>0</v>
      </c>
      <c r="O25" s="36" t="b">
        <f t="shared" si="2"/>
        <v>0</v>
      </c>
      <c r="P25" s="35" t="b">
        <f t="shared" si="3"/>
        <v>1</v>
      </c>
      <c r="Q25" s="7"/>
    </row>
    <row r="26">
      <c r="A26" s="34" t="str">
        <f>IFERROR(__xludf.DUMMYFUNCTION("""COMPUTED_VALUE"""),"E395")</f>
        <v>E395</v>
      </c>
      <c r="B26" s="20" t="b">
        <f>IF(ISBLANK($A26), FALSE, VLOOKUP($A26, Candidates!$B$2:$P$1447, 8, FALSE))</f>
        <v>0</v>
      </c>
      <c r="C26" s="20" t="b">
        <f>IF(ISBLANK($A26), FALSE, VLOOKUP($A26, Candidates!$B$2:$P$1447, 9, FALSE))</f>
        <v>0</v>
      </c>
      <c r="D26" s="20" t="b">
        <f>IF(ISBLANK($A26), FALSE, VLOOKUP($A26, Candidates!$B$2:$P$1447, 10, FALSE))</f>
        <v>0</v>
      </c>
      <c r="E26" s="20" t="b">
        <f>IF(ISBLANK($A26), FALSE, VLOOKUP($A26, Candidates!$B$2:$P$1447, 11, FALSE))</f>
        <v>0</v>
      </c>
      <c r="F26" s="20" t="b">
        <f>IF(ISBLANK($A26), FALSE, VLOOKUP($A26, Candidates!$B$2:$P$1447, 12, FALSE))</f>
        <v>0</v>
      </c>
      <c r="G26" s="20" t="b">
        <f>IF(ISBLANK($A26), FALSE, VLOOKUP($A26, Candidates!$B$2:$P$1447, 13, FALSE))</f>
        <v>0</v>
      </c>
      <c r="H26" s="35" t="b">
        <f t="shared" si="1"/>
        <v>0</v>
      </c>
      <c r="I26" s="29" t="b">
        <f>VLOOKUP($A26, 'Overlap 2'!$B$2:$P$76, 8, FALSE)</f>
        <v>0</v>
      </c>
      <c r="J26" s="29" t="b">
        <f>VLOOKUP($A26, 'Overlap 2'!$B$2:$P$76, 9, FALSE)</f>
        <v>0</v>
      </c>
      <c r="K26" s="29" t="b">
        <f>VLOOKUP($A26, 'Overlap 2'!$B$2:$P$76, 10, FALSE)</f>
        <v>0</v>
      </c>
      <c r="L26" s="29" t="b">
        <f>VLOOKUP($A26, 'Overlap 2'!$B$2:$P$76, 11, FALSE)</f>
        <v>0</v>
      </c>
      <c r="M26" s="29" t="b">
        <f>VLOOKUP($A26, 'Overlap 2'!$B$2:$P$76, 12, FALSE)</f>
        <v>0</v>
      </c>
      <c r="N26" s="29" t="b">
        <f>VLOOKUP($A26, 'Overlap 2'!$B$2:$P$76, 13, FALSE)</f>
        <v>0</v>
      </c>
      <c r="O26" s="36" t="b">
        <f t="shared" si="2"/>
        <v>0</v>
      </c>
      <c r="P26" s="35" t="b">
        <f t="shared" si="3"/>
        <v>1</v>
      </c>
      <c r="Q26" s="7"/>
    </row>
    <row r="27">
      <c r="A27" s="34" t="str">
        <f>IFERROR(__xludf.DUMMYFUNCTION("""COMPUTED_VALUE"""),"E407")</f>
        <v>E407</v>
      </c>
      <c r="B27" s="20" t="b">
        <f>IF(ISBLANK($A27), FALSE, VLOOKUP($A27, Candidates!$B$2:$P$1447, 8, FALSE))</f>
        <v>0</v>
      </c>
      <c r="C27" s="20" t="b">
        <f>IF(ISBLANK($A27), FALSE, VLOOKUP($A27, Candidates!$B$2:$P$1447, 9, FALSE))</f>
        <v>0</v>
      </c>
      <c r="D27" s="20" t="b">
        <f>IF(ISBLANK($A27), FALSE, VLOOKUP($A27, Candidates!$B$2:$P$1447, 10, FALSE))</f>
        <v>0</v>
      </c>
      <c r="E27" s="20" t="b">
        <f>IF(ISBLANK($A27), FALSE, VLOOKUP($A27, Candidates!$B$2:$P$1447, 11, FALSE))</f>
        <v>0</v>
      </c>
      <c r="F27" s="20" t="b">
        <f>IF(ISBLANK($A27), FALSE, VLOOKUP($A27, Candidates!$B$2:$P$1447, 12, FALSE))</f>
        <v>0</v>
      </c>
      <c r="G27" s="20" t="b">
        <f>IF(ISBLANK($A27), FALSE, VLOOKUP($A27, Candidates!$B$2:$P$1447, 13, FALSE))</f>
        <v>0</v>
      </c>
      <c r="H27" s="35" t="b">
        <f t="shared" si="1"/>
        <v>0</v>
      </c>
      <c r="I27" s="29" t="b">
        <f>VLOOKUP($A27, 'Overlap 2'!$B$2:$P$76, 8, FALSE)</f>
        <v>0</v>
      </c>
      <c r="J27" s="29" t="b">
        <f>VLOOKUP($A27, 'Overlap 2'!$B$2:$P$76, 9, FALSE)</f>
        <v>0</v>
      </c>
      <c r="K27" s="29" t="b">
        <f>VLOOKUP($A27, 'Overlap 2'!$B$2:$P$76, 10, FALSE)</f>
        <v>0</v>
      </c>
      <c r="L27" s="29" t="b">
        <f>VLOOKUP($A27, 'Overlap 2'!$B$2:$P$76, 11, FALSE)</f>
        <v>0</v>
      </c>
      <c r="M27" s="29" t="b">
        <f>VLOOKUP($A27, 'Overlap 2'!$B$2:$P$76, 12, FALSE)</f>
        <v>0</v>
      </c>
      <c r="N27" s="29" t="b">
        <f>VLOOKUP($A27, 'Overlap 2'!$B$2:$P$76, 13, FALSE)</f>
        <v>0</v>
      </c>
      <c r="O27" s="36" t="b">
        <f t="shared" si="2"/>
        <v>0</v>
      </c>
      <c r="P27" s="35" t="b">
        <f t="shared" si="3"/>
        <v>1</v>
      </c>
      <c r="Q27" s="7"/>
    </row>
    <row r="28">
      <c r="A28" s="34" t="str">
        <f>IFERROR(__xludf.DUMMYFUNCTION("""COMPUTED_VALUE"""),"E415")</f>
        <v>E415</v>
      </c>
      <c r="B28" s="20" t="b">
        <f>IF(ISBLANK($A28), FALSE, VLOOKUP($A28, Candidates!$B$2:$P$1447, 8, FALSE))</f>
        <v>1</v>
      </c>
      <c r="C28" s="20" t="b">
        <f>IF(ISBLANK($A28), FALSE, VLOOKUP($A28, Candidates!$B$2:$P$1447, 9, FALSE))</f>
        <v>1</v>
      </c>
      <c r="D28" s="20" t="b">
        <f>IF(ISBLANK($A28), FALSE, VLOOKUP($A28, Candidates!$B$2:$P$1447, 10, FALSE))</f>
        <v>1</v>
      </c>
      <c r="E28" s="20" t="b">
        <f>IF(ISBLANK($A28), FALSE, VLOOKUP($A28, Candidates!$B$2:$P$1447, 11, FALSE))</f>
        <v>0</v>
      </c>
      <c r="F28" s="20" t="b">
        <f>IF(ISBLANK($A28), FALSE, VLOOKUP($A28, Candidates!$B$2:$P$1447, 12, FALSE))</f>
        <v>0</v>
      </c>
      <c r="G28" s="20" t="b">
        <f>IF(ISBLANK($A28), FALSE, VLOOKUP($A28, Candidates!$B$2:$P$1447, 13, FALSE))</f>
        <v>0</v>
      </c>
      <c r="H28" s="35" t="b">
        <f t="shared" si="1"/>
        <v>1</v>
      </c>
      <c r="I28" s="29" t="b">
        <f>VLOOKUP($A28, 'Overlap 2'!$B$2:$P$76, 8, FALSE)</f>
        <v>1</v>
      </c>
      <c r="J28" s="29" t="b">
        <f>VLOOKUP($A28, 'Overlap 2'!$B$2:$P$76, 9, FALSE)</f>
        <v>1</v>
      </c>
      <c r="K28" s="29" t="b">
        <f>VLOOKUP($A28, 'Overlap 2'!$B$2:$P$76, 10, FALSE)</f>
        <v>1</v>
      </c>
      <c r="L28" s="29" t="b">
        <f>VLOOKUP($A28, 'Overlap 2'!$B$2:$P$76, 11, FALSE)</f>
        <v>0</v>
      </c>
      <c r="M28" s="29" t="b">
        <f>VLOOKUP($A28, 'Overlap 2'!$B$2:$P$76, 12, FALSE)</f>
        <v>0</v>
      </c>
      <c r="N28" s="29" t="b">
        <f>VLOOKUP($A28, 'Overlap 2'!$B$2:$P$76, 13, FALSE)</f>
        <v>0</v>
      </c>
      <c r="O28" s="36" t="b">
        <f t="shared" si="2"/>
        <v>1</v>
      </c>
      <c r="P28" s="35" t="b">
        <f t="shared" si="3"/>
        <v>1</v>
      </c>
      <c r="Q28" s="7"/>
    </row>
    <row r="29">
      <c r="A29" s="34" t="str">
        <f>IFERROR(__xludf.DUMMYFUNCTION("""COMPUTED_VALUE"""),"E425")</f>
        <v>E425</v>
      </c>
      <c r="B29" s="20" t="b">
        <f>IF(ISBLANK($A29), FALSE, VLOOKUP($A29, Candidates!$B$2:$P$1447, 8, FALSE))</f>
        <v>0</v>
      </c>
      <c r="C29" s="20" t="b">
        <f>IF(ISBLANK($A29), FALSE, VLOOKUP($A29, Candidates!$B$2:$P$1447, 9, FALSE))</f>
        <v>0</v>
      </c>
      <c r="D29" s="20" t="b">
        <f>IF(ISBLANK($A29), FALSE, VLOOKUP($A29, Candidates!$B$2:$P$1447, 10, FALSE))</f>
        <v>0</v>
      </c>
      <c r="E29" s="20" t="b">
        <f>IF(ISBLANK($A29), FALSE, VLOOKUP($A29, Candidates!$B$2:$P$1447, 11, FALSE))</f>
        <v>0</v>
      </c>
      <c r="F29" s="20" t="b">
        <f>IF(ISBLANK($A29), FALSE, VLOOKUP($A29, Candidates!$B$2:$P$1447, 12, FALSE))</f>
        <v>0</v>
      </c>
      <c r="G29" s="20" t="b">
        <f>IF(ISBLANK($A29), FALSE, VLOOKUP($A29, Candidates!$B$2:$P$1447, 13, FALSE))</f>
        <v>0</v>
      </c>
      <c r="H29" s="35" t="b">
        <f t="shared" si="1"/>
        <v>0</v>
      </c>
      <c r="I29" s="29" t="b">
        <f>VLOOKUP($A29, 'Overlap 2'!$B$2:$P$76, 8, FALSE)</f>
        <v>0</v>
      </c>
      <c r="J29" s="29" t="b">
        <f>VLOOKUP($A29, 'Overlap 2'!$B$2:$P$76, 9, FALSE)</f>
        <v>0</v>
      </c>
      <c r="K29" s="29" t="b">
        <f>VLOOKUP($A29, 'Overlap 2'!$B$2:$P$76, 10, FALSE)</f>
        <v>0</v>
      </c>
      <c r="L29" s="29" t="b">
        <f>VLOOKUP($A29, 'Overlap 2'!$B$2:$P$76, 11, FALSE)</f>
        <v>0</v>
      </c>
      <c r="M29" s="29" t="b">
        <f>VLOOKUP($A29, 'Overlap 2'!$B$2:$P$76, 12, FALSE)</f>
        <v>0</v>
      </c>
      <c r="N29" s="29" t="b">
        <f>VLOOKUP($A29, 'Overlap 2'!$B$2:$P$76, 13, FALSE)</f>
        <v>0</v>
      </c>
      <c r="O29" s="36" t="b">
        <f t="shared" si="2"/>
        <v>0</v>
      </c>
      <c r="P29" s="35" t="b">
        <f t="shared" si="3"/>
        <v>1</v>
      </c>
      <c r="Q29" s="7"/>
    </row>
    <row r="30">
      <c r="A30" s="34" t="str">
        <f>IFERROR(__xludf.DUMMYFUNCTION("""COMPUTED_VALUE"""),"E449")</f>
        <v>E449</v>
      </c>
      <c r="B30" s="20" t="b">
        <f>IF(ISBLANK($A30), FALSE, VLOOKUP($A30, Candidates!$B$2:$P$1447, 8, FALSE))</f>
        <v>0</v>
      </c>
      <c r="C30" s="20" t="b">
        <f>IF(ISBLANK($A30), FALSE, VLOOKUP($A30, Candidates!$B$2:$P$1447, 9, FALSE))</f>
        <v>0</v>
      </c>
      <c r="D30" s="20" t="b">
        <f>IF(ISBLANK($A30), FALSE, VLOOKUP($A30, Candidates!$B$2:$P$1447, 10, FALSE))</f>
        <v>0</v>
      </c>
      <c r="E30" s="20" t="b">
        <f>IF(ISBLANK($A30), FALSE, VLOOKUP($A30, Candidates!$B$2:$P$1447, 11, FALSE))</f>
        <v>0</v>
      </c>
      <c r="F30" s="20" t="b">
        <f>IF(ISBLANK($A30), FALSE, VLOOKUP($A30, Candidates!$B$2:$P$1447, 12, FALSE))</f>
        <v>0</v>
      </c>
      <c r="G30" s="20" t="b">
        <f>IF(ISBLANK($A30), FALSE, VLOOKUP($A30, Candidates!$B$2:$P$1447, 13, FALSE))</f>
        <v>0</v>
      </c>
      <c r="H30" s="35" t="b">
        <f t="shared" si="1"/>
        <v>0</v>
      </c>
      <c r="I30" s="29" t="b">
        <f>VLOOKUP($A30, 'Overlap 2'!$B$2:$P$76, 8, FALSE)</f>
        <v>0</v>
      </c>
      <c r="J30" s="29" t="b">
        <f>VLOOKUP($A30, 'Overlap 2'!$B$2:$P$76, 9, FALSE)</f>
        <v>0</v>
      </c>
      <c r="K30" s="29" t="b">
        <f>VLOOKUP($A30, 'Overlap 2'!$B$2:$P$76, 10, FALSE)</f>
        <v>0</v>
      </c>
      <c r="L30" s="29" t="b">
        <f>VLOOKUP($A30, 'Overlap 2'!$B$2:$P$76, 11, FALSE)</f>
        <v>0</v>
      </c>
      <c r="M30" s="29" t="b">
        <f>VLOOKUP($A30, 'Overlap 2'!$B$2:$P$76, 12, FALSE)</f>
        <v>0</v>
      </c>
      <c r="N30" s="29" t="b">
        <f>VLOOKUP($A30, 'Overlap 2'!$B$2:$P$76, 13, FALSE)</f>
        <v>0</v>
      </c>
      <c r="O30" s="36" t="b">
        <f t="shared" si="2"/>
        <v>0</v>
      </c>
      <c r="P30" s="35" t="b">
        <f t="shared" si="3"/>
        <v>1</v>
      </c>
      <c r="Q30" s="7"/>
    </row>
    <row r="31">
      <c r="A31" s="34" t="str">
        <f>IFERROR(__xludf.DUMMYFUNCTION("""COMPUTED_VALUE"""),"E470")</f>
        <v>E470</v>
      </c>
      <c r="B31" s="20" t="b">
        <f>IF(ISBLANK($A31), FALSE, VLOOKUP($A31, Candidates!$B$2:$P$1447, 8, FALSE))</f>
        <v>0</v>
      </c>
      <c r="C31" s="20" t="b">
        <f>IF(ISBLANK($A31), FALSE, VLOOKUP($A31, Candidates!$B$2:$P$1447, 9, FALSE))</f>
        <v>0</v>
      </c>
      <c r="D31" s="20" t="b">
        <f>IF(ISBLANK($A31), FALSE, VLOOKUP($A31, Candidates!$B$2:$P$1447, 10, FALSE))</f>
        <v>0</v>
      </c>
      <c r="E31" s="20" t="b">
        <f>IF(ISBLANK($A31), FALSE, VLOOKUP($A31, Candidates!$B$2:$P$1447, 11, FALSE))</f>
        <v>0</v>
      </c>
      <c r="F31" s="20" t="b">
        <f>IF(ISBLANK($A31), FALSE, VLOOKUP($A31, Candidates!$B$2:$P$1447, 12, FALSE))</f>
        <v>0</v>
      </c>
      <c r="G31" s="20" t="b">
        <f>IF(ISBLANK($A31), FALSE, VLOOKUP($A31, Candidates!$B$2:$P$1447, 13, FALSE))</f>
        <v>0</v>
      </c>
      <c r="H31" s="35" t="b">
        <f t="shared" si="1"/>
        <v>0</v>
      </c>
      <c r="I31" s="29" t="b">
        <f>VLOOKUP($A31, 'Overlap 2'!$B$2:$P$76, 8, FALSE)</f>
        <v>0</v>
      </c>
      <c r="J31" s="29" t="b">
        <f>VLOOKUP($A31, 'Overlap 2'!$B$2:$P$76, 9, FALSE)</f>
        <v>0</v>
      </c>
      <c r="K31" s="29" t="b">
        <f>VLOOKUP($A31, 'Overlap 2'!$B$2:$P$76, 10, FALSE)</f>
        <v>0</v>
      </c>
      <c r="L31" s="29" t="b">
        <f>VLOOKUP($A31, 'Overlap 2'!$B$2:$P$76, 11, FALSE)</f>
        <v>0</v>
      </c>
      <c r="M31" s="29" t="b">
        <f>VLOOKUP($A31, 'Overlap 2'!$B$2:$P$76, 12, FALSE)</f>
        <v>0</v>
      </c>
      <c r="N31" s="29" t="b">
        <f>VLOOKUP($A31, 'Overlap 2'!$B$2:$P$76, 13, FALSE)</f>
        <v>0</v>
      </c>
      <c r="O31" s="36" t="b">
        <f t="shared" si="2"/>
        <v>0</v>
      </c>
      <c r="P31" s="35" t="b">
        <f t="shared" si="3"/>
        <v>1</v>
      </c>
      <c r="Q31" s="7"/>
    </row>
    <row r="32">
      <c r="A32" s="34" t="str">
        <f>IFERROR(__xludf.DUMMYFUNCTION("""COMPUTED_VALUE"""),"E474")</f>
        <v>E474</v>
      </c>
      <c r="B32" s="20" t="b">
        <f>IF(ISBLANK($A32), FALSE, VLOOKUP($A32, Candidates!$B$2:$P$1447, 8, FALSE))</f>
        <v>0</v>
      </c>
      <c r="C32" s="20" t="b">
        <f>IF(ISBLANK($A32), FALSE, VLOOKUP($A32, Candidates!$B$2:$P$1447, 9, FALSE))</f>
        <v>0</v>
      </c>
      <c r="D32" s="20" t="b">
        <f>IF(ISBLANK($A32), FALSE, VLOOKUP($A32, Candidates!$B$2:$P$1447, 10, FALSE))</f>
        <v>0</v>
      </c>
      <c r="E32" s="20" t="b">
        <f>IF(ISBLANK($A32), FALSE, VLOOKUP($A32, Candidates!$B$2:$P$1447, 11, FALSE))</f>
        <v>0</v>
      </c>
      <c r="F32" s="20" t="b">
        <f>IF(ISBLANK($A32), FALSE, VLOOKUP($A32, Candidates!$B$2:$P$1447, 12, FALSE))</f>
        <v>0</v>
      </c>
      <c r="G32" s="20" t="b">
        <f>IF(ISBLANK($A32), FALSE, VLOOKUP($A32, Candidates!$B$2:$P$1447, 13, FALSE))</f>
        <v>0</v>
      </c>
      <c r="H32" s="35" t="b">
        <f t="shared" si="1"/>
        <v>0</v>
      </c>
      <c r="I32" s="29" t="b">
        <f>VLOOKUP($A32, 'Overlap 2'!$B$2:$P$76, 8, FALSE)</f>
        <v>0</v>
      </c>
      <c r="J32" s="29" t="b">
        <f>VLOOKUP($A32, 'Overlap 2'!$B$2:$P$76, 9, FALSE)</f>
        <v>0</v>
      </c>
      <c r="K32" s="29" t="b">
        <f>VLOOKUP($A32, 'Overlap 2'!$B$2:$P$76, 10, FALSE)</f>
        <v>0</v>
      </c>
      <c r="L32" s="29" t="b">
        <f>VLOOKUP($A32, 'Overlap 2'!$B$2:$P$76, 11, FALSE)</f>
        <v>0</v>
      </c>
      <c r="M32" s="29" t="b">
        <f>VLOOKUP($A32, 'Overlap 2'!$B$2:$P$76, 12, FALSE)</f>
        <v>0</v>
      </c>
      <c r="N32" s="29" t="b">
        <f>VLOOKUP($A32, 'Overlap 2'!$B$2:$P$76, 13, FALSE)</f>
        <v>0</v>
      </c>
      <c r="O32" s="36" t="b">
        <f t="shared" si="2"/>
        <v>0</v>
      </c>
      <c r="P32" s="35" t="b">
        <f t="shared" si="3"/>
        <v>1</v>
      </c>
      <c r="Q32" s="7"/>
    </row>
    <row r="33">
      <c r="A33" s="34" t="str">
        <f>IFERROR(__xludf.DUMMYFUNCTION("""COMPUTED_VALUE"""),"E525")</f>
        <v>E525</v>
      </c>
      <c r="B33" s="20" t="b">
        <f>IF(ISBLANK($A33), FALSE, VLOOKUP($A33, Candidates!$B$2:$P$1447, 8, FALSE))</f>
        <v>1</v>
      </c>
      <c r="C33" s="20" t="b">
        <f>IF(ISBLANK($A33), FALSE, VLOOKUP($A33, Candidates!$B$2:$P$1447, 9, FALSE))</f>
        <v>1</v>
      </c>
      <c r="D33" s="20" t="b">
        <f>IF(ISBLANK($A33), FALSE, VLOOKUP($A33, Candidates!$B$2:$P$1447, 10, FALSE))</f>
        <v>0</v>
      </c>
      <c r="E33" s="20" t="b">
        <f>IF(ISBLANK($A33), FALSE, VLOOKUP($A33, Candidates!$B$2:$P$1447, 11, FALSE))</f>
        <v>0</v>
      </c>
      <c r="F33" s="20" t="b">
        <f>IF(ISBLANK($A33), FALSE, VLOOKUP($A33, Candidates!$B$2:$P$1447, 12, FALSE))</f>
        <v>0</v>
      </c>
      <c r="G33" s="20" t="b">
        <f>IF(ISBLANK($A33), FALSE, VLOOKUP($A33, Candidates!$B$2:$P$1447, 13, FALSE))</f>
        <v>0</v>
      </c>
      <c r="H33" s="35" t="b">
        <f t="shared" si="1"/>
        <v>0</v>
      </c>
      <c r="I33" s="29" t="b">
        <f>VLOOKUP($A33, 'Overlap 2'!$B$2:$P$76, 8, FALSE)</f>
        <v>1</v>
      </c>
      <c r="J33" s="29" t="b">
        <f>VLOOKUP($A33, 'Overlap 2'!$B$2:$P$76, 9, FALSE)</f>
        <v>1</v>
      </c>
      <c r="K33" s="29" t="b">
        <f>VLOOKUP($A33, 'Overlap 2'!$B$2:$P$76, 10, FALSE)</f>
        <v>1</v>
      </c>
      <c r="L33" s="29" t="b">
        <f>VLOOKUP($A33, 'Overlap 2'!$B$2:$P$76, 11, FALSE)</f>
        <v>0</v>
      </c>
      <c r="M33" s="29" t="b">
        <f>VLOOKUP($A33, 'Overlap 2'!$B$2:$P$76, 12, FALSE)</f>
        <v>0</v>
      </c>
      <c r="N33" s="29" t="b">
        <f>VLOOKUP($A33, 'Overlap 2'!$B$2:$P$76, 13, FALSE)</f>
        <v>0</v>
      </c>
      <c r="O33" s="36" t="b">
        <f t="shared" si="2"/>
        <v>1</v>
      </c>
      <c r="P33" s="35" t="b">
        <f t="shared" si="3"/>
        <v>0</v>
      </c>
      <c r="Q33" s="7"/>
    </row>
    <row r="34">
      <c r="A34" s="34" t="str">
        <f>IFERROR(__xludf.DUMMYFUNCTION("""COMPUTED_VALUE"""),"E543")</f>
        <v>E543</v>
      </c>
      <c r="B34" s="20" t="b">
        <f>IF(ISBLANK($A34), FALSE, VLOOKUP($A34, Candidates!$B$2:$P$1447, 8, FALSE))</f>
        <v>0</v>
      </c>
      <c r="C34" s="20" t="b">
        <f>IF(ISBLANK($A34), FALSE, VLOOKUP($A34, Candidates!$B$2:$P$1447, 9, FALSE))</f>
        <v>0</v>
      </c>
      <c r="D34" s="20" t="b">
        <f>IF(ISBLANK($A34), FALSE, VLOOKUP($A34, Candidates!$B$2:$P$1447, 10, FALSE))</f>
        <v>0</v>
      </c>
      <c r="E34" s="20" t="b">
        <f>IF(ISBLANK($A34), FALSE, VLOOKUP($A34, Candidates!$B$2:$P$1447, 11, FALSE))</f>
        <v>0</v>
      </c>
      <c r="F34" s="20" t="b">
        <f>IF(ISBLANK($A34), FALSE, VLOOKUP($A34, Candidates!$B$2:$P$1447, 12, FALSE))</f>
        <v>0</v>
      </c>
      <c r="G34" s="20" t="b">
        <f>IF(ISBLANK($A34), FALSE, VLOOKUP($A34, Candidates!$B$2:$P$1447, 13, FALSE))</f>
        <v>0</v>
      </c>
      <c r="H34" s="35" t="b">
        <f t="shared" si="1"/>
        <v>0</v>
      </c>
      <c r="I34" s="29" t="b">
        <f>VLOOKUP($A34, 'Overlap 2'!$B$2:$P$76, 8, FALSE)</f>
        <v>0</v>
      </c>
      <c r="J34" s="29" t="b">
        <f>VLOOKUP($A34, 'Overlap 2'!$B$2:$P$76, 9, FALSE)</f>
        <v>0</v>
      </c>
      <c r="K34" s="29" t="b">
        <f>VLOOKUP($A34, 'Overlap 2'!$B$2:$P$76, 10, FALSE)</f>
        <v>0</v>
      </c>
      <c r="L34" s="29" t="b">
        <f>VLOOKUP($A34, 'Overlap 2'!$B$2:$P$76, 11, FALSE)</f>
        <v>0</v>
      </c>
      <c r="M34" s="29" t="b">
        <f>VLOOKUP($A34, 'Overlap 2'!$B$2:$P$76, 12, FALSE)</f>
        <v>0</v>
      </c>
      <c r="N34" s="29" t="b">
        <f>VLOOKUP($A34, 'Overlap 2'!$B$2:$P$76, 13, FALSE)</f>
        <v>0</v>
      </c>
      <c r="O34" s="36" t="b">
        <f t="shared" si="2"/>
        <v>0</v>
      </c>
      <c r="P34" s="35" t="b">
        <f t="shared" si="3"/>
        <v>1</v>
      </c>
      <c r="Q34" s="7"/>
    </row>
    <row r="35">
      <c r="A35" s="34" t="str">
        <f>IFERROR(__xludf.DUMMYFUNCTION("""COMPUTED_VALUE"""),"E589")</f>
        <v>E589</v>
      </c>
      <c r="B35" s="20" t="b">
        <f>IF(ISBLANK($A35), FALSE, VLOOKUP($A35, Candidates!$B$2:$P$1447, 8, FALSE))</f>
        <v>0</v>
      </c>
      <c r="C35" s="20" t="b">
        <f>IF(ISBLANK($A35), FALSE, VLOOKUP($A35, Candidates!$B$2:$P$1447, 9, FALSE))</f>
        <v>0</v>
      </c>
      <c r="D35" s="20" t="b">
        <f>IF(ISBLANK($A35), FALSE, VLOOKUP($A35, Candidates!$B$2:$P$1447, 10, FALSE))</f>
        <v>0</v>
      </c>
      <c r="E35" s="20" t="b">
        <f>IF(ISBLANK($A35), FALSE, VLOOKUP($A35, Candidates!$B$2:$P$1447, 11, FALSE))</f>
        <v>0</v>
      </c>
      <c r="F35" s="20" t="b">
        <f>IF(ISBLANK($A35), FALSE, VLOOKUP($A35, Candidates!$B$2:$P$1447, 12, FALSE))</f>
        <v>0</v>
      </c>
      <c r="G35" s="20" t="b">
        <f>IF(ISBLANK($A35), FALSE, VLOOKUP($A35, Candidates!$B$2:$P$1447, 13, FALSE))</f>
        <v>0</v>
      </c>
      <c r="H35" s="35" t="b">
        <f t="shared" si="1"/>
        <v>0</v>
      </c>
      <c r="I35" s="29" t="b">
        <f>VLOOKUP($A35, 'Overlap 2'!$B$2:$P$76, 8, FALSE)</f>
        <v>0</v>
      </c>
      <c r="J35" s="29" t="b">
        <f>VLOOKUP($A35, 'Overlap 2'!$B$2:$P$76, 9, FALSE)</f>
        <v>0</v>
      </c>
      <c r="K35" s="29" t="b">
        <f>VLOOKUP($A35, 'Overlap 2'!$B$2:$P$76, 10, FALSE)</f>
        <v>0</v>
      </c>
      <c r="L35" s="29" t="b">
        <f>VLOOKUP($A35, 'Overlap 2'!$B$2:$P$76, 11, FALSE)</f>
        <v>0</v>
      </c>
      <c r="M35" s="29" t="b">
        <f>VLOOKUP($A35, 'Overlap 2'!$B$2:$P$76, 12, FALSE)</f>
        <v>0</v>
      </c>
      <c r="N35" s="29" t="b">
        <f>VLOOKUP($A35, 'Overlap 2'!$B$2:$P$76, 13, FALSE)</f>
        <v>0</v>
      </c>
      <c r="O35" s="36" t="b">
        <f t="shared" si="2"/>
        <v>0</v>
      </c>
      <c r="P35" s="35" t="b">
        <f t="shared" si="3"/>
        <v>1</v>
      </c>
      <c r="Q35" s="7"/>
    </row>
    <row r="36">
      <c r="A36" s="34" t="str">
        <f>IFERROR(__xludf.DUMMYFUNCTION("""COMPUTED_VALUE"""),"E591")</f>
        <v>E591</v>
      </c>
      <c r="B36" s="20" t="b">
        <f>IF(ISBLANK($A36), FALSE, VLOOKUP($A36, Candidates!$B$2:$P$1447, 8, FALSE))</f>
        <v>1</v>
      </c>
      <c r="C36" s="20" t="b">
        <f>IF(ISBLANK($A36), FALSE, VLOOKUP($A36, Candidates!$B$2:$P$1447, 9, FALSE))</f>
        <v>1</v>
      </c>
      <c r="D36" s="20" t="b">
        <f>IF(ISBLANK($A36), FALSE, VLOOKUP($A36, Candidates!$B$2:$P$1447, 10, FALSE))</f>
        <v>1</v>
      </c>
      <c r="E36" s="20" t="b">
        <f>IF(ISBLANK($A36), FALSE, VLOOKUP($A36, Candidates!$B$2:$P$1447, 11, FALSE))</f>
        <v>0</v>
      </c>
      <c r="F36" s="20" t="b">
        <f>IF(ISBLANK($A36), FALSE, VLOOKUP($A36, Candidates!$B$2:$P$1447, 12, FALSE))</f>
        <v>0</v>
      </c>
      <c r="G36" s="20" t="b">
        <f>IF(ISBLANK($A36), FALSE, VLOOKUP($A36, Candidates!$B$2:$P$1447, 13, FALSE))</f>
        <v>0</v>
      </c>
      <c r="H36" s="35" t="b">
        <f t="shared" si="1"/>
        <v>1</v>
      </c>
      <c r="I36" s="29" t="b">
        <f>VLOOKUP($A36, 'Overlap 2'!$B$2:$P$76, 8, FALSE)</f>
        <v>1</v>
      </c>
      <c r="J36" s="29" t="b">
        <f>VLOOKUP($A36, 'Overlap 2'!$B$2:$P$76, 9, FALSE)</f>
        <v>0</v>
      </c>
      <c r="K36" s="29" t="b">
        <f>VLOOKUP($A36, 'Overlap 2'!$B$2:$P$76, 10, FALSE)</f>
        <v>0</v>
      </c>
      <c r="L36" s="29" t="b">
        <f>VLOOKUP($A36, 'Overlap 2'!$B$2:$P$76, 11, FALSE)</f>
        <v>0</v>
      </c>
      <c r="M36" s="29" t="b">
        <f>VLOOKUP($A36, 'Overlap 2'!$B$2:$P$76, 12, FALSE)</f>
        <v>0</v>
      </c>
      <c r="N36" s="29" t="b">
        <f>VLOOKUP($A36, 'Overlap 2'!$B$2:$P$76, 13, FALSE)</f>
        <v>0</v>
      </c>
      <c r="O36" s="36" t="b">
        <f t="shared" si="2"/>
        <v>0</v>
      </c>
      <c r="P36" s="35" t="b">
        <f t="shared" si="3"/>
        <v>0</v>
      </c>
      <c r="Q36" s="7"/>
    </row>
    <row r="37">
      <c r="A37" s="34" t="str">
        <f>IFERROR(__xludf.DUMMYFUNCTION("""COMPUTED_VALUE"""),"E596")</f>
        <v>E596</v>
      </c>
      <c r="B37" s="20" t="b">
        <f>IF(ISBLANK($A37), FALSE, VLOOKUP($A37, Candidates!$B$2:$P$1447, 8, FALSE))</f>
        <v>0</v>
      </c>
      <c r="C37" s="20" t="b">
        <f>IF(ISBLANK($A37), FALSE, VLOOKUP($A37, Candidates!$B$2:$P$1447, 9, FALSE))</f>
        <v>1</v>
      </c>
      <c r="D37" s="20" t="b">
        <f>IF(ISBLANK($A37), FALSE, VLOOKUP($A37, Candidates!$B$2:$P$1447, 10, FALSE))</f>
        <v>1</v>
      </c>
      <c r="E37" s="20" t="b">
        <f>IF(ISBLANK($A37), FALSE, VLOOKUP($A37, Candidates!$B$2:$P$1447, 11, FALSE))</f>
        <v>0</v>
      </c>
      <c r="F37" s="20" t="b">
        <f>IF(ISBLANK($A37), FALSE, VLOOKUP($A37, Candidates!$B$2:$P$1447, 12, FALSE))</f>
        <v>0</v>
      </c>
      <c r="G37" s="20" t="b">
        <f>IF(ISBLANK($A37), FALSE, VLOOKUP($A37, Candidates!$B$2:$P$1447, 13, FALSE))</f>
        <v>0</v>
      </c>
      <c r="H37" s="35" t="b">
        <f t="shared" si="1"/>
        <v>0</v>
      </c>
      <c r="I37" s="29" t="b">
        <f>VLOOKUP($A37, 'Overlap 2'!$B$2:$P$76, 8, FALSE)</f>
        <v>0</v>
      </c>
      <c r="J37" s="29" t="b">
        <f>VLOOKUP($A37, 'Overlap 2'!$B$2:$P$76, 9, FALSE)</f>
        <v>1</v>
      </c>
      <c r="K37" s="29" t="b">
        <f>VLOOKUP($A37, 'Overlap 2'!$B$2:$P$76, 10, FALSE)</f>
        <v>1</v>
      </c>
      <c r="L37" s="29" t="b">
        <f>VLOOKUP($A37, 'Overlap 2'!$B$2:$P$76, 11, FALSE)</f>
        <v>0</v>
      </c>
      <c r="M37" s="29" t="b">
        <f>VLOOKUP($A37, 'Overlap 2'!$B$2:$P$76, 12, FALSE)</f>
        <v>0</v>
      </c>
      <c r="N37" s="29" t="b">
        <f>VLOOKUP($A37, 'Overlap 2'!$B$2:$P$76, 13, FALSE)</f>
        <v>0</v>
      </c>
      <c r="O37" s="36" t="b">
        <f t="shared" si="2"/>
        <v>0</v>
      </c>
      <c r="P37" s="35" t="b">
        <f t="shared" si="3"/>
        <v>1</v>
      </c>
      <c r="Q37" s="7"/>
    </row>
    <row r="38">
      <c r="A38" s="34" t="str">
        <f>IFERROR(__xludf.DUMMYFUNCTION("""COMPUTED_VALUE"""),"E605")</f>
        <v>E605</v>
      </c>
      <c r="B38" s="20" t="b">
        <f>IF(ISBLANK($A38), FALSE, VLOOKUP($A38, Candidates!$B$2:$P$1447, 8, FALSE))</f>
        <v>0</v>
      </c>
      <c r="C38" s="20" t="b">
        <f>IF(ISBLANK($A38), FALSE, VLOOKUP($A38, Candidates!$B$2:$P$1447, 9, FALSE))</f>
        <v>0</v>
      </c>
      <c r="D38" s="20" t="b">
        <f>IF(ISBLANK($A38), FALSE, VLOOKUP($A38, Candidates!$B$2:$P$1447, 10, FALSE))</f>
        <v>0</v>
      </c>
      <c r="E38" s="20" t="b">
        <f>IF(ISBLANK($A38), FALSE, VLOOKUP($A38, Candidates!$B$2:$P$1447, 11, FALSE))</f>
        <v>0</v>
      </c>
      <c r="F38" s="20" t="b">
        <f>IF(ISBLANK($A38), FALSE, VLOOKUP($A38, Candidates!$B$2:$P$1447, 12, FALSE))</f>
        <v>0</v>
      </c>
      <c r="G38" s="20" t="b">
        <f>IF(ISBLANK($A38), FALSE, VLOOKUP($A38, Candidates!$B$2:$P$1447, 13, FALSE))</f>
        <v>0</v>
      </c>
      <c r="H38" s="35" t="b">
        <f t="shared" si="1"/>
        <v>0</v>
      </c>
      <c r="I38" s="29" t="b">
        <f>VLOOKUP($A38, 'Overlap 2'!$B$2:$P$76, 8, FALSE)</f>
        <v>0</v>
      </c>
      <c r="J38" s="29" t="b">
        <f>VLOOKUP($A38, 'Overlap 2'!$B$2:$P$76, 9, FALSE)</f>
        <v>0</v>
      </c>
      <c r="K38" s="29" t="b">
        <f>VLOOKUP($A38, 'Overlap 2'!$B$2:$P$76, 10, FALSE)</f>
        <v>0</v>
      </c>
      <c r="L38" s="29" t="b">
        <f>VLOOKUP($A38, 'Overlap 2'!$B$2:$P$76, 11, FALSE)</f>
        <v>0</v>
      </c>
      <c r="M38" s="29" t="b">
        <f>VLOOKUP($A38, 'Overlap 2'!$B$2:$P$76, 12, FALSE)</f>
        <v>0</v>
      </c>
      <c r="N38" s="29" t="b">
        <f>VLOOKUP($A38, 'Overlap 2'!$B$2:$P$76, 13, FALSE)</f>
        <v>0</v>
      </c>
      <c r="O38" s="36" t="b">
        <f t="shared" si="2"/>
        <v>0</v>
      </c>
      <c r="P38" s="35" t="b">
        <f t="shared" si="3"/>
        <v>1</v>
      </c>
      <c r="Q38" s="7"/>
    </row>
    <row r="39">
      <c r="A39" s="34" t="str">
        <f>IFERROR(__xludf.DUMMYFUNCTION("""COMPUTED_VALUE"""),"E611")</f>
        <v>E611</v>
      </c>
      <c r="B39" s="20" t="b">
        <f>IF(ISBLANK($A39), FALSE, VLOOKUP($A39, Candidates!$B$2:$P$1447, 8, FALSE))</f>
        <v>1</v>
      </c>
      <c r="C39" s="20" t="b">
        <f>IF(ISBLANK($A39), FALSE, VLOOKUP($A39, Candidates!$B$2:$P$1447, 9, FALSE))</f>
        <v>1</v>
      </c>
      <c r="D39" s="20" t="b">
        <f>IF(ISBLANK($A39), FALSE, VLOOKUP($A39, Candidates!$B$2:$P$1447, 10, FALSE))</f>
        <v>1</v>
      </c>
      <c r="E39" s="20" t="b">
        <f>IF(ISBLANK($A39), FALSE, VLOOKUP($A39, Candidates!$B$2:$P$1447, 11, FALSE))</f>
        <v>0</v>
      </c>
      <c r="F39" s="20" t="b">
        <f>IF(ISBLANK($A39), FALSE, VLOOKUP($A39, Candidates!$B$2:$P$1447, 12, FALSE))</f>
        <v>0</v>
      </c>
      <c r="G39" s="20" t="b">
        <f>IF(ISBLANK($A39), FALSE, VLOOKUP($A39, Candidates!$B$2:$P$1447, 13, FALSE))</f>
        <v>0</v>
      </c>
      <c r="H39" s="35" t="b">
        <f t="shared" si="1"/>
        <v>1</v>
      </c>
      <c r="I39" s="29" t="b">
        <f>VLOOKUP($A39, 'Overlap 2'!$B$2:$P$76, 8, FALSE)</f>
        <v>1</v>
      </c>
      <c r="J39" s="29" t="b">
        <f>VLOOKUP($A39, 'Overlap 2'!$B$2:$P$76, 9, FALSE)</f>
        <v>1</v>
      </c>
      <c r="K39" s="29" t="b">
        <f>VLOOKUP($A39, 'Overlap 2'!$B$2:$P$76, 10, FALSE)</f>
        <v>1</v>
      </c>
      <c r="L39" s="29" t="b">
        <f>VLOOKUP($A39, 'Overlap 2'!$B$2:$P$76, 11, FALSE)</f>
        <v>0</v>
      </c>
      <c r="M39" s="29" t="b">
        <f>VLOOKUP($A39, 'Overlap 2'!$B$2:$P$76, 12, FALSE)</f>
        <v>0</v>
      </c>
      <c r="N39" s="29" t="b">
        <f>VLOOKUP($A39, 'Overlap 2'!$B$2:$P$76, 13, FALSE)</f>
        <v>0</v>
      </c>
      <c r="O39" s="36" t="b">
        <f t="shared" si="2"/>
        <v>1</v>
      </c>
      <c r="P39" s="35" t="b">
        <f t="shared" si="3"/>
        <v>1</v>
      </c>
      <c r="Q39" s="7"/>
    </row>
    <row r="40">
      <c r="A40" s="34" t="str">
        <f>IFERROR(__xludf.DUMMYFUNCTION("""COMPUTED_VALUE"""),"E616")</f>
        <v>E616</v>
      </c>
      <c r="B40" s="20" t="b">
        <f>IF(ISBLANK($A40), FALSE, VLOOKUP($A40, Candidates!$B$2:$P$1447, 8, FALSE))</f>
        <v>0</v>
      </c>
      <c r="C40" s="20" t="b">
        <f>IF(ISBLANK($A40), FALSE, VLOOKUP($A40, Candidates!$B$2:$P$1447, 9, FALSE))</f>
        <v>0</v>
      </c>
      <c r="D40" s="20" t="b">
        <f>IF(ISBLANK($A40), FALSE, VLOOKUP($A40, Candidates!$B$2:$P$1447, 10, FALSE))</f>
        <v>0</v>
      </c>
      <c r="E40" s="20" t="b">
        <f>IF(ISBLANK($A40), FALSE, VLOOKUP($A40, Candidates!$B$2:$P$1447, 11, FALSE))</f>
        <v>0</v>
      </c>
      <c r="F40" s="20" t="b">
        <f>IF(ISBLANK($A40), FALSE, VLOOKUP($A40, Candidates!$B$2:$P$1447, 12, FALSE))</f>
        <v>0</v>
      </c>
      <c r="G40" s="20" t="b">
        <f>IF(ISBLANK($A40), FALSE, VLOOKUP($A40, Candidates!$B$2:$P$1447, 13, FALSE))</f>
        <v>0</v>
      </c>
      <c r="H40" s="35" t="b">
        <f t="shared" si="1"/>
        <v>0</v>
      </c>
      <c r="I40" s="29" t="b">
        <f>VLOOKUP($A40, 'Overlap 2'!$B$2:$P$76, 8, FALSE)</f>
        <v>0</v>
      </c>
      <c r="J40" s="29" t="b">
        <f>VLOOKUP($A40, 'Overlap 2'!$B$2:$P$76, 9, FALSE)</f>
        <v>0</v>
      </c>
      <c r="K40" s="29" t="b">
        <f>VLOOKUP($A40, 'Overlap 2'!$B$2:$P$76, 10, FALSE)</f>
        <v>0</v>
      </c>
      <c r="L40" s="29" t="b">
        <f>VLOOKUP($A40, 'Overlap 2'!$B$2:$P$76, 11, FALSE)</f>
        <v>0</v>
      </c>
      <c r="M40" s="29" t="b">
        <f>VLOOKUP($A40, 'Overlap 2'!$B$2:$P$76, 12, FALSE)</f>
        <v>0</v>
      </c>
      <c r="N40" s="29" t="b">
        <f>VLOOKUP($A40, 'Overlap 2'!$B$2:$P$76, 13, FALSE)</f>
        <v>0</v>
      </c>
      <c r="O40" s="36" t="b">
        <f t="shared" si="2"/>
        <v>0</v>
      </c>
      <c r="P40" s="35" t="b">
        <f t="shared" si="3"/>
        <v>1</v>
      </c>
      <c r="Q40" s="7"/>
    </row>
    <row r="41">
      <c r="A41" s="34" t="str">
        <f>IFERROR(__xludf.DUMMYFUNCTION("""COMPUTED_VALUE"""),"E630")</f>
        <v>E630</v>
      </c>
      <c r="B41" s="20" t="b">
        <f>IF(ISBLANK($A41), FALSE, VLOOKUP($A41, Candidates!$B$2:$P$1447, 8, FALSE))</f>
        <v>0</v>
      </c>
      <c r="C41" s="20" t="b">
        <f>IF(ISBLANK($A41), FALSE, VLOOKUP($A41, Candidates!$B$2:$P$1447, 9, FALSE))</f>
        <v>0</v>
      </c>
      <c r="D41" s="20" t="b">
        <f>IF(ISBLANK($A41), FALSE, VLOOKUP($A41, Candidates!$B$2:$P$1447, 10, FALSE))</f>
        <v>0</v>
      </c>
      <c r="E41" s="20" t="b">
        <f>IF(ISBLANK($A41), FALSE, VLOOKUP($A41, Candidates!$B$2:$P$1447, 11, FALSE))</f>
        <v>0</v>
      </c>
      <c r="F41" s="20" t="b">
        <f>IF(ISBLANK($A41), FALSE, VLOOKUP($A41, Candidates!$B$2:$P$1447, 12, FALSE))</f>
        <v>0</v>
      </c>
      <c r="G41" s="20" t="b">
        <f>IF(ISBLANK($A41), FALSE, VLOOKUP($A41, Candidates!$B$2:$P$1447, 13, FALSE))</f>
        <v>0</v>
      </c>
      <c r="H41" s="35" t="b">
        <f t="shared" si="1"/>
        <v>0</v>
      </c>
      <c r="I41" s="29" t="b">
        <f>VLOOKUP($A41, 'Overlap 2'!$B$2:$P$76, 8, FALSE)</f>
        <v>0</v>
      </c>
      <c r="J41" s="29" t="b">
        <f>VLOOKUP($A41, 'Overlap 2'!$B$2:$P$76, 9, FALSE)</f>
        <v>0</v>
      </c>
      <c r="K41" s="29" t="b">
        <f>VLOOKUP($A41, 'Overlap 2'!$B$2:$P$76, 10, FALSE)</f>
        <v>0</v>
      </c>
      <c r="L41" s="29" t="b">
        <f>VLOOKUP($A41, 'Overlap 2'!$B$2:$P$76, 11, FALSE)</f>
        <v>0</v>
      </c>
      <c r="M41" s="29" t="b">
        <f>VLOOKUP($A41, 'Overlap 2'!$B$2:$P$76, 12, FALSE)</f>
        <v>0</v>
      </c>
      <c r="N41" s="29" t="b">
        <f>VLOOKUP($A41, 'Overlap 2'!$B$2:$P$76, 13, FALSE)</f>
        <v>0</v>
      </c>
      <c r="O41" s="36" t="b">
        <f t="shared" si="2"/>
        <v>0</v>
      </c>
      <c r="P41" s="35" t="b">
        <f t="shared" si="3"/>
        <v>1</v>
      </c>
      <c r="Q41" s="7"/>
    </row>
    <row r="42">
      <c r="A42" s="34" t="str">
        <f>IFERROR(__xludf.DUMMYFUNCTION("""COMPUTED_VALUE"""),"E637")</f>
        <v>E637</v>
      </c>
      <c r="B42" s="20" t="b">
        <f>IF(ISBLANK($A42), FALSE, VLOOKUP($A42, Candidates!$B$2:$P$1447, 8, FALSE))</f>
        <v>0</v>
      </c>
      <c r="C42" s="20" t="b">
        <f>IF(ISBLANK($A42), FALSE, VLOOKUP($A42, Candidates!$B$2:$P$1447, 9, FALSE))</f>
        <v>0</v>
      </c>
      <c r="D42" s="20" t="b">
        <f>IF(ISBLANK($A42), FALSE, VLOOKUP($A42, Candidates!$B$2:$P$1447, 10, FALSE))</f>
        <v>0</v>
      </c>
      <c r="E42" s="20" t="b">
        <f>IF(ISBLANK($A42), FALSE, VLOOKUP($A42, Candidates!$B$2:$P$1447, 11, FALSE))</f>
        <v>0</v>
      </c>
      <c r="F42" s="20" t="b">
        <f>IF(ISBLANK($A42), FALSE, VLOOKUP($A42, Candidates!$B$2:$P$1447, 12, FALSE))</f>
        <v>0</v>
      </c>
      <c r="G42" s="20" t="b">
        <f>IF(ISBLANK($A42), FALSE, VLOOKUP($A42, Candidates!$B$2:$P$1447, 13, FALSE))</f>
        <v>0</v>
      </c>
      <c r="H42" s="35" t="b">
        <f t="shared" si="1"/>
        <v>0</v>
      </c>
      <c r="I42" s="29" t="b">
        <f>VLOOKUP($A42, 'Overlap 2'!$B$2:$P$76, 8, FALSE)</f>
        <v>0</v>
      </c>
      <c r="J42" s="29" t="b">
        <f>VLOOKUP($A42, 'Overlap 2'!$B$2:$P$76, 9, FALSE)</f>
        <v>0</v>
      </c>
      <c r="K42" s="29" t="b">
        <f>VLOOKUP($A42, 'Overlap 2'!$B$2:$P$76, 10, FALSE)</f>
        <v>0</v>
      </c>
      <c r="L42" s="29" t="b">
        <f>VLOOKUP($A42, 'Overlap 2'!$B$2:$P$76, 11, FALSE)</f>
        <v>0</v>
      </c>
      <c r="M42" s="29" t="b">
        <f>VLOOKUP($A42, 'Overlap 2'!$B$2:$P$76, 12, FALSE)</f>
        <v>0</v>
      </c>
      <c r="N42" s="29" t="b">
        <f>VLOOKUP($A42, 'Overlap 2'!$B$2:$P$76, 13, FALSE)</f>
        <v>0</v>
      </c>
      <c r="O42" s="36" t="b">
        <f t="shared" si="2"/>
        <v>0</v>
      </c>
      <c r="P42" s="35" t="b">
        <f t="shared" si="3"/>
        <v>1</v>
      </c>
      <c r="Q42" s="7"/>
    </row>
    <row r="43">
      <c r="A43" s="34" t="str">
        <f>IFERROR(__xludf.DUMMYFUNCTION("""COMPUTED_VALUE"""),"E647")</f>
        <v>E647</v>
      </c>
      <c r="B43" s="20" t="b">
        <f>IF(ISBLANK($A43), FALSE, VLOOKUP($A43, Candidates!$B$2:$P$1447, 8, FALSE))</f>
        <v>0</v>
      </c>
      <c r="C43" s="20" t="b">
        <f>IF(ISBLANK($A43), FALSE, VLOOKUP($A43, Candidates!$B$2:$P$1447, 9, FALSE))</f>
        <v>0</v>
      </c>
      <c r="D43" s="20" t="b">
        <f>IF(ISBLANK($A43), FALSE, VLOOKUP($A43, Candidates!$B$2:$P$1447, 10, FALSE))</f>
        <v>0</v>
      </c>
      <c r="E43" s="20" t="b">
        <f>IF(ISBLANK($A43), FALSE, VLOOKUP($A43, Candidates!$B$2:$P$1447, 11, FALSE))</f>
        <v>0</v>
      </c>
      <c r="F43" s="20" t="b">
        <f>IF(ISBLANK($A43), FALSE, VLOOKUP($A43, Candidates!$B$2:$P$1447, 12, FALSE))</f>
        <v>0</v>
      </c>
      <c r="G43" s="20" t="b">
        <f>IF(ISBLANK($A43), FALSE, VLOOKUP($A43, Candidates!$B$2:$P$1447, 13, FALSE))</f>
        <v>0</v>
      </c>
      <c r="H43" s="35" t="b">
        <f t="shared" si="1"/>
        <v>0</v>
      </c>
      <c r="I43" s="29" t="b">
        <f>VLOOKUP($A43, 'Overlap 2'!$B$2:$P$76, 8, FALSE)</f>
        <v>0</v>
      </c>
      <c r="J43" s="29" t="b">
        <f>VLOOKUP($A43, 'Overlap 2'!$B$2:$P$76, 9, FALSE)</f>
        <v>0</v>
      </c>
      <c r="K43" s="29" t="b">
        <f>VLOOKUP($A43, 'Overlap 2'!$B$2:$P$76, 10, FALSE)</f>
        <v>0</v>
      </c>
      <c r="L43" s="29" t="b">
        <f>VLOOKUP($A43, 'Overlap 2'!$B$2:$P$76, 11, FALSE)</f>
        <v>0</v>
      </c>
      <c r="M43" s="29" t="b">
        <f>VLOOKUP($A43, 'Overlap 2'!$B$2:$P$76, 12, FALSE)</f>
        <v>0</v>
      </c>
      <c r="N43" s="29" t="b">
        <f>VLOOKUP($A43, 'Overlap 2'!$B$2:$P$76, 13, FALSE)</f>
        <v>0</v>
      </c>
      <c r="O43" s="36" t="b">
        <f t="shared" si="2"/>
        <v>0</v>
      </c>
      <c r="P43" s="35" t="b">
        <f t="shared" si="3"/>
        <v>1</v>
      </c>
      <c r="Q43" s="7"/>
    </row>
    <row r="44">
      <c r="A44" s="34" t="str">
        <f>IFERROR(__xludf.DUMMYFUNCTION("""COMPUTED_VALUE"""),"E663")</f>
        <v>E663</v>
      </c>
      <c r="B44" s="20" t="b">
        <f>IF(ISBLANK($A44), FALSE, VLOOKUP($A44, Candidates!$B$2:$P$1447, 8, FALSE))</f>
        <v>1</v>
      </c>
      <c r="C44" s="20" t="b">
        <f>IF(ISBLANK($A44), FALSE, VLOOKUP($A44, Candidates!$B$2:$P$1447, 9, FALSE))</f>
        <v>0</v>
      </c>
      <c r="D44" s="20" t="b">
        <f>IF(ISBLANK($A44), FALSE, VLOOKUP($A44, Candidates!$B$2:$P$1447, 10, FALSE))</f>
        <v>1</v>
      </c>
      <c r="E44" s="20" t="b">
        <f>IF(ISBLANK($A44), FALSE, VLOOKUP($A44, Candidates!$B$2:$P$1447, 11, FALSE))</f>
        <v>0</v>
      </c>
      <c r="F44" s="20" t="b">
        <f>IF(ISBLANK($A44), FALSE, VLOOKUP($A44, Candidates!$B$2:$P$1447, 12, FALSE))</f>
        <v>0</v>
      </c>
      <c r="G44" s="20" t="b">
        <f>IF(ISBLANK($A44), FALSE, VLOOKUP($A44, Candidates!$B$2:$P$1447, 13, FALSE))</f>
        <v>0</v>
      </c>
      <c r="H44" s="35" t="b">
        <f t="shared" si="1"/>
        <v>0</v>
      </c>
      <c r="I44" s="29" t="b">
        <f>VLOOKUP($A44, 'Overlap 2'!$B$2:$P$76, 8, FALSE)</f>
        <v>1</v>
      </c>
      <c r="J44" s="29" t="b">
        <f>VLOOKUP($A44, 'Overlap 2'!$B$2:$P$76, 9, FALSE)</f>
        <v>1</v>
      </c>
      <c r="K44" s="29" t="b">
        <f>VLOOKUP($A44, 'Overlap 2'!$B$2:$P$76, 10, FALSE)</f>
        <v>1</v>
      </c>
      <c r="L44" s="29" t="b">
        <f>VLOOKUP($A44, 'Overlap 2'!$B$2:$P$76, 11, FALSE)</f>
        <v>0</v>
      </c>
      <c r="M44" s="29" t="b">
        <f>VLOOKUP($A44, 'Overlap 2'!$B$2:$P$76, 12, FALSE)</f>
        <v>0</v>
      </c>
      <c r="N44" s="29" t="b">
        <f>VLOOKUP($A44, 'Overlap 2'!$B$2:$P$76, 13, FALSE)</f>
        <v>0</v>
      </c>
      <c r="O44" s="36" t="b">
        <f t="shared" si="2"/>
        <v>1</v>
      </c>
      <c r="P44" s="35" t="b">
        <f t="shared" si="3"/>
        <v>0</v>
      </c>
      <c r="Q44" s="7"/>
    </row>
    <row r="45">
      <c r="A45" s="34" t="str">
        <f>IFERROR(__xludf.DUMMYFUNCTION("""COMPUTED_VALUE"""),"E690")</f>
        <v>E690</v>
      </c>
      <c r="B45" s="20" t="b">
        <f>IF(ISBLANK($A45), FALSE, VLOOKUP($A45, Candidates!$B$2:$P$1447, 8, FALSE))</f>
        <v>1</v>
      </c>
      <c r="C45" s="20" t="b">
        <f>IF(ISBLANK($A45), FALSE, VLOOKUP($A45, Candidates!$B$2:$P$1447, 9, FALSE))</f>
        <v>1</v>
      </c>
      <c r="D45" s="20" t="b">
        <f>IF(ISBLANK($A45), FALSE, VLOOKUP($A45, Candidates!$B$2:$P$1447, 10, FALSE))</f>
        <v>0</v>
      </c>
      <c r="E45" s="20" t="b">
        <f>IF(ISBLANK($A45), FALSE, VLOOKUP($A45, Candidates!$B$2:$P$1447, 11, FALSE))</f>
        <v>0</v>
      </c>
      <c r="F45" s="20" t="b">
        <f>IF(ISBLANK($A45), FALSE, VLOOKUP($A45, Candidates!$B$2:$P$1447, 12, FALSE))</f>
        <v>0</v>
      </c>
      <c r="G45" s="20" t="b">
        <f>IF(ISBLANK($A45), FALSE, VLOOKUP($A45, Candidates!$B$2:$P$1447, 13, FALSE))</f>
        <v>0</v>
      </c>
      <c r="H45" s="35" t="b">
        <f t="shared" si="1"/>
        <v>0</v>
      </c>
      <c r="I45" s="29" t="b">
        <f>VLOOKUP($A45, 'Overlap 2'!$B$2:$P$76, 8, FALSE)</f>
        <v>1</v>
      </c>
      <c r="J45" s="29" t="b">
        <f>VLOOKUP($A45, 'Overlap 2'!$B$2:$P$76, 9, FALSE)</f>
        <v>1</v>
      </c>
      <c r="K45" s="29" t="b">
        <f>VLOOKUP($A45, 'Overlap 2'!$B$2:$P$76, 10, FALSE)</f>
        <v>0</v>
      </c>
      <c r="L45" s="29" t="b">
        <f>VLOOKUP($A45, 'Overlap 2'!$B$2:$P$76, 11, FALSE)</f>
        <v>0</v>
      </c>
      <c r="M45" s="29" t="b">
        <f>VLOOKUP($A45, 'Overlap 2'!$B$2:$P$76, 12, FALSE)</f>
        <v>0</v>
      </c>
      <c r="N45" s="29" t="b">
        <f>VLOOKUP($A45, 'Overlap 2'!$B$2:$P$76, 13, FALSE)</f>
        <v>0</v>
      </c>
      <c r="O45" s="36" t="b">
        <f t="shared" si="2"/>
        <v>0</v>
      </c>
      <c r="P45" s="35" t="b">
        <f t="shared" si="3"/>
        <v>1</v>
      </c>
      <c r="Q45" s="7"/>
    </row>
    <row r="46">
      <c r="A46" s="34" t="str">
        <f>IFERROR(__xludf.DUMMYFUNCTION("""COMPUTED_VALUE"""),"E694")</f>
        <v>E694</v>
      </c>
      <c r="B46" s="20" t="b">
        <f>IF(ISBLANK($A46), FALSE, VLOOKUP($A46, Candidates!$B$2:$P$1447, 8, FALSE))</f>
        <v>0</v>
      </c>
      <c r="C46" s="20" t="b">
        <f>IF(ISBLANK($A46), FALSE, VLOOKUP($A46, Candidates!$B$2:$P$1447, 9, FALSE))</f>
        <v>0</v>
      </c>
      <c r="D46" s="20" t="b">
        <f>IF(ISBLANK($A46), FALSE, VLOOKUP($A46, Candidates!$B$2:$P$1447, 10, FALSE))</f>
        <v>0</v>
      </c>
      <c r="E46" s="20" t="b">
        <f>IF(ISBLANK($A46), FALSE, VLOOKUP($A46, Candidates!$B$2:$P$1447, 11, FALSE))</f>
        <v>0</v>
      </c>
      <c r="F46" s="20" t="b">
        <f>IF(ISBLANK($A46), FALSE, VLOOKUP($A46, Candidates!$B$2:$P$1447, 12, FALSE))</f>
        <v>0</v>
      </c>
      <c r="G46" s="20" t="b">
        <f>IF(ISBLANK($A46), FALSE, VLOOKUP($A46, Candidates!$B$2:$P$1447, 13, FALSE))</f>
        <v>0</v>
      </c>
      <c r="H46" s="35" t="b">
        <f t="shared" si="1"/>
        <v>0</v>
      </c>
      <c r="I46" s="29" t="b">
        <f>VLOOKUP($A46, 'Overlap 2'!$B$2:$P$76, 8, FALSE)</f>
        <v>0</v>
      </c>
      <c r="J46" s="29" t="b">
        <f>VLOOKUP($A46, 'Overlap 2'!$B$2:$P$76, 9, FALSE)</f>
        <v>0</v>
      </c>
      <c r="K46" s="29" t="b">
        <f>VLOOKUP($A46, 'Overlap 2'!$B$2:$P$76, 10, FALSE)</f>
        <v>0</v>
      </c>
      <c r="L46" s="29" t="b">
        <f>VLOOKUP($A46, 'Overlap 2'!$B$2:$P$76, 11, FALSE)</f>
        <v>0</v>
      </c>
      <c r="M46" s="29" t="b">
        <f>VLOOKUP($A46, 'Overlap 2'!$B$2:$P$76, 12, FALSE)</f>
        <v>0</v>
      </c>
      <c r="N46" s="29" t="b">
        <f>VLOOKUP($A46, 'Overlap 2'!$B$2:$P$76, 13, FALSE)</f>
        <v>0</v>
      </c>
      <c r="O46" s="36" t="b">
        <f t="shared" si="2"/>
        <v>0</v>
      </c>
      <c r="P46" s="35" t="b">
        <f t="shared" si="3"/>
        <v>1</v>
      </c>
      <c r="Q46" s="7"/>
    </row>
    <row r="47">
      <c r="A47" s="34" t="str">
        <f>IFERROR(__xludf.DUMMYFUNCTION("""COMPUTED_VALUE"""),"E706")</f>
        <v>E706</v>
      </c>
      <c r="B47" s="20" t="b">
        <f>IF(ISBLANK($A47), FALSE, VLOOKUP($A47, Candidates!$B$2:$P$1447, 8, FALSE))</f>
        <v>1</v>
      </c>
      <c r="C47" s="20" t="b">
        <f>IF(ISBLANK($A47), FALSE, VLOOKUP($A47, Candidates!$B$2:$P$1447, 9, FALSE))</f>
        <v>1</v>
      </c>
      <c r="D47" s="20" t="b">
        <f>IF(ISBLANK($A47), FALSE, VLOOKUP($A47, Candidates!$B$2:$P$1447, 10, FALSE))</f>
        <v>0</v>
      </c>
      <c r="E47" s="20" t="b">
        <f>IF(ISBLANK($A47), FALSE, VLOOKUP($A47, Candidates!$B$2:$P$1447, 11, FALSE))</f>
        <v>0</v>
      </c>
      <c r="F47" s="20" t="b">
        <f>IF(ISBLANK($A47), FALSE, VLOOKUP($A47, Candidates!$B$2:$P$1447, 12, FALSE))</f>
        <v>0</v>
      </c>
      <c r="G47" s="20" t="b">
        <f>IF(ISBLANK($A47), FALSE, VLOOKUP($A47, Candidates!$B$2:$P$1447, 13, FALSE))</f>
        <v>0</v>
      </c>
      <c r="H47" s="35" t="b">
        <f t="shared" si="1"/>
        <v>0</v>
      </c>
      <c r="I47" s="29" t="b">
        <f>VLOOKUP($A47, 'Overlap 2'!$B$2:$P$76, 8, FALSE)</f>
        <v>1</v>
      </c>
      <c r="J47" s="29" t="b">
        <f>VLOOKUP($A47, 'Overlap 2'!$B$2:$P$76, 9, FALSE)</f>
        <v>1</v>
      </c>
      <c r="K47" s="29" t="b">
        <f>VLOOKUP($A47, 'Overlap 2'!$B$2:$P$76, 10, FALSE)</f>
        <v>0</v>
      </c>
      <c r="L47" s="29" t="b">
        <f>VLOOKUP($A47, 'Overlap 2'!$B$2:$P$76, 11, FALSE)</f>
        <v>0</v>
      </c>
      <c r="M47" s="29" t="b">
        <f>VLOOKUP($A47, 'Overlap 2'!$B$2:$P$76, 12, FALSE)</f>
        <v>0</v>
      </c>
      <c r="N47" s="29" t="b">
        <f>VLOOKUP($A47, 'Overlap 2'!$B$2:$P$76, 13, FALSE)</f>
        <v>0</v>
      </c>
      <c r="O47" s="36" t="b">
        <f t="shared" si="2"/>
        <v>0</v>
      </c>
      <c r="P47" s="35" t="b">
        <f t="shared" si="3"/>
        <v>1</v>
      </c>
      <c r="Q47" s="7"/>
    </row>
    <row r="48">
      <c r="A48" s="34" t="str">
        <f>IFERROR(__xludf.DUMMYFUNCTION("""COMPUTED_VALUE"""),"E786")</f>
        <v>E786</v>
      </c>
      <c r="B48" s="20" t="b">
        <f>IF(ISBLANK($A48), FALSE, VLOOKUP($A48, Candidates!$B$2:$P$1447, 8, FALSE))</f>
        <v>0</v>
      </c>
      <c r="C48" s="20" t="b">
        <f>IF(ISBLANK($A48), FALSE, VLOOKUP($A48, Candidates!$B$2:$P$1447, 9, FALSE))</f>
        <v>0</v>
      </c>
      <c r="D48" s="20" t="b">
        <f>IF(ISBLANK($A48), FALSE, VLOOKUP($A48, Candidates!$B$2:$P$1447, 10, FALSE))</f>
        <v>0</v>
      </c>
      <c r="E48" s="20" t="b">
        <f>IF(ISBLANK($A48), FALSE, VLOOKUP($A48, Candidates!$B$2:$P$1447, 11, FALSE))</f>
        <v>0</v>
      </c>
      <c r="F48" s="20" t="b">
        <f>IF(ISBLANK($A48), FALSE, VLOOKUP($A48, Candidates!$B$2:$P$1447, 12, FALSE))</f>
        <v>0</v>
      </c>
      <c r="G48" s="20" t="b">
        <f>IF(ISBLANK($A48), FALSE, VLOOKUP($A48, Candidates!$B$2:$P$1447, 13, FALSE))</f>
        <v>0</v>
      </c>
      <c r="H48" s="35" t="b">
        <f t="shared" si="1"/>
        <v>0</v>
      </c>
      <c r="I48" s="29" t="b">
        <f>VLOOKUP($A48, 'Overlap 2'!$B$2:$P$76, 8, FALSE)</f>
        <v>0</v>
      </c>
      <c r="J48" s="29" t="b">
        <f>VLOOKUP($A48, 'Overlap 2'!$B$2:$P$76, 9, FALSE)</f>
        <v>0</v>
      </c>
      <c r="K48" s="29" t="b">
        <f>VLOOKUP($A48, 'Overlap 2'!$B$2:$P$76, 10, FALSE)</f>
        <v>0</v>
      </c>
      <c r="L48" s="29" t="b">
        <f>VLOOKUP($A48, 'Overlap 2'!$B$2:$P$76, 11, FALSE)</f>
        <v>0</v>
      </c>
      <c r="M48" s="29" t="b">
        <f>VLOOKUP($A48, 'Overlap 2'!$B$2:$P$76, 12, FALSE)</f>
        <v>0</v>
      </c>
      <c r="N48" s="29" t="b">
        <f>VLOOKUP($A48, 'Overlap 2'!$B$2:$P$76, 13, FALSE)</f>
        <v>0</v>
      </c>
      <c r="O48" s="36" t="b">
        <f t="shared" si="2"/>
        <v>0</v>
      </c>
      <c r="P48" s="35" t="b">
        <f t="shared" si="3"/>
        <v>1</v>
      </c>
      <c r="Q48" s="7"/>
    </row>
    <row r="49">
      <c r="A49" s="34" t="str">
        <f>IFERROR(__xludf.DUMMYFUNCTION("""COMPUTED_VALUE"""),"E794")</f>
        <v>E794</v>
      </c>
      <c r="B49" s="20" t="b">
        <f>IF(ISBLANK($A49), FALSE, VLOOKUP($A49, Candidates!$B$2:$P$1447, 8, FALSE))</f>
        <v>0</v>
      </c>
      <c r="C49" s="20" t="b">
        <f>IF(ISBLANK($A49), FALSE, VLOOKUP($A49, Candidates!$B$2:$P$1447, 9, FALSE))</f>
        <v>0</v>
      </c>
      <c r="D49" s="20" t="b">
        <f>IF(ISBLANK($A49), FALSE, VLOOKUP($A49, Candidates!$B$2:$P$1447, 10, FALSE))</f>
        <v>0</v>
      </c>
      <c r="E49" s="20" t="b">
        <f>IF(ISBLANK($A49), FALSE, VLOOKUP($A49, Candidates!$B$2:$P$1447, 11, FALSE))</f>
        <v>0</v>
      </c>
      <c r="F49" s="20" t="b">
        <f>IF(ISBLANK($A49), FALSE, VLOOKUP($A49, Candidates!$B$2:$P$1447, 12, FALSE))</f>
        <v>0</v>
      </c>
      <c r="G49" s="20" t="b">
        <f>IF(ISBLANK($A49), FALSE, VLOOKUP($A49, Candidates!$B$2:$P$1447, 13, FALSE))</f>
        <v>0</v>
      </c>
      <c r="H49" s="35" t="b">
        <f t="shared" si="1"/>
        <v>0</v>
      </c>
      <c r="I49" s="29" t="b">
        <f>VLOOKUP($A49, 'Overlap 2'!$B$2:$P$76, 8, FALSE)</f>
        <v>0</v>
      </c>
      <c r="J49" s="29" t="b">
        <f>VLOOKUP($A49, 'Overlap 2'!$B$2:$P$76, 9, FALSE)</f>
        <v>0</v>
      </c>
      <c r="K49" s="29" t="b">
        <f>VLOOKUP($A49, 'Overlap 2'!$B$2:$P$76, 10, FALSE)</f>
        <v>0</v>
      </c>
      <c r="L49" s="29" t="b">
        <f>VLOOKUP($A49, 'Overlap 2'!$B$2:$P$76, 11, FALSE)</f>
        <v>0</v>
      </c>
      <c r="M49" s="29" t="b">
        <f>VLOOKUP($A49, 'Overlap 2'!$B$2:$P$76, 12, FALSE)</f>
        <v>0</v>
      </c>
      <c r="N49" s="29" t="b">
        <f>VLOOKUP($A49, 'Overlap 2'!$B$2:$P$76, 13, FALSE)</f>
        <v>0</v>
      </c>
      <c r="O49" s="36" t="b">
        <f t="shared" si="2"/>
        <v>0</v>
      </c>
      <c r="P49" s="35" t="b">
        <f t="shared" si="3"/>
        <v>1</v>
      </c>
      <c r="Q49" s="7"/>
    </row>
    <row r="50">
      <c r="A50" s="34" t="str">
        <f>IFERROR(__xludf.DUMMYFUNCTION("""COMPUTED_VALUE"""),"E799")</f>
        <v>E799</v>
      </c>
      <c r="B50" s="20" t="b">
        <f>IF(ISBLANK($A50), FALSE, VLOOKUP($A50, Candidates!$B$2:$P$1447, 8, FALSE))</f>
        <v>0</v>
      </c>
      <c r="C50" s="20" t="b">
        <f>IF(ISBLANK($A50), FALSE, VLOOKUP($A50, Candidates!$B$2:$P$1447, 9, FALSE))</f>
        <v>0</v>
      </c>
      <c r="D50" s="20" t="b">
        <f>IF(ISBLANK($A50), FALSE, VLOOKUP($A50, Candidates!$B$2:$P$1447, 10, FALSE))</f>
        <v>0</v>
      </c>
      <c r="E50" s="20" t="b">
        <f>IF(ISBLANK($A50), FALSE, VLOOKUP($A50, Candidates!$B$2:$P$1447, 11, FALSE))</f>
        <v>0</v>
      </c>
      <c r="F50" s="20" t="b">
        <f>IF(ISBLANK($A50), FALSE, VLOOKUP($A50, Candidates!$B$2:$P$1447, 12, FALSE))</f>
        <v>0</v>
      </c>
      <c r="G50" s="20" t="b">
        <f>IF(ISBLANK($A50), FALSE, VLOOKUP($A50, Candidates!$B$2:$P$1447, 13, FALSE))</f>
        <v>0</v>
      </c>
      <c r="H50" s="35" t="b">
        <f t="shared" si="1"/>
        <v>0</v>
      </c>
      <c r="I50" s="29" t="b">
        <f>VLOOKUP($A50, 'Overlap 2'!$B$2:$P$76, 8, FALSE)</f>
        <v>0</v>
      </c>
      <c r="J50" s="29" t="b">
        <f>VLOOKUP($A50, 'Overlap 2'!$B$2:$P$76, 9, FALSE)</f>
        <v>0</v>
      </c>
      <c r="K50" s="29" t="b">
        <f>VLOOKUP($A50, 'Overlap 2'!$B$2:$P$76, 10, FALSE)</f>
        <v>0</v>
      </c>
      <c r="L50" s="29" t="b">
        <f>VLOOKUP($A50, 'Overlap 2'!$B$2:$P$76, 11, FALSE)</f>
        <v>0</v>
      </c>
      <c r="M50" s="29" t="b">
        <f>VLOOKUP($A50, 'Overlap 2'!$B$2:$P$76, 12, FALSE)</f>
        <v>0</v>
      </c>
      <c r="N50" s="29" t="b">
        <f>VLOOKUP($A50, 'Overlap 2'!$B$2:$P$76, 13, FALSE)</f>
        <v>0</v>
      </c>
      <c r="O50" s="36" t="b">
        <f t="shared" si="2"/>
        <v>0</v>
      </c>
      <c r="P50" s="35" t="b">
        <f t="shared" si="3"/>
        <v>1</v>
      </c>
      <c r="Q50" s="7"/>
    </row>
    <row r="51">
      <c r="A51" s="34" t="str">
        <f>IFERROR(__xludf.DUMMYFUNCTION("""COMPUTED_VALUE"""),"E822")</f>
        <v>E822</v>
      </c>
      <c r="B51" s="20" t="b">
        <f>IF(ISBLANK($A51), FALSE, VLOOKUP($A51, Candidates!$B$2:$P$1447, 8, FALSE))</f>
        <v>0</v>
      </c>
      <c r="C51" s="20" t="b">
        <f>IF(ISBLANK($A51), FALSE, VLOOKUP($A51, Candidates!$B$2:$P$1447, 9, FALSE))</f>
        <v>0</v>
      </c>
      <c r="D51" s="20" t="b">
        <f>IF(ISBLANK($A51), FALSE, VLOOKUP($A51, Candidates!$B$2:$P$1447, 10, FALSE))</f>
        <v>0</v>
      </c>
      <c r="E51" s="20" t="b">
        <f>IF(ISBLANK($A51), FALSE, VLOOKUP($A51, Candidates!$B$2:$P$1447, 11, FALSE))</f>
        <v>0</v>
      </c>
      <c r="F51" s="20" t="b">
        <f>IF(ISBLANK($A51), FALSE, VLOOKUP($A51, Candidates!$B$2:$P$1447, 12, FALSE))</f>
        <v>0</v>
      </c>
      <c r="G51" s="20" t="b">
        <f>IF(ISBLANK($A51), FALSE, VLOOKUP($A51, Candidates!$B$2:$P$1447, 13, FALSE))</f>
        <v>0</v>
      </c>
      <c r="H51" s="35" t="b">
        <f t="shared" si="1"/>
        <v>0</v>
      </c>
      <c r="I51" s="29" t="b">
        <f>VLOOKUP($A51, 'Overlap 2'!$B$2:$P$76, 8, FALSE)</f>
        <v>0</v>
      </c>
      <c r="J51" s="29" t="b">
        <f>VLOOKUP($A51, 'Overlap 2'!$B$2:$P$76, 9, FALSE)</f>
        <v>0</v>
      </c>
      <c r="K51" s="29" t="b">
        <f>VLOOKUP($A51, 'Overlap 2'!$B$2:$P$76, 10, FALSE)</f>
        <v>0</v>
      </c>
      <c r="L51" s="29" t="b">
        <f>VLOOKUP($A51, 'Overlap 2'!$B$2:$P$76, 11, FALSE)</f>
        <v>0</v>
      </c>
      <c r="M51" s="29" t="b">
        <f>VLOOKUP($A51, 'Overlap 2'!$B$2:$P$76, 12, FALSE)</f>
        <v>0</v>
      </c>
      <c r="N51" s="29" t="b">
        <f>VLOOKUP($A51, 'Overlap 2'!$B$2:$P$76, 13, FALSE)</f>
        <v>0</v>
      </c>
      <c r="O51" s="36" t="b">
        <f t="shared" si="2"/>
        <v>0</v>
      </c>
      <c r="P51" s="35" t="b">
        <f t="shared" si="3"/>
        <v>1</v>
      </c>
      <c r="Q51" s="7"/>
    </row>
    <row r="52">
      <c r="A52" s="34" t="str">
        <f>IFERROR(__xludf.DUMMYFUNCTION("""COMPUTED_VALUE"""),"E840")</f>
        <v>E840</v>
      </c>
      <c r="B52" s="20" t="b">
        <f>IF(ISBLANK($A52), FALSE, VLOOKUP($A52, Candidates!$B$2:$P$1447, 8, FALSE))</f>
        <v>0</v>
      </c>
      <c r="C52" s="20" t="b">
        <f>IF(ISBLANK($A52), FALSE, VLOOKUP($A52, Candidates!$B$2:$P$1447, 9, FALSE))</f>
        <v>0</v>
      </c>
      <c r="D52" s="20" t="b">
        <f>IF(ISBLANK($A52), FALSE, VLOOKUP($A52, Candidates!$B$2:$P$1447, 10, FALSE))</f>
        <v>0</v>
      </c>
      <c r="E52" s="20" t="b">
        <f>IF(ISBLANK($A52), FALSE, VLOOKUP($A52, Candidates!$B$2:$P$1447, 11, FALSE))</f>
        <v>0</v>
      </c>
      <c r="F52" s="20" t="b">
        <f>IF(ISBLANK($A52), FALSE, VLOOKUP($A52, Candidates!$B$2:$P$1447, 12, FALSE))</f>
        <v>0</v>
      </c>
      <c r="G52" s="20" t="b">
        <f>IF(ISBLANK($A52), FALSE, VLOOKUP($A52, Candidates!$B$2:$P$1447, 13, FALSE))</f>
        <v>0</v>
      </c>
      <c r="H52" s="35" t="b">
        <f t="shared" si="1"/>
        <v>0</v>
      </c>
      <c r="I52" s="29" t="b">
        <f>VLOOKUP($A52, 'Overlap 2'!$B$2:$P$76, 8, FALSE)</f>
        <v>0</v>
      </c>
      <c r="J52" s="29" t="b">
        <f>VLOOKUP($A52, 'Overlap 2'!$B$2:$P$76, 9, FALSE)</f>
        <v>0</v>
      </c>
      <c r="K52" s="29" t="b">
        <f>VLOOKUP($A52, 'Overlap 2'!$B$2:$P$76, 10, FALSE)</f>
        <v>0</v>
      </c>
      <c r="L52" s="29" t="b">
        <f>VLOOKUP($A52, 'Overlap 2'!$B$2:$P$76, 11, FALSE)</f>
        <v>0</v>
      </c>
      <c r="M52" s="29" t="b">
        <f>VLOOKUP($A52, 'Overlap 2'!$B$2:$P$76, 12, FALSE)</f>
        <v>0</v>
      </c>
      <c r="N52" s="29" t="b">
        <f>VLOOKUP($A52, 'Overlap 2'!$B$2:$P$76, 13, FALSE)</f>
        <v>0</v>
      </c>
      <c r="O52" s="36" t="b">
        <f t="shared" si="2"/>
        <v>0</v>
      </c>
      <c r="P52" s="35" t="b">
        <f t="shared" si="3"/>
        <v>1</v>
      </c>
      <c r="Q52" s="7"/>
    </row>
    <row r="53">
      <c r="A53" s="34" t="str">
        <f>IFERROR(__xludf.DUMMYFUNCTION("""COMPUTED_VALUE"""),"E869")</f>
        <v>E869</v>
      </c>
      <c r="B53" s="20" t="b">
        <f>IF(ISBLANK($A53), FALSE, VLOOKUP($A53, Candidates!$B$2:$P$1447, 8, FALSE))</f>
        <v>1</v>
      </c>
      <c r="C53" s="20" t="b">
        <f>IF(ISBLANK($A53), FALSE, VLOOKUP($A53, Candidates!$B$2:$P$1447, 9, FALSE))</f>
        <v>0</v>
      </c>
      <c r="D53" s="20" t="b">
        <f>IF(ISBLANK($A53), FALSE, VLOOKUP($A53, Candidates!$B$2:$P$1447, 10, FALSE))</f>
        <v>0</v>
      </c>
      <c r="E53" s="20" t="b">
        <f>IF(ISBLANK($A53), FALSE, VLOOKUP($A53, Candidates!$B$2:$P$1447, 11, FALSE))</f>
        <v>0</v>
      </c>
      <c r="F53" s="20" t="b">
        <f>IF(ISBLANK($A53), FALSE, VLOOKUP($A53, Candidates!$B$2:$P$1447, 12, FALSE))</f>
        <v>0</v>
      </c>
      <c r="G53" s="20" t="b">
        <f>IF(ISBLANK($A53), FALSE, VLOOKUP($A53, Candidates!$B$2:$P$1447, 13, FALSE))</f>
        <v>0</v>
      </c>
      <c r="H53" s="35" t="b">
        <f t="shared" si="1"/>
        <v>0</v>
      </c>
      <c r="I53" s="29" t="b">
        <f>VLOOKUP($A53, 'Overlap 2'!$B$2:$P$76, 8, FALSE)</f>
        <v>1</v>
      </c>
      <c r="J53" s="29" t="b">
        <f>VLOOKUP($A53, 'Overlap 2'!$B$2:$P$76, 9, FALSE)</f>
        <v>0</v>
      </c>
      <c r="K53" s="29" t="b">
        <f>VLOOKUP($A53, 'Overlap 2'!$B$2:$P$76, 10, FALSE)</f>
        <v>0</v>
      </c>
      <c r="L53" s="29" t="b">
        <f>VLOOKUP($A53, 'Overlap 2'!$B$2:$P$76, 11, FALSE)</f>
        <v>0</v>
      </c>
      <c r="M53" s="29" t="b">
        <f>VLOOKUP($A53, 'Overlap 2'!$B$2:$P$76, 12, FALSE)</f>
        <v>0</v>
      </c>
      <c r="N53" s="29" t="b">
        <f>VLOOKUP($A53, 'Overlap 2'!$B$2:$P$76, 13, FALSE)</f>
        <v>0</v>
      </c>
      <c r="O53" s="36" t="b">
        <f t="shared" si="2"/>
        <v>0</v>
      </c>
      <c r="P53" s="35" t="b">
        <f t="shared" si="3"/>
        <v>1</v>
      </c>
      <c r="Q53" s="7"/>
    </row>
    <row r="54">
      <c r="A54" s="34" t="str">
        <f>IFERROR(__xludf.DUMMYFUNCTION("""COMPUTED_VALUE"""),"E872")</f>
        <v>E872</v>
      </c>
      <c r="B54" s="20" t="b">
        <f>IF(ISBLANK($A54), FALSE, VLOOKUP($A54, Candidates!$B$2:$P$1447, 8, FALSE))</f>
        <v>0</v>
      </c>
      <c r="C54" s="20" t="b">
        <f>IF(ISBLANK($A54), FALSE, VLOOKUP($A54, Candidates!$B$2:$P$1447, 9, FALSE))</f>
        <v>0</v>
      </c>
      <c r="D54" s="20" t="b">
        <f>IF(ISBLANK($A54), FALSE, VLOOKUP($A54, Candidates!$B$2:$P$1447, 10, FALSE))</f>
        <v>0</v>
      </c>
      <c r="E54" s="20" t="b">
        <f>IF(ISBLANK($A54), FALSE, VLOOKUP($A54, Candidates!$B$2:$P$1447, 11, FALSE))</f>
        <v>0</v>
      </c>
      <c r="F54" s="20" t="b">
        <f>IF(ISBLANK($A54), FALSE, VLOOKUP($A54, Candidates!$B$2:$P$1447, 12, FALSE))</f>
        <v>0</v>
      </c>
      <c r="G54" s="20" t="b">
        <f>IF(ISBLANK($A54), FALSE, VLOOKUP($A54, Candidates!$B$2:$P$1447, 13, FALSE))</f>
        <v>0</v>
      </c>
      <c r="H54" s="35" t="b">
        <f t="shared" si="1"/>
        <v>0</v>
      </c>
      <c r="I54" s="29" t="b">
        <f>VLOOKUP($A54, 'Overlap 2'!$B$2:$P$76, 8, FALSE)</f>
        <v>0</v>
      </c>
      <c r="J54" s="29" t="b">
        <f>VLOOKUP($A54, 'Overlap 2'!$B$2:$P$76, 9, FALSE)</f>
        <v>0</v>
      </c>
      <c r="K54" s="29" t="b">
        <f>VLOOKUP($A54, 'Overlap 2'!$B$2:$P$76, 10, FALSE)</f>
        <v>0</v>
      </c>
      <c r="L54" s="29" t="b">
        <f>VLOOKUP($A54, 'Overlap 2'!$B$2:$P$76, 11, FALSE)</f>
        <v>0</v>
      </c>
      <c r="M54" s="29" t="b">
        <f>VLOOKUP($A54, 'Overlap 2'!$B$2:$P$76, 12, FALSE)</f>
        <v>0</v>
      </c>
      <c r="N54" s="29" t="b">
        <f>VLOOKUP($A54, 'Overlap 2'!$B$2:$P$76, 13, FALSE)</f>
        <v>0</v>
      </c>
      <c r="O54" s="36" t="b">
        <f t="shared" si="2"/>
        <v>0</v>
      </c>
      <c r="P54" s="35" t="b">
        <f t="shared" si="3"/>
        <v>1</v>
      </c>
      <c r="Q54" s="7"/>
    </row>
    <row r="55">
      <c r="A55" s="34" t="str">
        <f>IFERROR(__xludf.DUMMYFUNCTION("""COMPUTED_VALUE"""),"E893")</f>
        <v>E893</v>
      </c>
      <c r="B55" s="20" t="b">
        <f>IF(ISBLANK($A55), FALSE, VLOOKUP($A55, Candidates!$B$2:$P$1447, 8, FALSE))</f>
        <v>0</v>
      </c>
      <c r="C55" s="20" t="b">
        <f>IF(ISBLANK($A55), FALSE, VLOOKUP($A55, Candidates!$B$2:$P$1447, 9, FALSE))</f>
        <v>0</v>
      </c>
      <c r="D55" s="20" t="b">
        <f>IF(ISBLANK($A55), FALSE, VLOOKUP($A55, Candidates!$B$2:$P$1447, 10, FALSE))</f>
        <v>0</v>
      </c>
      <c r="E55" s="20" t="b">
        <f>IF(ISBLANK($A55), FALSE, VLOOKUP($A55, Candidates!$B$2:$P$1447, 11, FALSE))</f>
        <v>0</v>
      </c>
      <c r="F55" s="20" t="b">
        <f>IF(ISBLANK($A55), FALSE, VLOOKUP($A55, Candidates!$B$2:$P$1447, 12, FALSE))</f>
        <v>0</v>
      </c>
      <c r="G55" s="20" t="b">
        <f>IF(ISBLANK($A55), FALSE, VLOOKUP($A55, Candidates!$B$2:$P$1447, 13, FALSE))</f>
        <v>0</v>
      </c>
      <c r="H55" s="35" t="b">
        <f t="shared" si="1"/>
        <v>0</v>
      </c>
      <c r="I55" s="29" t="b">
        <f>VLOOKUP($A55, 'Overlap 2'!$B$2:$P$76, 8, FALSE)</f>
        <v>1</v>
      </c>
      <c r="J55" s="29" t="b">
        <f>VLOOKUP($A55, 'Overlap 2'!$B$2:$P$76, 9, FALSE)</f>
        <v>0</v>
      </c>
      <c r="K55" s="29" t="b">
        <f>VLOOKUP($A55, 'Overlap 2'!$B$2:$P$76, 10, FALSE)</f>
        <v>0</v>
      </c>
      <c r="L55" s="29" t="b">
        <f>VLOOKUP($A55, 'Overlap 2'!$B$2:$P$76, 11, FALSE)</f>
        <v>0</v>
      </c>
      <c r="M55" s="29" t="b">
        <f>VLOOKUP($A55, 'Overlap 2'!$B$2:$P$76, 12, FALSE)</f>
        <v>0</v>
      </c>
      <c r="N55" s="29" t="b">
        <f>VLOOKUP($A55, 'Overlap 2'!$B$2:$P$76, 13, FALSE)</f>
        <v>0</v>
      </c>
      <c r="O55" s="36" t="b">
        <f t="shared" si="2"/>
        <v>0</v>
      </c>
      <c r="P55" s="35" t="b">
        <f t="shared" si="3"/>
        <v>1</v>
      </c>
      <c r="Q55" s="7"/>
    </row>
    <row r="56">
      <c r="A56" s="34" t="str">
        <f>IFERROR(__xludf.DUMMYFUNCTION("""COMPUTED_VALUE"""),"E919")</f>
        <v>E919</v>
      </c>
      <c r="B56" s="20" t="b">
        <f>IF(ISBLANK($A56), FALSE, VLOOKUP($A56, Candidates!$B$2:$P$1447, 8, FALSE))</f>
        <v>0</v>
      </c>
      <c r="C56" s="20" t="b">
        <f>IF(ISBLANK($A56), FALSE, VLOOKUP($A56, Candidates!$B$2:$P$1447, 9, FALSE))</f>
        <v>0</v>
      </c>
      <c r="D56" s="20" t="b">
        <f>IF(ISBLANK($A56), FALSE, VLOOKUP($A56, Candidates!$B$2:$P$1447, 10, FALSE))</f>
        <v>0</v>
      </c>
      <c r="E56" s="20" t="b">
        <f>IF(ISBLANK($A56), FALSE, VLOOKUP($A56, Candidates!$B$2:$P$1447, 11, FALSE))</f>
        <v>0</v>
      </c>
      <c r="F56" s="20" t="b">
        <f>IF(ISBLANK($A56), FALSE, VLOOKUP($A56, Candidates!$B$2:$P$1447, 12, FALSE))</f>
        <v>0</v>
      </c>
      <c r="G56" s="20" t="b">
        <f>IF(ISBLANK($A56), FALSE, VLOOKUP($A56, Candidates!$B$2:$P$1447, 13, FALSE))</f>
        <v>0</v>
      </c>
      <c r="H56" s="35" t="b">
        <f t="shared" si="1"/>
        <v>0</v>
      </c>
      <c r="I56" s="29" t="b">
        <f>VLOOKUP($A56, 'Overlap 2'!$B$2:$P$76, 8, FALSE)</f>
        <v>0</v>
      </c>
      <c r="J56" s="29" t="b">
        <f>VLOOKUP($A56, 'Overlap 2'!$B$2:$P$76, 9, FALSE)</f>
        <v>0</v>
      </c>
      <c r="K56" s="29" t="b">
        <f>VLOOKUP($A56, 'Overlap 2'!$B$2:$P$76, 10, FALSE)</f>
        <v>0</v>
      </c>
      <c r="L56" s="29" t="b">
        <f>VLOOKUP($A56, 'Overlap 2'!$B$2:$P$76, 11, FALSE)</f>
        <v>0</v>
      </c>
      <c r="M56" s="29" t="b">
        <f>VLOOKUP($A56, 'Overlap 2'!$B$2:$P$76, 12, FALSE)</f>
        <v>0</v>
      </c>
      <c r="N56" s="29" t="b">
        <f>VLOOKUP($A56, 'Overlap 2'!$B$2:$P$76, 13, FALSE)</f>
        <v>0</v>
      </c>
      <c r="O56" s="36" t="b">
        <f t="shared" si="2"/>
        <v>0</v>
      </c>
      <c r="P56" s="35" t="b">
        <f t="shared" si="3"/>
        <v>1</v>
      </c>
      <c r="Q56" s="7"/>
    </row>
    <row r="57">
      <c r="A57" s="34" t="str">
        <f>IFERROR(__xludf.DUMMYFUNCTION("""COMPUTED_VALUE"""),"E976")</f>
        <v>E976</v>
      </c>
      <c r="B57" s="20" t="b">
        <f>IF(ISBLANK($A57), FALSE, VLOOKUP($A57, Candidates!$B$2:$P$1447, 8, FALSE))</f>
        <v>0</v>
      </c>
      <c r="C57" s="20" t="b">
        <f>IF(ISBLANK($A57), FALSE, VLOOKUP($A57, Candidates!$B$2:$P$1447, 9, FALSE))</f>
        <v>0</v>
      </c>
      <c r="D57" s="20" t="b">
        <f>IF(ISBLANK($A57), FALSE, VLOOKUP($A57, Candidates!$B$2:$P$1447, 10, FALSE))</f>
        <v>0</v>
      </c>
      <c r="E57" s="20" t="b">
        <f>IF(ISBLANK($A57), FALSE, VLOOKUP($A57, Candidates!$B$2:$P$1447, 11, FALSE))</f>
        <v>0</v>
      </c>
      <c r="F57" s="20" t="b">
        <f>IF(ISBLANK($A57), FALSE, VLOOKUP($A57, Candidates!$B$2:$P$1447, 12, FALSE))</f>
        <v>0</v>
      </c>
      <c r="G57" s="20" t="b">
        <f>IF(ISBLANK($A57), FALSE, VLOOKUP($A57, Candidates!$B$2:$P$1447, 13, FALSE))</f>
        <v>0</v>
      </c>
      <c r="H57" s="35" t="b">
        <f t="shared" si="1"/>
        <v>0</v>
      </c>
      <c r="I57" s="29" t="b">
        <f>VLOOKUP($A57, 'Overlap 2'!$B$2:$P$76, 8, FALSE)</f>
        <v>0</v>
      </c>
      <c r="J57" s="29" t="b">
        <f>VLOOKUP($A57, 'Overlap 2'!$B$2:$P$76, 9, FALSE)</f>
        <v>0</v>
      </c>
      <c r="K57" s="29" t="b">
        <f>VLOOKUP($A57, 'Overlap 2'!$B$2:$P$76, 10, FALSE)</f>
        <v>0</v>
      </c>
      <c r="L57" s="29" t="b">
        <f>VLOOKUP($A57, 'Overlap 2'!$B$2:$P$76, 11, FALSE)</f>
        <v>0</v>
      </c>
      <c r="M57" s="29" t="b">
        <f>VLOOKUP($A57, 'Overlap 2'!$B$2:$P$76, 12, FALSE)</f>
        <v>0</v>
      </c>
      <c r="N57" s="29" t="b">
        <f>VLOOKUP($A57, 'Overlap 2'!$B$2:$P$76, 13, FALSE)</f>
        <v>0</v>
      </c>
      <c r="O57" s="36" t="b">
        <f t="shared" si="2"/>
        <v>0</v>
      </c>
      <c r="P57" s="35" t="b">
        <f t="shared" si="3"/>
        <v>1</v>
      </c>
      <c r="Q57" s="7"/>
    </row>
    <row r="58">
      <c r="A58" s="34" t="str">
        <f>IFERROR(__xludf.DUMMYFUNCTION("""COMPUTED_VALUE"""),"E1028")</f>
        <v>E1028</v>
      </c>
      <c r="B58" s="20" t="b">
        <f>IF(ISBLANK($A58), FALSE, VLOOKUP($A58, Candidates!$B$2:$P$1447, 8, FALSE))</f>
        <v>1</v>
      </c>
      <c r="C58" s="20" t="b">
        <f>IF(ISBLANK($A58), FALSE, VLOOKUP($A58, Candidates!$B$2:$P$1447, 9, FALSE))</f>
        <v>1</v>
      </c>
      <c r="D58" s="20" t="b">
        <f>IF(ISBLANK($A58), FALSE, VLOOKUP($A58, Candidates!$B$2:$P$1447, 10, FALSE))</f>
        <v>0</v>
      </c>
      <c r="E58" s="20" t="b">
        <f>IF(ISBLANK($A58), FALSE, VLOOKUP($A58, Candidates!$B$2:$P$1447, 11, FALSE))</f>
        <v>0</v>
      </c>
      <c r="F58" s="20" t="b">
        <f>IF(ISBLANK($A58), FALSE, VLOOKUP($A58, Candidates!$B$2:$P$1447, 12, FALSE))</f>
        <v>0</v>
      </c>
      <c r="G58" s="20" t="b">
        <f>IF(ISBLANK($A58), FALSE, VLOOKUP($A58, Candidates!$B$2:$P$1447, 13, FALSE))</f>
        <v>0</v>
      </c>
      <c r="H58" s="35" t="b">
        <f t="shared" si="1"/>
        <v>0</v>
      </c>
      <c r="I58" s="29" t="b">
        <f>VLOOKUP($A58, 'Overlap 2'!$B$2:$P$76, 8, FALSE)</f>
        <v>1</v>
      </c>
      <c r="J58" s="29" t="b">
        <f>VLOOKUP($A58, 'Overlap 2'!$B$2:$P$76, 9, FALSE)</f>
        <v>1</v>
      </c>
      <c r="K58" s="29" t="b">
        <f>VLOOKUP($A58, 'Overlap 2'!$B$2:$P$76, 10, FALSE)</f>
        <v>0</v>
      </c>
      <c r="L58" s="29" t="b">
        <f>VLOOKUP($A58, 'Overlap 2'!$B$2:$P$76, 11, FALSE)</f>
        <v>0</v>
      </c>
      <c r="M58" s="29" t="b">
        <f>VLOOKUP($A58, 'Overlap 2'!$B$2:$P$76, 12, FALSE)</f>
        <v>0</v>
      </c>
      <c r="N58" s="29" t="b">
        <f>VLOOKUP($A58, 'Overlap 2'!$B$2:$P$76, 13, FALSE)</f>
        <v>0</v>
      </c>
      <c r="O58" s="36" t="b">
        <f t="shared" si="2"/>
        <v>0</v>
      </c>
      <c r="P58" s="35" t="b">
        <f t="shared" si="3"/>
        <v>1</v>
      </c>
      <c r="Q58" s="7"/>
    </row>
    <row r="59">
      <c r="A59" s="34" t="str">
        <f>IFERROR(__xludf.DUMMYFUNCTION("""COMPUTED_VALUE"""),"E1043")</f>
        <v>E1043</v>
      </c>
      <c r="B59" s="20" t="b">
        <f>IF(ISBLANK($A59), FALSE, VLOOKUP($A59, Candidates!$B$2:$P$1447, 8, FALSE))</f>
        <v>0</v>
      </c>
      <c r="C59" s="20" t="b">
        <f>IF(ISBLANK($A59), FALSE, VLOOKUP($A59, Candidates!$B$2:$P$1447, 9, FALSE))</f>
        <v>0</v>
      </c>
      <c r="D59" s="20" t="b">
        <f>IF(ISBLANK($A59), FALSE, VLOOKUP($A59, Candidates!$B$2:$P$1447, 10, FALSE))</f>
        <v>0</v>
      </c>
      <c r="E59" s="20" t="b">
        <f>IF(ISBLANK($A59), FALSE, VLOOKUP($A59, Candidates!$B$2:$P$1447, 11, FALSE))</f>
        <v>0</v>
      </c>
      <c r="F59" s="20" t="b">
        <f>IF(ISBLANK($A59), FALSE, VLOOKUP($A59, Candidates!$B$2:$P$1447, 12, FALSE))</f>
        <v>0</v>
      </c>
      <c r="G59" s="20" t="b">
        <f>IF(ISBLANK($A59), FALSE, VLOOKUP($A59, Candidates!$B$2:$P$1447, 13, FALSE))</f>
        <v>0</v>
      </c>
      <c r="H59" s="35" t="b">
        <f t="shared" si="1"/>
        <v>0</v>
      </c>
      <c r="I59" s="29" t="b">
        <f>VLOOKUP($A59, 'Overlap 2'!$B$2:$P$76, 8, FALSE)</f>
        <v>0</v>
      </c>
      <c r="J59" s="29" t="b">
        <f>VLOOKUP($A59, 'Overlap 2'!$B$2:$P$76, 9, FALSE)</f>
        <v>0</v>
      </c>
      <c r="K59" s="29" t="b">
        <f>VLOOKUP($A59, 'Overlap 2'!$B$2:$P$76, 10, FALSE)</f>
        <v>0</v>
      </c>
      <c r="L59" s="29" t="b">
        <f>VLOOKUP($A59, 'Overlap 2'!$B$2:$P$76, 11, FALSE)</f>
        <v>0</v>
      </c>
      <c r="M59" s="29" t="b">
        <f>VLOOKUP($A59, 'Overlap 2'!$B$2:$P$76, 12, FALSE)</f>
        <v>0</v>
      </c>
      <c r="N59" s="29" t="b">
        <f>VLOOKUP($A59, 'Overlap 2'!$B$2:$P$76, 13, FALSE)</f>
        <v>0</v>
      </c>
      <c r="O59" s="36" t="b">
        <f t="shared" si="2"/>
        <v>0</v>
      </c>
      <c r="P59" s="35" t="b">
        <f t="shared" si="3"/>
        <v>1</v>
      </c>
      <c r="Q59" s="7"/>
    </row>
    <row r="60">
      <c r="A60" s="34" t="str">
        <f>IFERROR(__xludf.DUMMYFUNCTION("""COMPUTED_VALUE"""),"E1068")</f>
        <v>E1068</v>
      </c>
      <c r="B60" s="20" t="b">
        <f>IF(ISBLANK($A60), FALSE, VLOOKUP($A60, Candidates!$B$2:$P$1447, 8, FALSE))</f>
        <v>0</v>
      </c>
      <c r="C60" s="20" t="b">
        <f>IF(ISBLANK($A60), FALSE, VLOOKUP($A60, Candidates!$B$2:$P$1447, 9, FALSE))</f>
        <v>1</v>
      </c>
      <c r="D60" s="20" t="b">
        <f>IF(ISBLANK($A60), FALSE, VLOOKUP($A60, Candidates!$B$2:$P$1447, 10, FALSE))</f>
        <v>1</v>
      </c>
      <c r="E60" s="20" t="b">
        <f>IF(ISBLANK($A60), FALSE, VLOOKUP($A60, Candidates!$B$2:$P$1447, 11, FALSE))</f>
        <v>0</v>
      </c>
      <c r="F60" s="20" t="b">
        <f>IF(ISBLANK($A60), FALSE, VLOOKUP($A60, Candidates!$B$2:$P$1447, 12, FALSE))</f>
        <v>0</v>
      </c>
      <c r="G60" s="20" t="b">
        <f>IF(ISBLANK($A60), FALSE, VLOOKUP($A60, Candidates!$B$2:$P$1447, 13, FALSE))</f>
        <v>0</v>
      </c>
      <c r="H60" s="35" t="b">
        <f t="shared" si="1"/>
        <v>0</v>
      </c>
      <c r="I60" s="29" t="b">
        <f>VLOOKUP($A60, 'Overlap 2'!$B$2:$P$76, 8, FALSE)</f>
        <v>0</v>
      </c>
      <c r="J60" s="29" t="b">
        <f>VLOOKUP($A60, 'Overlap 2'!$B$2:$P$76, 9, FALSE)</f>
        <v>0</v>
      </c>
      <c r="K60" s="29" t="b">
        <f>VLOOKUP($A60, 'Overlap 2'!$B$2:$P$76, 10, FALSE)</f>
        <v>0</v>
      </c>
      <c r="L60" s="29" t="b">
        <f>VLOOKUP($A60, 'Overlap 2'!$B$2:$P$76, 11, FALSE)</f>
        <v>0</v>
      </c>
      <c r="M60" s="29" t="b">
        <f>VLOOKUP($A60, 'Overlap 2'!$B$2:$P$76, 12, FALSE)</f>
        <v>0</v>
      </c>
      <c r="N60" s="29" t="b">
        <f>VLOOKUP($A60, 'Overlap 2'!$B$2:$P$76, 13, FALSE)</f>
        <v>0</v>
      </c>
      <c r="O60" s="36" t="b">
        <f t="shared" si="2"/>
        <v>0</v>
      </c>
      <c r="P60" s="35" t="b">
        <f t="shared" si="3"/>
        <v>1</v>
      </c>
      <c r="Q60" s="7"/>
    </row>
    <row r="61">
      <c r="A61" s="34" t="str">
        <f>IFERROR(__xludf.DUMMYFUNCTION("""COMPUTED_VALUE"""),"E1071")</f>
        <v>E1071</v>
      </c>
      <c r="B61" s="20" t="b">
        <f>IF(ISBLANK($A61), FALSE, VLOOKUP($A61, Candidates!$B$2:$P$1447, 8, FALSE))</f>
        <v>0</v>
      </c>
      <c r="C61" s="20" t="b">
        <f>IF(ISBLANK($A61), FALSE, VLOOKUP($A61, Candidates!$B$2:$P$1447, 9, FALSE))</f>
        <v>0</v>
      </c>
      <c r="D61" s="20" t="b">
        <f>IF(ISBLANK($A61), FALSE, VLOOKUP($A61, Candidates!$B$2:$P$1447, 10, FALSE))</f>
        <v>0</v>
      </c>
      <c r="E61" s="20" t="b">
        <f>IF(ISBLANK($A61), FALSE, VLOOKUP($A61, Candidates!$B$2:$P$1447, 11, FALSE))</f>
        <v>0</v>
      </c>
      <c r="F61" s="20" t="b">
        <f>IF(ISBLANK($A61), FALSE, VLOOKUP($A61, Candidates!$B$2:$P$1447, 12, FALSE))</f>
        <v>0</v>
      </c>
      <c r="G61" s="20" t="b">
        <f>IF(ISBLANK($A61), FALSE, VLOOKUP($A61, Candidates!$B$2:$P$1447, 13, FALSE))</f>
        <v>0</v>
      </c>
      <c r="H61" s="35" t="b">
        <f t="shared" si="1"/>
        <v>0</v>
      </c>
      <c r="I61" s="29" t="b">
        <f>VLOOKUP($A61, 'Overlap 2'!$B$2:$P$76, 8, FALSE)</f>
        <v>0</v>
      </c>
      <c r="J61" s="29" t="b">
        <f>VLOOKUP($A61, 'Overlap 2'!$B$2:$P$76, 9, FALSE)</f>
        <v>0</v>
      </c>
      <c r="K61" s="29" t="b">
        <f>VLOOKUP($A61, 'Overlap 2'!$B$2:$P$76, 10, FALSE)</f>
        <v>0</v>
      </c>
      <c r="L61" s="29" t="b">
        <f>VLOOKUP($A61, 'Overlap 2'!$B$2:$P$76, 11, FALSE)</f>
        <v>0</v>
      </c>
      <c r="M61" s="29" t="b">
        <f>VLOOKUP($A61, 'Overlap 2'!$B$2:$P$76, 12, FALSE)</f>
        <v>0</v>
      </c>
      <c r="N61" s="29" t="b">
        <f>VLOOKUP($A61, 'Overlap 2'!$B$2:$P$76, 13, FALSE)</f>
        <v>0</v>
      </c>
      <c r="O61" s="36" t="b">
        <f t="shared" si="2"/>
        <v>0</v>
      </c>
      <c r="P61" s="35" t="b">
        <f t="shared" si="3"/>
        <v>1</v>
      </c>
      <c r="Q61" s="7"/>
    </row>
    <row r="62">
      <c r="A62" s="34" t="str">
        <f>IFERROR(__xludf.DUMMYFUNCTION("""COMPUTED_VALUE"""),"E1085")</f>
        <v>E1085</v>
      </c>
      <c r="B62" s="20" t="b">
        <f>IF(ISBLANK($A62), FALSE, VLOOKUP($A62, Candidates!$B$2:$P$1447, 8, FALSE))</f>
        <v>1</v>
      </c>
      <c r="C62" s="20" t="b">
        <f>IF(ISBLANK($A62), FALSE, VLOOKUP($A62, Candidates!$B$2:$P$1447, 9, FALSE))</f>
        <v>1</v>
      </c>
      <c r="D62" s="20" t="b">
        <f>IF(ISBLANK($A62), FALSE, VLOOKUP($A62, Candidates!$B$2:$P$1447, 10, FALSE))</f>
        <v>0</v>
      </c>
      <c r="E62" s="20" t="b">
        <f>IF(ISBLANK($A62), FALSE, VLOOKUP($A62, Candidates!$B$2:$P$1447, 11, FALSE))</f>
        <v>0</v>
      </c>
      <c r="F62" s="20" t="b">
        <f>IF(ISBLANK($A62), FALSE, VLOOKUP($A62, Candidates!$B$2:$P$1447, 12, FALSE))</f>
        <v>0</v>
      </c>
      <c r="G62" s="20" t="b">
        <f>IF(ISBLANK($A62), FALSE, VLOOKUP($A62, Candidates!$B$2:$P$1447, 13, FALSE))</f>
        <v>0</v>
      </c>
      <c r="H62" s="35" t="b">
        <f t="shared" si="1"/>
        <v>0</v>
      </c>
      <c r="I62" s="29" t="b">
        <f>VLOOKUP($A62, 'Overlap 2'!$B$2:$P$76, 8, FALSE)</f>
        <v>1</v>
      </c>
      <c r="J62" s="29" t="b">
        <f>VLOOKUP($A62, 'Overlap 2'!$B$2:$P$76, 9, FALSE)</f>
        <v>1</v>
      </c>
      <c r="K62" s="29" t="b">
        <f>VLOOKUP($A62, 'Overlap 2'!$B$2:$P$76, 10, FALSE)</f>
        <v>0</v>
      </c>
      <c r="L62" s="29" t="b">
        <f>VLOOKUP($A62, 'Overlap 2'!$B$2:$P$76, 11, FALSE)</f>
        <v>0</v>
      </c>
      <c r="M62" s="29" t="b">
        <f>VLOOKUP($A62, 'Overlap 2'!$B$2:$P$76, 12, FALSE)</f>
        <v>0</v>
      </c>
      <c r="N62" s="29" t="b">
        <f>VLOOKUP($A62, 'Overlap 2'!$B$2:$P$76, 13, FALSE)</f>
        <v>0</v>
      </c>
      <c r="O62" s="36" t="b">
        <f t="shared" si="2"/>
        <v>0</v>
      </c>
      <c r="P62" s="35" t="b">
        <f t="shared" si="3"/>
        <v>1</v>
      </c>
      <c r="Q62" s="7"/>
    </row>
    <row r="63">
      <c r="A63" s="34" t="str">
        <f>IFERROR(__xludf.DUMMYFUNCTION("""COMPUTED_VALUE"""),"E1092")</f>
        <v>E1092</v>
      </c>
      <c r="B63" s="20" t="b">
        <f>IF(ISBLANK($A63), FALSE, VLOOKUP($A63, Candidates!$B$2:$P$1447, 8, FALSE))</f>
        <v>1</v>
      </c>
      <c r="C63" s="20" t="b">
        <f>IF(ISBLANK($A63), FALSE, VLOOKUP($A63, Candidates!$B$2:$P$1447, 9, FALSE))</f>
        <v>1</v>
      </c>
      <c r="D63" s="20" t="b">
        <f>IF(ISBLANK($A63), FALSE, VLOOKUP($A63, Candidates!$B$2:$P$1447, 10, FALSE))</f>
        <v>1</v>
      </c>
      <c r="E63" s="20" t="b">
        <f>IF(ISBLANK($A63), FALSE, VLOOKUP($A63, Candidates!$B$2:$P$1447, 11, FALSE))</f>
        <v>0</v>
      </c>
      <c r="F63" s="20" t="b">
        <f>IF(ISBLANK($A63), FALSE, VLOOKUP($A63, Candidates!$B$2:$P$1447, 12, FALSE))</f>
        <v>0</v>
      </c>
      <c r="G63" s="20" t="b">
        <f>IF(ISBLANK($A63), FALSE, VLOOKUP($A63, Candidates!$B$2:$P$1447, 13, FALSE))</f>
        <v>0</v>
      </c>
      <c r="H63" s="35" t="b">
        <f t="shared" si="1"/>
        <v>1</v>
      </c>
      <c r="I63" s="29" t="b">
        <f>VLOOKUP($A63, 'Overlap 2'!$B$2:$P$76, 8, FALSE)</f>
        <v>1</v>
      </c>
      <c r="J63" s="29" t="b">
        <f>VLOOKUP($A63, 'Overlap 2'!$B$2:$P$76, 9, FALSE)</f>
        <v>1</v>
      </c>
      <c r="K63" s="29" t="b">
        <f>VLOOKUP($A63, 'Overlap 2'!$B$2:$P$76, 10, FALSE)</f>
        <v>1</v>
      </c>
      <c r="L63" s="29" t="b">
        <f>VLOOKUP($A63, 'Overlap 2'!$B$2:$P$76, 11, FALSE)</f>
        <v>0</v>
      </c>
      <c r="M63" s="29" t="b">
        <f>VLOOKUP($A63, 'Overlap 2'!$B$2:$P$76, 12, FALSE)</f>
        <v>0</v>
      </c>
      <c r="N63" s="29" t="b">
        <f>VLOOKUP($A63, 'Overlap 2'!$B$2:$P$76, 13, FALSE)</f>
        <v>0</v>
      </c>
      <c r="O63" s="36" t="b">
        <f t="shared" si="2"/>
        <v>1</v>
      </c>
      <c r="P63" s="35" t="b">
        <f t="shared" si="3"/>
        <v>1</v>
      </c>
      <c r="Q63" s="7"/>
    </row>
    <row r="64">
      <c r="A64" s="34" t="str">
        <f>IFERROR(__xludf.DUMMYFUNCTION("""COMPUTED_VALUE"""),"E1117")</f>
        <v>E1117</v>
      </c>
      <c r="B64" s="20" t="b">
        <f>IF(ISBLANK($A64), FALSE, VLOOKUP($A64, Candidates!$B$2:$P$1447, 8, FALSE))</f>
        <v>0</v>
      </c>
      <c r="C64" s="20" t="b">
        <f>IF(ISBLANK($A64), FALSE, VLOOKUP($A64, Candidates!$B$2:$P$1447, 9, FALSE))</f>
        <v>0</v>
      </c>
      <c r="D64" s="20" t="b">
        <f>IF(ISBLANK($A64), FALSE, VLOOKUP($A64, Candidates!$B$2:$P$1447, 10, FALSE))</f>
        <v>0</v>
      </c>
      <c r="E64" s="20" t="b">
        <f>IF(ISBLANK($A64), FALSE, VLOOKUP($A64, Candidates!$B$2:$P$1447, 11, FALSE))</f>
        <v>0</v>
      </c>
      <c r="F64" s="20" t="b">
        <f>IF(ISBLANK($A64), FALSE, VLOOKUP($A64, Candidates!$B$2:$P$1447, 12, FALSE))</f>
        <v>0</v>
      </c>
      <c r="G64" s="20" t="b">
        <f>IF(ISBLANK($A64), FALSE, VLOOKUP($A64, Candidates!$B$2:$P$1447, 13, FALSE))</f>
        <v>0</v>
      </c>
      <c r="H64" s="35" t="b">
        <f t="shared" si="1"/>
        <v>0</v>
      </c>
      <c r="I64" s="29" t="b">
        <f>VLOOKUP($A64, 'Overlap 2'!$B$2:$P$76, 8, FALSE)</f>
        <v>0</v>
      </c>
      <c r="J64" s="29" t="b">
        <f>VLOOKUP($A64, 'Overlap 2'!$B$2:$P$76, 9, FALSE)</f>
        <v>0</v>
      </c>
      <c r="K64" s="29" t="b">
        <f>VLOOKUP($A64, 'Overlap 2'!$B$2:$P$76, 10, FALSE)</f>
        <v>0</v>
      </c>
      <c r="L64" s="29" t="b">
        <f>VLOOKUP($A64, 'Overlap 2'!$B$2:$P$76, 11, FALSE)</f>
        <v>0</v>
      </c>
      <c r="M64" s="29" t="b">
        <f>VLOOKUP($A64, 'Overlap 2'!$B$2:$P$76, 12, FALSE)</f>
        <v>0</v>
      </c>
      <c r="N64" s="29" t="b">
        <f>VLOOKUP($A64, 'Overlap 2'!$B$2:$P$76, 13, FALSE)</f>
        <v>0</v>
      </c>
      <c r="O64" s="36" t="b">
        <f t="shared" si="2"/>
        <v>0</v>
      </c>
      <c r="P64" s="35" t="b">
        <f t="shared" si="3"/>
        <v>1</v>
      </c>
      <c r="Q64" s="7"/>
    </row>
    <row r="65">
      <c r="A65" s="34" t="str">
        <f>IFERROR(__xludf.DUMMYFUNCTION("""COMPUTED_VALUE"""),"E1158")</f>
        <v>E1158</v>
      </c>
      <c r="B65" s="20" t="b">
        <f>IF(ISBLANK($A65), FALSE, VLOOKUP($A65, Candidates!$B$2:$P$1447, 8, FALSE))</f>
        <v>1</v>
      </c>
      <c r="C65" s="20" t="b">
        <f>IF(ISBLANK($A65), FALSE, VLOOKUP($A65, Candidates!$B$2:$P$1447, 9, FALSE))</f>
        <v>1</v>
      </c>
      <c r="D65" s="20" t="b">
        <f>IF(ISBLANK($A65), FALSE, VLOOKUP($A65, Candidates!$B$2:$P$1447, 10, FALSE))</f>
        <v>1</v>
      </c>
      <c r="E65" s="20" t="b">
        <f>IF(ISBLANK($A65), FALSE, VLOOKUP($A65, Candidates!$B$2:$P$1447, 11, FALSE))</f>
        <v>0</v>
      </c>
      <c r="F65" s="20" t="b">
        <f>IF(ISBLANK($A65), FALSE, VLOOKUP($A65, Candidates!$B$2:$P$1447, 12, FALSE))</f>
        <v>0</v>
      </c>
      <c r="G65" s="20" t="b">
        <f>IF(ISBLANK($A65), FALSE, VLOOKUP($A65, Candidates!$B$2:$P$1447, 13, FALSE))</f>
        <v>0</v>
      </c>
      <c r="H65" s="35" t="b">
        <f t="shared" si="1"/>
        <v>1</v>
      </c>
      <c r="I65" s="29" t="b">
        <f>VLOOKUP($A65, 'Overlap 2'!$B$2:$P$76, 8, FALSE)</f>
        <v>1</v>
      </c>
      <c r="J65" s="29" t="b">
        <f>VLOOKUP($A65, 'Overlap 2'!$B$2:$P$76, 9, FALSE)</f>
        <v>1</v>
      </c>
      <c r="K65" s="29" t="b">
        <f>VLOOKUP($A65, 'Overlap 2'!$B$2:$P$76, 10, FALSE)</f>
        <v>1</v>
      </c>
      <c r="L65" s="29" t="b">
        <f>VLOOKUP($A65, 'Overlap 2'!$B$2:$P$76, 11, FALSE)</f>
        <v>0</v>
      </c>
      <c r="M65" s="29" t="b">
        <f>VLOOKUP($A65, 'Overlap 2'!$B$2:$P$76, 12, FALSE)</f>
        <v>0</v>
      </c>
      <c r="N65" s="29" t="b">
        <f>VLOOKUP($A65, 'Overlap 2'!$B$2:$P$76, 13, FALSE)</f>
        <v>0</v>
      </c>
      <c r="O65" s="36" t="b">
        <f t="shared" si="2"/>
        <v>1</v>
      </c>
      <c r="P65" s="35" t="b">
        <f t="shared" si="3"/>
        <v>1</v>
      </c>
      <c r="Q65" s="7"/>
    </row>
    <row r="66">
      <c r="A66" s="34" t="str">
        <f>IFERROR(__xludf.DUMMYFUNCTION("""COMPUTED_VALUE"""),"E1177")</f>
        <v>E1177</v>
      </c>
      <c r="B66" s="20" t="b">
        <f>IF(ISBLANK($A66), FALSE, VLOOKUP($A66, Candidates!$B$2:$P$1447, 8, FALSE))</f>
        <v>0</v>
      </c>
      <c r="C66" s="20" t="b">
        <f>IF(ISBLANK($A66), FALSE, VLOOKUP($A66, Candidates!$B$2:$P$1447, 9, FALSE))</f>
        <v>0</v>
      </c>
      <c r="D66" s="20" t="b">
        <f>IF(ISBLANK($A66), FALSE, VLOOKUP($A66, Candidates!$B$2:$P$1447, 10, FALSE))</f>
        <v>0</v>
      </c>
      <c r="E66" s="20" t="b">
        <f>IF(ISBLANK($A66), FALSE, VLOOKUP($A66, Candidates!$B$2:$P$1447, 11, FALSE))</f>
        <v>0</v>
      </c>
      <c r="F66" s="20" t="b">
        <f>IF(ISBLANK($A66), FALSE, VLOOKUP($A66, Candidates!$B$2:$P$1447, 12, FALSE))</f>
        <v>0</v>
      </c>
      <c r="G66" s="20" t="b">
        <f>IF(ISBLANK($A66), FALSE, VLOOKUP($A66, Candidates!$B$2:$P$1447, 13, FALSE))</f>
        <v>0</v>
      </c>
      <c r="H66" s="35" t="b">
        <f t="shared" si="1"/>
        <v>0</v>
      </c>
      <c r="I66" s="29" t="b">
        <f>VLOOKUP($A66, 'Overlap 2'!$B$2:$P$76, 8, FALSE)</f>
        <v>0</v>
      </c>
      <c r="J66" s="29" t="b">
        <f>VLOOKUP($A66, 'Overlap 2'!$B$2:$P$76, 9, FALSE)</f>
        <v>0</v>
      </c>
      <c r="K66" s="29" t="b">
        <f>VLOOKUP($A66, 'Overlap 2'!$B$2:$P$76, 10, FALSE)</f>
        <v>0</v>
      </c>
      <c r="L66" s="29" t="b">
        <f>VLOOKUP($A66, 'Overlap 2'!$B$2:$P$76, 11, FALSE)</f>
        <v>0</v>
      </c>
      <c r="M66" s="29" t="b">
        <f>VLOOKUP($A66, 'Overlap 2'!$B$2:$P$76, 12, FALSE)</f>
        <v>0</v>
      </c>
      <c r="N66" s="29" t="b">
        <f>VLOOKUP($A66, 'Overlap 2'!$B$2:$P$76, 13, FALSE)</f>
        <v>0</v>
      </c>
      <c r="O66" s="36" t="b">
        <f t="shared" si="2"/>
        <v>0</v>
      </c>
      <c r="P66" s="35" t="b">
        <f t="shared" si="3"/>
        <v>1</v>
      </c>
      <c r="Q66" s="7"/>
    </row>
    <row r="67">
      <c r="A67" s="34" t="str">
        <f>IFERROR(__xludf.DUMMYFUNCTION("""COMPUTED_VALUE"""),"E1193")</f>
        <v>E1193</v>
      </c>
      <c r="B67" s="20" t="b">
        <f>IF(ISBLANK($A67), FALSE, VLOOKUP($A67, Candidates!$B$2:$P$1447, 8, FALSE))</f>
        <v>0</v>
      </c>
      <c r="C67" s="20" t="b">
        <f>IF(ISBLANK($A67), FALSE, VLOOKUP($A67, Candidates!$B$2:$P$1447, 9, FALSE))</f>
        <v>0</v>
      </c>
      <c r="D67" s="20" t="b">
        <f>IF(ISBLANK($A67), FALSE, VLOOKUP($A67, Candidates!$B$2:$P$1447, 10, FALSE))</f>
        <v>0</v>
      </c>
      <c r="E67" s="20" t="b">
        <f>IF(ISBLANK($A67), FALSE, VLOOKUP($A67, Candidates!$B$2:$P$1447, 11, FALSE))</f>
        <v>0</v>
      </c>
      <c r="F67" s="20" t="b">
        <f>IF(ISBLANK($A67), FALSE, VLOOKUP($A67, Candidates!$B$2:$P$1447, 12, FALSE))</f>
        <v>0</v>
      </c>
      <c r="G67" s="20" t="b">
        <f>IF(ISBLANK($A67), FALSE, VLOOKUP($A67, Candidates!$B$2:$P$1447, 13, FALSE))</f>
        <v>0</v>
      </c>
      <c r="H67" s="35" t="b">
        <f t="shared" si="1"/>
        <v>0</v>
      </c>
      <c r="I67" s="29" t="b">
        <f>VLOOKUP($A67, 'Overlap 2'!$B$2:$P$76, 8, FALSE)</f>
        <v>1</v>
      </c>
      <c r="J67" s="29" t="b">
        <f>VLOOKUP($A67, 'Overlap 2'!$B$2:$P$76, 9, FALSE)</f>
        <v>0</v>
      </c>
      <c r="K67" s="29" t="b">
        <f>VLOOKUP($A67, 'Overlap 2'!$B$2:$P$76, 10, FALSE)</f>
        <v>0</v>
      </c>
      <c r="L67" s="29" t="b">
        <f>VLOOKUP($A67, 'Overlap 2'!$B$2:$P$76, 11, FALSE)</f>
        <v>0</v>
      </c>
      <c r="M67" s="29" t="b">
        <f>VLOOKUP($A67, 'Overlap 2'!$B$2:$P$76, 12, FALSE)</f>
        <v>0</v>
      </c>
      <c r="N67" s="29" t="b">
        <f>VLOOKUP($A67, 'Overlap 2'!$B$2:$P$76, 13, FALSE)</f>
        <v>0</v>
      </c>
      <c r="O67" s="36" t="b">
        <f t="shared" si="2"/>
        <v>0</v>
      </c>
      <c r="P67" s="35" t="b">
        <f t="shared" si="3"/>
        <v>1</v>
      </c>
      <c r="Q67" s="7"/>
    </row>
    <row r="68">
      <c r="A68" s="34" t="str">
        <f>IFERROR(__xludf.DUMMYFUNCTION("""COMPUTED_VALUE"""),"E1211")</f>
        <v>E1211</v>
      </c>
      <c r="B68" s="20" t="b">
        <f>IF(ISBLANK($A68), FALSE, VLOOKUP($A68, Candidates!$B$2:$P$1447, 8, FALSE))</f>
        <v>0</v>
      </c>
      <c r="C68" s="20" t="b">
        <f>IF(ISBLANK($A68), FALSE, VLOOKUP($A68, Candidates!$B$2:$P$1447, 9, FALSE))</f>
        <v>0</v>
      </c>
      <c r="D68" s="20" t="b">
        <f>IF(ISBLANK($A68), FALSE, VLOOKUP($A68, Candidates!$B$2:$P$1447, 10, FALSE))</f>
        <v>0</v>
      </c>
      <c r="E68" s="20" t="b">
        <f>IF(ISBLANK($A68), FALSE, VLOOKUP($A68, Candidates!$B$2:$P$1447, 11, FALSE))</f>
        <v>0</v>
      </c>
      <c r="F68" s="20" t="b">
        <f>IF(ISBLANK($A68), FALSE, VLOOKUP($A68, Candidates!$B$2:$P$1447, 12, FALSE))</f>
        <v>0</v>
      </c>
      <c r="G68" s="20" t="b">
        <f>IF(ISBLANK($A68), FALSE, VLOOKUP($A68, Candidates!$B$2:$P$1447, 13, FALSE))</f>
        <v>0</v>
      </c>
      <c r="H68" s="35" t="b">
        <f t="shared" si="1"/>
        <v>0</v>
      </c>
      <c r="I68" s="29" t="b">
        <f>VLOOKUP($A68, 'Overlap 2'!$B$2:$P$76, 8, FALSE)</f>
        <v>0</v>
      </c>
      <c r="J68" s="29" t="b">
        <f>VLOOKUP($A68, 'Overlap 2'!$B$2:$P$76, 9, FALSE)</f>
        <v>0</v>
      </c>
      <c r="K68" s="29" t="b">
        <f>VLOOKUP($A68, 'Overlap 2'!$B$2:$P$76, 10, FALSE)</f>
        <v>0</v>
      </c>
      <c r="L68" s="29" t="b">
        <f>VLOOKUP($A68, 'Overlap 2'!$B$2:$P$76, 11, FALSE)</f>
        <v>0</v>
      </c>
      <c r="M68" s="29" t="b">
        <f>VLOOKUP($A68, 'Overlap 2'!$B$2:$P$76, 12, FALSE)</f>
        <v>0</v>
      </c>
      <c r="N68" s="29" t="b">
        <f>VLOOKUP($A68, 'Overlap 2'!$B$2:$P$76, 13, FALSE)</f>
        <v>0</v>
      </c>
      <c r="O68" s="36" t="b">
        <f t="shared" si="2"/>
        <v>0</v>
      </c>
      <c r="P68" s="35" t="b">
        <f t="shared" si="3"/>
        <v>1</v>
      </c>
      <c r="Q68" s="7"/>
    </row>
    <row r="69">
      <c r="A69" s="34" t="str">
        <f>IFERROR(__xludf.DUMMYFUNCTION("""COMPUTED_VALUE"""),"E1223")</f>
        <v>E1223</v>
      </c>
      <c r="B69" s="20" t="b">
        <f>IF(ISBLANK($A69), FALSE, VLOOKUP($A69, Candidates!$B$2:$P$1447, 8, FALSE))</f>
        <v>0</v>
      </c>
      <c r="C69" s="20" t="b">
        <f>IF(ISBLANK($A69), FALSE, VLOOKUP($A69, Candidates!$B$2:$P$1447, 9, FALSE))</f>
        <v>0</v>
      </c>
      <c r="D69" s="20" t="b">
        <f>IF(ISBLANK($A69), FALSE, VLOOKUP($A69, Candidates!$B$2:$P$1447, 10, FALSE))</f>
        <v>0</v>
      </c>
      <c r="E69" s="20" t="b">
        <f>IF(ISBLANK($A69), FALSE, VLOOKUP($A69, Candidates!$B$2:$P$1447, 11, FALSE))</f>
        <v>0</v>
      </c>
      <c r="F69" s="20" t="b">
        <f>IF(ISBLANK($A69), FALSE, VLOOKUP($A69, Candidates!$B$2:$P$1447, 12, FALSE))</f>
        <v>0</v>
      </c>
      <c r="G69" s="20" t="b">
        <f>IF(ISBLANK($A69), FALSE, VLOOKUP($A69, Candidates!$B$2:$P$1447, 13, FALSE))</f>
        <v>0</v>
      </c>
      <c r="H69" s="35" t="b">
        <f t="shared" si="1"/>
        <v>0</v>
      </c>
      <c r="I69" s="29" t="b">
        <f>VLOOKUP($A69, 'Overlap 2'!$B$2:$P$76, 8, FALSE)</f>
        <v>0</v>
      </c>
      <c r="J69" s="29" t="b">
        <f>VLOOKUP($A69, 'Overlap 2'!$B$2:$P$76, 9, FALSE)</f>
        <v>0</v>
      </c>
      <c r="K69" s="29" t="b">
        <f>VLOOKUP($A69, 'Overlap 2'!$B$2:$P$76, 10, FALSE)</f>
        <v>0</v>
      </c>
      <c r="L69" s="29" t="b">
        <f>VLOOKUP($A69, 'Overlap 2'!$B$2:$P$76, 11, FALSE)</f>
        <v>0</v>
      </c>
      <c r="M69" s="29" t="b">
        <f>VLOOKUP($A69, 'Overlap 2'!$B$2:$P$76, 12, FALSE)</f>
        <v>0</v>
      </c>
      <c r="N69" s="29" t="b">
        <f>VLOOKUP($A69, 'Overlap 2'!$B$2:$P$76, 13, FALSE)</f>
        <v>0</v>
      </c>
      <c r="O69" s="36" t="b">
        <f t="shared" si="2"/>
        <v>0</v>
      </c>
      <c r="P69" s="35" t="b">
        <f t="shared" si="3"/>
        <v>1</v>
      </c>
      <c r="Q69" s="7"/>
    </row>
    <row r="70">
      <c r="A70" s="34" t="str">
        <f>IFERROR(__xludf.DUMMYFUNCTION("""COMPUTED_VALUE"""),"E1236")</f>
        <v>E1236</v>
      </c>
      <c r="B70" s="20" t="b">
        <f>IF(ISBLANK($A70), FALSE, VLOOKUP($A70, Candidates!$B$2:$P$1447, 8, FALSE))</f>
        <v>0</v>
      </c>
      <c r="C70" s="20" t="b">
        <f>IF(ISBLANK($A70), FALSE, VLOOKUP($A70, Candidates!$B$2:$P$1447, 9, FALSE))</f>
        <v>0</v>
      </c>
      <c r="D70" s="20" t="b">
        <f>IF(ISBLANK($A70), FALSE, VLOOKUP($A70, Candidates!$B$2:$P$1447, 10, FALSE))</f>
        <v>0</v>
      </c>
      <c r="E70" s="20" t="b">
        <f>IF(ISBLANK($A70), FALSE, VLOOKUP($A70, Candidates!$B$2:$P$1447, 11, FALSE))</f>
        <v>0</v>
      </c>
      <c r="F70" s="20" t="b">
        <f>IF(ISBLANK($A70), FALSE, VLOOKUP($A70, Candidates!$B$2:$P$1447, 12, FALSE))</f>
        <v>0</v>
      </c>
      <c r="G70" s="20" t="b">
        <f>IF(ISBLANK($A70), FALSE, VLOOKUP($A70, Candidates!$B$2:$P$1447, 13, FALSE))</f>
        <v>0</v>
      </c>
      <c r="H70" s="35" t="b">
        <f t="shared" si="1"/>
        <v>0</v>
      </c>
      <c r="I70" s="29" t="b">
        <f>VLOOKUP($A70, 'Overlap 2'!$B$2:$P$76, 8, FALSE)</f>
        <v>0</v>
      </c>
      <c r="J70" s="29" t="b">
        <f>VLOOKUP($A70, 'Overlap 2'!$B$2:$P$76, 9, FALSE)</f>
        <v>0</v>
      </c>
      <c r="K70" s="29" t="b">
        <f>VLOOKUP($A70, 'Overlap 2'!$B$2:$P$76, 10, FALSE)</f>
        <v>0</v>
      </c>
      <c r="L70" s="29" t="b">
        <f>VLOOKUP($A70, 'Overlap 2'!$B$2:$P$76, 11, FALSE)</f>
        <v>0</v>
      </c>
      <c r="M70" s="29" t="b">
        <f>VLOOKUP($A70, 'Overlap 2'!$B$2:$P$76, 12, FALSE)</f>
        <v>0</v>
      </c>
      <c r="N70" s="29" t="b">
        <f>VLOOKUP($A70, 'Overlap 2'!$B$2:$P$76, 13, FALSE)</f>
        <v>0</v>
      </c>
      <c r="O70" s="36" t="b">
        <f t="shared" si="2"/>
        <v>0</v>
      </c>
      <c r="P70" s="35" t="b">
        <f t="shared" si="3"/>
        <v>1</v>
      </c>
      <c r="Q70" s="7"/>
    </row>
    <row r="71">
      <c r="A71" s="34" t="str">
        <f>IFERROR(__xludf.DUMMYFUNCTION("""COMPUTED_VALUE"""),"E1277")</f>
        <v>E1277</v>
      </c>
      <c r="B71" s="20" t="b">
        <f>IF(ISBLANK($A71), FALSE, VLOOKUP($A71, Candidates!$B$2:$P$1447, 8, FALSE))</f>
        <v>0</v>
      </c>
      <c r="C71" s="20" t="b">
        <f>IF(ISBLANK($A71), FALSE, VLOOKUP($A71, Candidates!$B$2:$P$1447, 9, FALSE))</f>
        <v>0</v>
      </c>
      <c r="D71" s="20" t="b">
        <f>IF(ISBLANK($A71), FALSE, VLOOKUP($A71, Candidates!$B$2:$P$1447, 10, FALSE))</f>
        <v>0</v>
      </c>
      <c r="E71" s="20" t="b">
        <f>IF(ISBLANK($A71), FALSE, VLOOKUP($A71, Candidates!$B$2:$P$1447, 11, FALSE))</f>
        <v>0</v>
      </c>
      <c r="F71" s="20" t="b">
        <f>IF(ISBLANK($A71), FALSE, VLOOKUP($A71, Candidates!$B$2:$P$1447, 12, FALSE))</f>
        <v>0</v>
      </c>
      <c r="G71" s="20" t="b">
        <f>IF(ISBLANK($A71), FALSE, VLOOKUP($A71, Candidates!$B$2:$P$1447, 13, FALSE))</f>
        <v>0</v>
      </c>
      <c r="H71" s="35" t="b">
        <f t="shared" si="1"/>
        <v>0</v>
      </c>
      <c r="I71" s="29" t="b">
        <f>VLOOKUP($A71, 'Overlap 2'!$B$2:$P$76, 8, FALSE)</f>
        <v>0</v>
      </c>
      <c r="J71" s="29" t="b">
        <f>VLOOKUP($A71, 'Overlap 2'!$B$2:$P$76, 9, FALSE)</f>
        <v>0</v>
      </c>
      <c r="K71" s="29" t="b">
        <f>VLOOKUP($A71, 'Overlap 2'!$B$2:$P$76, 10, FALSE)</f>
        <v>0</v>
      </c>
      <c r="L71" s="29" t="b">
        <f>VLOOKUP($A71, 'Overlap 2'!$B$2:$P$76, 11, FALSE)</f>
        <v>0</v>
      </c>
      <c r="M71" s="29" t="b">
        <f>VLOOKUP($A71, 'Overlap 2'!$B$2:$P$76, 12, FALSE)</f>
        <v>0</v>
      </c>
      <c r="N71" s="29" t="b">
        <f>VLOOKUP($A71, 'Overlap 2'!$B$2:$P$76, 13, FALSE)</f>
        <v>0</v>
      </c>
      <c r="O71" s="36" t="b">
        <f t="shared" si="2"/>
        <v>0</v>
      </c>
      <c r="P71" s="35" t="b">
        <f t="shared" si="3"/>
        <v>1</v>
      </c>
      <c r="Q71" s="7"/>
    </row>
    <row r="72">
      <c r="A72" s="34" t="str">
        <f>IFERROR(__xludf.DUMMYFUNCTION("""COMPUTED_VALUE"""),"E1279")</f>
        <v>E1279</v>
      </c>
      <c r="B72" s="20" t="b">
        <f>IF(ISBLANK($A72), FALSE, VLOOKUP($A72, Candidates!$B$2:$P$1447, 8, FALSE))</f>
        <v>0</v>
      </c>
      <c r="C72" s="20" t="b">
        <f>IF(ISBLANK($A72), FALSE, VLOOKUP($A72, Candidates!$B$2:$P$1447, 9, FALSE))</f>
        <v>0</v>
      </c>
      <c r="D72" s="20" t="b">
        <f>IF(ISBLANK($A72), FALSE, VLOOKUP($A72, Candidates!$B$2:$P$1447, 10, FALSE))</f>
        <v>0</v>
      </c>
      <c r="E72" s="20" t="b">
        <f>IF(ISBLANK($A72), FALSE, VLOOKUP($A72, Candidates!$B$2:$P$1447, 11, FALSE))</f>
        <v>0</v>
      </c>
      <c r="F72" s="20" t="b">
        <f>IF(ISBLANK($A72), FALSE, VLOOKUP($A72, Candidates!$B$2:$P$1447, 12, FALSE))</f>
        <v>0</v>
      </c>
      <c r="G72" s="20" t="b">
        <f>IF(ISBLANK($A72), FALSE, VLOOKUP($A72, Candidates!$B$2:$P$1447, 13, FALSE))</f>
        <v>0</v>
      </c>
      <c r="H72" s="35" t="b">
        <f t="shared" si="1"/>
        <v>0</v>
      </c>
      <c r="I72" s="29" t="b">
        <f>VLOOKUP($A72, 'Overlap 2'!$B$2:$P$76, 8, FALSE)</f>
        <v>0</v>
      </c>
      <c r="J72" s="29" t="b">
        <f>VLOOKUP($A72, 'Overlap 2'!$B$2:$P$76, 9, FALSE)</f>
        <v>0</v>
      </c>
      <c r="K72" s="29" t="b">
        <f>VLOOKUP($A72, 'Overlap 2'!$B$2:$P$76, 10, FALSE)</f>
        <v>0</v>
      </c>
      <c r="L72" s="29" t="b">
        <f>VLOOKUP($A72, 'Overlap 2'!$B$2:$P$76, 11, FALSE)</f>
        <v>0</v>
      </c>
      <c r="M72" s="29" t="b">
        <f>VLOOKUP($A72, 'Overlap 2'!$B$2:$P$76, 12, FALSE)</f>
        <v>0</v>
      </c>
      <c r="N72" s="29" t="b">
        <f>VLOOKUP($A72, 'Overlap 2'!$B$2:$P$76, 13, FALSE)</f>
        <v>0</v>
      </c>
      <c r="O72" s="36" t="b">
        <f t="shared" si="2"/>
        <v>0</v>
      </c>
      <c r="P72" s="35" t="b">
        <f t="shared" si="3"/>
        <v>1</v>
      </c>
      <c r="Q72" s="7"/>
    </row>
    <row r="73">
      <c r="A73" s="34" t="str">
        <f>IFERROR(__xludf.DUMMYFUNCTION("""COMPUTED_VALUE"""),"E1315")</f>
        <v>E1315</v>
      </c>
      <c r="B73" s="20" t="b">
        <f>IF(ISBLANK($A73), FALSE, VLOOKUP($A73, Candidates!$B$2:$P$1447, 8, FALSE))</f>
        <v>0</v>
      </c>
      <c r="C73" s="20" t="b">
        <f>IF(ISBLANK($A73), FALSE, VLOOKUP($A73, Candidates!$B$2:$P$1447, 9, FALSE))</f>
        <v>0</v>
      </c>
      <c r="D73" s="20" t="b">
        <f>IF(ISBLANK($A73), FALSE, VLOOKUP($A73, Candidates!$B$2:$P$1447, 10, FALSE))</f>
        <v>0</v>
      </c>
      <c r="E73" s="20" t="b">
        <f>IF(ISBLANK($A73), FALSE, VLOOKUP($A73, Candidates!$B$2:$P$1447, 11, FALSE))</f>
        <v>0</v>
      </c>
      <c r="F73" s="20" t="b">
        <f>IF(ISBLANK($A73), FALSE, VLOOKUP($A73, Candidates!$B$2:$P$1447, 12, FALSE))</f>
        <v>0</v>
      </c>
      <c r="G73" s="20" t="b">
        <f>IF(ISBLANK($A73), FALSE, VLOOKUP($A73, Candidates!$B$2:$P$1447, 13, FALSE))</f>
        <v>0</v>
      </c>
      <c r="H73" s="35" t="b">
        <f t="shared" si="1"/>
        <v>0</v>
      </c>
      <c r="I73" s="29" t="b">
        <f>VLOOKUP($A73, 'Overlap 2'!$B$2:$P$76, 8, FALSE)</f>
        <v>0</v>
      </c>
      <c r="J73" s="29" t="b">
        <f>VLOOKUP($A73, 'Overlap 2'!$B$2:$P$76, 9, FALSE)</f>
        <v>0</v>
      </c>
      <c r="K73" s="29" t="b">
        <f>VLOOKUP($A73, 'Overlap 2'!$B$2:$P$76, 10, FALSE)</f>
        <v>0</v>
      </c>
      <c r="L73" s="29" t="b">
        <f>VLOOKUP($A73, 'Overlap 2'!$B$2:$P$76, 11, FALSE)</f>
        <v>0</v>
      </c>
      <c r="M73" s="29" t="b">
        <f>VLOOKUP($A73, 'Overlap 2'!$B$2:$P$76, 12, FALSE)</f>
        <v>0</v>
      </c>
      <c r="N73" s="29" t="b">
        <f>VLOOKUP($A73, 'Overlap 2'!$B$2:$P$76, 13, FALSE)</f>
        <v>0</v>
      </c>
      <c r="O73" s="36" t="b">
        <f t="shared" si="2"/>
        <v>0</v>
      </c>
      <c r="P73" s="35" t="b">
        <f t="shared" si="3"/>
        <v>1</v>
      </c>
      <c r="Q73" s="7"/>
    </row>
    <row r="74">
      <c r="A74" s="34" t="str">
        <f>IFERROR(__xludf.DUMMYFUNCTION("""COMPUTED_VALUE"""),"E1327")</f>
        <v>E1327</v>
      </c>
      <c r="B74" s="20" t="b">
        <f>IF(ISBLANK($A74), FALSE, VLOOKUP($A74, Candidates!$B$2:$P$1447, 8, FALSE))</f>
        <v>0</v>
      </c>
      <c r="C74" s="20" t="b">
        <f>IF(ISBLANK($A74), FALSE, VLOOKUP($A74, Candidates!$B$2:$P$1447, 9, FALSE))</f>
        <v>0</v>
      </c>
      <c r="D74" s="20" t="b">
        <f>IF(ISBLANK($A74), FALSE, VLOOKUP($A74, Candidates!$B$2:$P$1447, 10, FALSE))</f>
        <v>0</v>
      </c>
      <c r="E74" s="20" t="b">
        <f>IF(ISBLANK($A74), FALSE, VLOOKUP($A74, Candidates!$B$2:$P$1447, 11, FALSE))</f>
        <v>0</v>
      </c>
      <c r="F74" s="20" t="b">
        <f>IF(ISBLANK($A74), FALSE, VLOOKUP($A74, Candidates!$B$2:$P$1447, 12, FALSE))</f>
        <v>0</v>
      </c>
      <c r="G74" s="20" t="b">
        <f>IF(ISBLANK($A74), FALSE, VLOOKUP($A74, Candidates!$B$2:$P$1447, 13, FALSE))</f>
        <v>0</v>
      </c>
      <c r="H74" s="35" t="b">
        <f t="shared" si="1"/>
        <v>0</v>
      </c>
      <c r="I74" s="29" t="b">
        <f>VLOOKUP($A74, 'Overlap 2'!$B$2:$P$76, 8, FALSE)</f>
        <v>0</v>
      </c>
      <c r="J74" s="29" t="b">
        <f>VLOOKUP($A74, 'Overlap 2'!$B$2:$P$76, 9, FALSE)</f>
        <v>0</v>
      </c>
      <c r="K74" s="29" t="b">
        <f>VLOOKUP($A74, 'Overlap 2'!$B$2:$P$76, 10, FALSE)</f>
        <v>0</v>
      </c>
      <c r="L74" s="29" t="b">
        <f>VLOOKUP($A74, 'Overlap 2'!$B$2:$P$76, 11, FALSE)</f>
        <v>0</v>
      </c>
      <c r="M74" s="29" t="b">
        <f>VLOOKUP($A74, 'Overlap 2'!$B$2:$P$76, 12, FALSE)</f>
        <v>0</v>
      </c>
      <c r="N74" s="29" t="b">
        <f>VLOOKUP($A74, 'Overlap 2'!$B$2:$P$76, 13, FALSE)</f>
        <v>0</v>
      </c>
      <c r="O74" s="36" t="b">
        <f t="shared" si="2"/>
        <v>0</v>
      </c>
      <c r="P74" s="35" t="b">
        <f t="shared" si="3"/>
        <v>1</v>
      </c>
      <c r="Q74" s="7"/>
    </row>
    <row r="75">
      <c r="A75" s="34" t="str">
        <f>IFERROR(__xludf.DUMMYFUNCTION("""COMPUTED_VALUE"""),"E1347")</f>
        <v>E1347</v>
      </c>
      <c r="B75" s="20" t="b">
        <f>IF(ISBLANK($A75), FALSE, VLOOKUP($A75, Candidates!$B$2:$P$1447, 8, FALSE))</f>
        <v>0</v>
      </c>
      <c r="C75" s="20" t="b">
        <f>IF(ISBLANK($A75), FALSE, VLOOKUP($A75, Candidates!$B$2:$P$1447, 9, FALSE))</f>
        <v>0</v>
      </c>
      <c r="D75" s="20" t="b">
        <f>IF(ISBLANK($A75), FALSE, VLOOKUP($A75, Candidates!$B$2:$P$1447, 10, FALSE))</f>
        <v>0</v>
      </c>
      <c r="E75" s="20" t="b">
        <f>IF(ISBLANK($A75), FALSE, VLOOKUP($A75, Candidates!$B$2:$P$1447, 11, FALSE))</f>
        <v>0</v>
      </c>
      <c r="F75" s="20" t="b">
        <f>IF(ISBLANK($A75), FALSE, VLOOKUP($A75, Candidates!$B$2:$P$1447, 12, FALSE))</f>
        <v>0</v>
      </c>
      <c r="G75" s="20" t="b">
        <f>IF(ISBLANK($A75), FALSE, VLOOKUP($A75, Candidates!$B$2:$P$1447, 13, FALSE))</f>
        <v>0</v>
      </c>
      <c r="H75" s="35" t="b">
        <f t="shared" si="1"/>
        <v>0</v>
      </c>
      <c r="I75" s="29" t="b">
        <f>VLOOKUP($A75, 'Overlap 2'!$B$2:$P$76, 8, FALSE)</f>
        <v>0</v>
      </c>
      <c r="J75" s="29" t="b">
        <f>VLOOKUP($A75, 'Overlap 2'!$B$2:$P$76, 9, FALSE)</f>
        <v>0</v>
      </c>
      <c r="K75" s="29" t="b">
        <f>VLOOKUP($A75, 'Overlap 2'!$B$2:$P$76, 10, FALSE)</f>
        <v>0</v>
      </c>
      <c r="L75" s="29" t="b">
        <f>VLOOKUP($A75, 'Overlap 2'!$B$2:$P$76, 11, FALSE)</f>
        <v>0</v>
      </c>
      <c r="M75" s="29" t="b">
        <f>VLOOKUP($A75, 'Overlap 2'!$B$2:$P$76, 12, FALSE)</f>
        <v>0</v>
      </c>
      <c r="N75" s="29" t="b">
        <f>VLOOKUP($A75, 'Overlap 2'!$B$2:$P$76, 13, FALSE)</f>
        <v>0</v>
      </c>
      <c r="O75" s="36" t="b">
        <f t="shared" si="2"/>
        <v>0</v>
      </c>
      <c r="P75" s="35" t="b">
        <f t="shared" si="3"/>
        <v>1</v>
      </c>
      <c r="Q75" s="7"/>
    </row>
    <row r="76">
      <c r="A76" s="34" t="str">
        <f>IFERROR(__xludf.DUMMYFUNCTION("""COMPUTED_VALUE"""),"E1361")</f>
        <v>E1361</v>
      </c>
      <c r="B76" s="20" t="b">
        <f>IF(ISBLANK($A76), FALSE, VLOOKUP($A76, Candidates!$B$2:$P$1447, 8, FALSE))</f>
        <v>0</v>
      </c>
      <c r="C76" s="20" t="b">
        <f>IF(ISBLANK($A76), FALSE, VLOOKUP($A76, Candidates!$B$2:$P$1447, 9, FALSE))</f>
        <v>0</v>
      </c>
      <c r="D76" s="20" t="b">
        <f>IF(ISBLANK($A76), FALSE, VLOOKUP($A76, Candidates!$B$2:$P$1447, 10, FALSE))</f>
        <v>0</v>
      </c>
      <c r="E76" s="20" t="b">
        <f>IF(ISBLANK($A76), FALSE, VLOOKUP($A76, Candidates!$B$2:$P$1447, 11, FALSE))</f>
        <v>0</v>
      </c>
      <c r="F76" s="20" t="b">
        <f>IF(ISBLANK($A76), FALSE, VLOOKUP($A76, Candidates!$B$2:$P$1447, 12, FALSE))</f>
        <v>0</v>
      </c>
      <c r="G76" s="20" t="b">
        <f>IF(ISBLANK($A76), FALSE, VLOOKUP($A76, Candidates!$B$2:$P$1447, 13, FALSE))</f>
        <v>0</v>
      </c>
      <c r="H76" s="35" t="b">
        <f t="shared" si="1"/>
        <v>0</v>
      </c>
      <c r="I76" s="29" t="b">
        <f>VLOOKUP($A76, 'Overlap 2'!$B$2:$P$76, 8, FALSE)</f>
        <v>0</v>
      </c>
      <c r="J76" s="29" t="b">
        <f>VLOOKUP($A76, 'Overlap 2'!$B$2:$P$76, 9, FALSE)</f>
        <v>0</v>
      </c>
      <c r="K76" s="29" t="b">
        <f>VLOOKUP($A76, 'Overlap 2'!$B$2:$P$76, 10, FALSE)</f>
        <v>0</v>
      </c>
      <c r="L76" s="29" t="b">
        <f>VLOOKUP($A76, 'Overlap 2'!$B$2:$P$76, 11, FALSE)</f>
        <v>0</v>
      </c>
      <c r="M76" s="29" t="b">
        <f>VLOOKUP($A76, 'Overlap 2'!$B$2:$P$76, 12, FALSE)</f>
        <v>0</v>
      </c>
      <c r="N76" s="29" t="b">
        <f>VLOOKUP($A76, 'Overlap 2'!$B$2:$P$76, 13, FALSE)</f>
        <v>0</v>
      </c>
      <c r="O76" s="36" t="b">
        <f t="shared" si="2"/>
        <v>0</v>
      </c>
      <c r="P76" s="35" t="b">
        <f t="shared" si="3"/>
        <v>1</v>
      </c>
      <c r="Q76" s="7"/>
    </row>
    <row r="77">
      <c r="A77" s="34" t="str">
        <f>IFERROR(__xludf.DUMMYFUNCTION("""COMPUTED_VALUE"""),"E1443")</f>
        <v>E1443</v>
      </c>
      <c r="B77" s="20" t="b">
        <f>IF(ISBLANK($A77), FALSE, VLOOKUP($A77, Candidates!$B$2:$P$1447, 8, FALSE))</f>
        <v>0</v>
      </c>
      <c r="C77" s="20" t="b">
        <f>IF(ISBLANK($A77), FALSE, VLOOKUP($A77, Candidates!$B$2:$P$1447, 9, FALSE))</f>
        <v>0</v>
      </c>
      <c r="D77" s="20" t="b">
        <f>IF(ISBLANK($A77), FALSE, VLOOKUP($A77, Candidates!$B$2:$P$1447, 10, FALSE))</f>
        <v>0</v>
      </c>
      <c r="E77" s="20" t="b">
        <f>IF(ISBLANK($A77), FALSE, VLOOKUP($A77, Candidates!$B$2:$P$1447, 11, FALSE))</f>
        <v>0</v>
      </c>
      <c r="F77" s="20" t="b">
        <f>IF(ISBLANK($A77), FALSE, VLOOKUP($A77, Candidates!$B$2:$P$1447, 12, FALSE))</f>
        <v>0</v>
      </c>
      <c r="G77" s="20" t="b">
        <f>IF(ISBLANK($A77), FALSE, VLOOKUP($A77, Candidates!$B$2:$P$1447, 13, FALSE))</f>
        <v>0</v>
      </c>
      <c r="H77" s="35" t="b">
        <f t="shared" si="1"/>
        <v>0</v>
      </c>
      <c r="I77" s="29" t="b">
        <f>VLOOKUP($A77, 'Overlap 2'!$B$2:$P$76, 8, FALSE)</f>
        <v>0</v>
      </c>
      <c r="J77" s="29" t="b">
        <f>VLOOKUP($A77, 'Overlap 2'!$B$2:$P$76, 9, FALSE)</f>
        <v>0</v>
      </c>
      <c r="K77" s="29" t="b">
        <f>VLOOKUP($A77, 'Overlap 2'!$B$2:$P$76, 10, FALSE)</f>
        <v>0</v>
      </c>
      <c r="L77" s="29" t="b">
        <f>VLOOKUP($A77, 'Overlap 2'!$B$2:$P$76, 11, FALSE)</f>
        <v>0</v>
      </c>
      <c r="M77" s="29" t="b">
        <f>VLOOKUP($A77, 'Overlap 2'!$B$2:$P$76, 12, FALSE)</f>
        <v>0</v>
      </c>
      <c r="N77" s="29" t="b">
        <f>VLOOKUP($A77, 'Overlap 2'!$B$2:$P$76, 13, FALSE)</f>
        <v>0</v>
      </c>
      <c r="O77" s="36" t="b">
        <f t="shared" si="2"/>
        <v>0</v>
      </c>
      <c r="P77" s="35" t="b">
        <f t="shared" si="3"/>
        <v>1</v>
      </c>
      <c r="Q77" s="7"/>
    </row>
    <row r="78">
      <c r="A78" s="19" t="s">
        <v>1547</v>
      </c>
      <c r="B78" s="24"/>
      <c r="C78" s="24"/>
      <c r="D78" s="24"/>
      <c r="E78" s="24"/>
      <c r="F78" s="24"/>
      <c r="G78" s="24"/>
      <c r="H78" s="37">
        <f>COUNTIF(H3:H77, TRUE)/75</f>
        <v>0.09333333333</v>
      </c>
      <c r="I78" s="24"/>
      <c r="J78" s="24"/>
      <c r="K78" s="24"/>
      <c r="L78" s="24"/>
      <c r="M78" s="24"/>
      <c r="N78" s="24"/>
      <c r="O78" s="24"/>
      <c r="P78" s="38">
        <f>COUNTIF(P3:P77, TRUE)/75</f>
        <v>0.9466666667</v>
      </c>
      <c r="Q78" s="25"/>
    </row>
  </sheetData>
  <mergeCells count="2">
    <mergeCell ref="B1:H1"/>
    <mergeCell ref="I1:O1"/>
  </mergeCells>
  <conditionalFormatting sqref="B3:D78 E3:G77 I3:K78">
    <cfRule type="cellIs" dxfId="8" priority="1" operator="equal">
      <formula>"TRUE"</formula>
    </cfRule>
  </conditionalFormatting>
  <conditionalFormatting sqref="H3:H78 O3:O78">
    <cfRule type="cellIs" dxfId="4" priority="2" operator="equal">
      <formula>"TRUE"</formula>
    </cfRule>
  </conditionalFormatting>
  <conditionalFormatting sqref="P3:P78">
    <cfRule type="cellIs" dxfId="13" priority="3" operator="equal">
      <formula>"FALSE"</formula>
    </cfRule>
  </conditionalFormatting>
  <drawing r:id="rId1"/>
</worksheet>
</file>