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juf\Workspace\BTH\Data Processing\b4c\data\state-of-practice\"/>
    </mc:Choice>
  </mc:AlternateContent>
  <xr:revisionPtr revIDLastSave="0" documentId="13_ncr:1_{FA113E70-81B7-4475-BA8E-C40C63216817}" xr6:coauthVersionLast="47" xr6:coauthVersionMax="47" xr10:uidLastSave="{00000000-0000-0000-0000-000000000000}"/>
  <bookViews>
    <workbookView xWindow="28680" yWindow="-14805" windowWidth="51840" windowHeight="21240" xr2:uid="{00000000-000D-0000-FFFF-FFFF00000000}"/>
  </bookViews>
  <sheets>
    <sheet name="Primary Studies" sheetId="1" r:id="rId1"/>
    <sheet name="Overlap" sheetId="2" r:id="rId2"/>
    <sheet name="Agreement" sheetId="3" r:id="rId3"/>
    <sheet name="Assignment" sheetId="4" r:id="rId4"/>
  </sheets>
  <definedNames>
    <definedName name="_xlnm._FilterDatabase" localSheetId="0" hidden="1">'Primary Studies'!$I$1:$I$137</definedName>
    <definedName name="Z_F5328ED1_9A2D_41A0_8B04_6123B3BDF08B_.wvu.FilterData" localSheetId="0" hidden="1">'Primary Studies'!$A$1:$V$137</definedName>
  </definedNames>
  <calcPr calcId="191029"/>
  <customWorkbookViews>
    <customWorkbookView name="Filter 1" guid="{F5328ED1-9A2D-41A0-8B04-6123B3BDF08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4" l="1"/>
  <c r="E3" i="4" s="1"/>
  <c r="C3" i="4"/>
  <c r="D2" i="4"/>
  <c r="C2" i="4"/>
  <c r="C4" i="4" s="1"/>
  <c r="B16" i="3"/>
  <c r="V16" i="3" s="1"/>
  <c r="T15" i="3"/>
  <c r="B15" i="3"/>
  <c r="S15" i="3" s="1"/>
  <c r="V14" i="3"/>
  <c r="T14" i="3"/>
  <c r="S14" i="3"/>
  <c r="B14" i="3"/>
  <c r="P14" i="3" s="1"/>
  <c r="B13" i="3"/>
  <c r="M13" i="3" s="1"/>
  <c r="B12" i="3"/>
  <c r="V12" i="3" s="1"/>
  <c r="V11" i="3"/>
  <c r="U11" i="3"/>
  <c r="T11" i="3"/>
  <c r="K11" i="3"/>
  <c r="J11" i="3"/>
  <c r="I11" i="3"/>
  <c r="B11" i="3"/>
  <c r="S11" i="3" s="1"/>
  <c r="T10" i="3"/>
  <c r="S10" i="3"/>
  <c r="Q10" i="3"/>
  <c r="K10" i="3"/>
  <c r="J10" i="3"/>
  <c r="I10" i="3"/>
  <c r="B10" i="3"/>
  <c r="P10" i="3" s="1"/>
  <c r="B9" i="3"/>
  <c r="M9" i="3" s="1"/>
  <c r="B8" i="3"/>
  <c r="V8" i="3" s="1"/>
  <c r="H7" i="3"/>
  <c r="B7" i="3"/>
  <c r="S7" i="3" s="1"/>
  <c r="J6" i="3"/>
  <c r="G6" i="3"/>
  <c r="F6" i="3"/>
  <c r="E6" i="3"/>
  <c r="B6" i="3"/>
  <c r="P6" i="3" s="1"/>
  <c r="B5" i="3"/>
  <c r="M5" i="3" s="1"/>
  <c r="B4" i="3"/>
  <c r="V4" i="3" s="1"/>
  <c r="B3" i="3"/>
  <c r="S3" i="3" s="1"/>
  <c r="R15" i="2"/>
  <c r="F15" i="2"/>
  <c r="E15" i="2"/>
  <c r="D15" i="2"/>
  <c r="R14" i="2"/>
  <c r="F14" i="2"/>
  <c r="E14" i="2"/>
  <c r="D14" i="2"/>
  <c r="R13" i="2"/>
  <c r="F13" i="2"/>
  <c r="E13" i="2"/>
  <c r="D13" i="2"/>
  <c r="R12" i="2"/>
  <c r="F12" i="2"/>
  <c r="E12" i="2"/>
  <c r="D12" i="2"/>
  <c r="R11" i="2"/>
  <c r="F11" i="2"/>
  <c r="E11" i="2"/>
  <c r="D11" i="2"/>
  <c r="R10" i="2"/>
  <c r="F10" i="2"/>
  <c r="E10" i="2"/>
  <c r="D10" i="2"/>
  <c r="R9" i="2"/>
  <c r="F9" i="2"/>
  <c r="E9" i="2"/>
  <c r="D9" i="2"/>
  <c r="R8" i="2"/>
  <c r="F8" i="2"/>
  <c r="E8" i="2"/>
  <c r="D8" i="2"/>
  <c r="R7" i="2"/>
  <c r="F7" i="2"/>
  <c r="E7" i="2"/>
  <c r="D7" i="2"/>
  <c r="R6" i="2"/>
  <c r="F6" i="2"/>
  <c r="E6" i="2"/>
  <c r="D6" i="2"/>
  <c r="R5" i="2"/>
  <c r="F5" i="2"/>
  <c r="E5" i="2"/>
  <c r="D5" i="2"/>
  <c r="R4" i="2"/>
  <c r="F4" i="2"/>
  <c r="E4" i="2"/>
  <c r="D4" i="2"/>
  <c r="R3" i="2"/>
  <c r="F3" i="2"/>
  <c r="E3" i="2"/>
  <c r="D3" i="2"/>
  <c r="R2" i="2"/>
  <c r="F2" i="2"/>
  <c r="E2" i="2"/>
  <c r="D2" i="2"/>
  <c r="T137" i="1"/>
  <c r="F137" i="1"/>
  <c r="E137" i="1"/>
  <c r="D137" i="1"/>
  <c r="T136" i="1"/>
  <c r="F136" i="1"/>
  <c r="E136" i="1"/>
  <c r="D136" i="1"/>
  <c r="T135" i="1"/>
  <c r="F135" i="1"/>
  <c r="E135" i="1"/>
  <c r="D135" i="1"/>
  <c r="T134" i="1"/>
  <c r="F134" i="1"/>
  <c r="E134" i="1"/>
  <c r="D134" i="1"/>
  <c r="T133" i="1"/>
  <c r="F133" i="1"/>
  <c r="E133" i="1"/>
  <c r="D133" i="1"/>
  <c r="T132" i="1"/>
  <c r="F132" i="1"/>
  <c r="E132" i="1"/>
  <c r="D132" i="1"/>
  <c r="T131" i="1"/>
  <c r="F131" i="1"/>
  <c r="E131" i="1"/>
  <c r="D131" i="1"/>
  <c r="T130" i="1"/>
  <c r="F130" i="1"/>
  <c r="E130" i="1"/>
  <c r="D130" i="1"/>
  <c r="T129" i="1"/>
  <c r="F129" i="1"/>
  <c r="E129" i="1"/>
  <c r="D129" i="1"/>
  <c r="T128" i="1"/>
  <c r="F128" i="1"/>
  <c r="E128" i="1"/>
  <c r="D128" i="1"/>
  <c r="T127" i="1"/>
  <c r="F127" i="1"/>
  <c r="E127" i="1"/>
  <c r="D127" i="1"/>
  <c r="T126" i="1"/>
  <c r="F126" i="1"/>
  <c r="E126" i="1"/>
  <c r="D126" i="1"/>
  <c r="T125" i="1"/>
  <c r="F125" i="1"/>
  <c r="E125" i="1"/>
  <c r="D125" i="1"/>
  <c r="T124" i="1"/>
  <c r="F124" i="1"/>
  <c r="E124" i="1"/>
  <c r="D124" i="1"/>
  <c r="T123" i="1"/>
  <c r="F123" i="1"/>
  <c r="E123" i="1"/>
  <c r="D123" i="1"/>
  <c r="T122" i="1"/>
  <c r="F122" i="1"/>
  <c r="E122" i="1"/>
  <c r="D122" i="1"/>
  <c r="T121" i="1"/>
  <c r="F121" i="1"/>
  <c r="E121" i="1"/>
  <c r="D121" i="1"/>
  <c r="T120" i="1"/>
  <c r="F120" i="1"/>
  <c r="E120" i="1"/>
  <c r="D120" i="1"/>
  <c r="T119" i="1"/>
  <c r="F119" i="1"/>
  <c r="E119" i="1"/>
  <c r="D119" i="1"/>
  <c r="T118" i="1"/>
  <c r="F118" i="1"/>
  <c r="E118" i="1"/>
  <c r="D118" i="1"/>
  <c r="T117" i="1"/>
  <c r="F117" i="1"/>
  <c r="E117" i="1"/>
  <c r="D117" i="1"/>
  <c r="T116" i="1"/>
  <c r="F116" i="1"/>
  <c r="E116" i="1"/>
  <c r="D116" i="1"/>
  <c r="T115" i="1"/>
  <c r="F115" i="1"/>
  <c r="E115" i="1"/>
  <c r="D115" i="1"/>
  <c r="T114" i="1"/>
  <c r="F114" i="1"/>
  <c r="E114" i="1"/>
  <c r="D114" i="1"/>
  <c r="T113" i="1"/>
  <c r="F113" i="1"/>
  <c r="E113" i="1"/>
  <c r="D113" i="1"/>
  <c r="T112" i="1"/>
  <c r="F112" i="1"/>
  <c r="E112" i="1"/>
  <c r="D112" i="1"/>
  <c r="T111" i="1"/>
  <c r="F111" i="1"/>
  <c r="E111" i="1"/>
  <c r="D111" i="1"/>
  <c r="T110" i="1"/>
  <c r="F110" i="1"/>
  <c r="E110" i="1"/>
  <c r="D110" i="1"/>
  <c r="T109" i="1"/>
  <c r="F109" i="1"/>
  <c r="E109" i="1"/>
  <c r="D109" i="1"/>
  <c r="T108" i="1"/>
  <c r="F108" i="1"/>
  <c r="E108" i="1"/>
  <c r="D108" i="1"/>
  <c r="T107" i="1"/>
  <c r="F107" i="1"/>
  <c r="E107" i="1"/>
  <c r="D107" i="1"/>
  <c r="T106" i="1"/>
  <c r="F106" i="1"/>
  <c r="E106" i="1"/>
  <c r="D106" i="1"/>
  <c r="T105" i="1"/>
  <c r="F105" i="1"/>
  <c r="E105" i="1"/>
  <c r="D105" i="1"/>
  <c r="T104" i="1"/>
  <c r="F104" i="1"/>
  <c r="E104" i="1"/>
  <c r="D104" i="1"/>
  <c r="T103" i="1"/>
  <c r="F103" i="1"/>
  <c r="E103" i="1"/>
  <c r="D103" i="1"/>
  <c r="T102" i="1"/>
  <c r="F102" i="1"/>
  <c r="E102" i="1"/>
  <c r="D102" i="1"/>
  <c r="T101" i="1"/>
  <c r="F101" i="1"/>
  <c r="E101" i="1"/>
  <c r="D101" i="1"/>
  <c r="T100" i="1"/>
  <c r="F100" i="1"/>
  <c r="E100" i="1"/>
  <c r="D100" i="1"/>
  <c r="T99" i="1"/>
  <c r="F99" i="1"/>
  <c r="E99" i="1"/>
  <c r="D99" i="1"/>
  <c r="T98" i="1"/>
  <c r="F98" i="1"/>
  <c r="E98" i="1"/>
  <c r="D98" i="1"/>
  <c r="T97" i="1"/>
  <c r="F97" i="1"/>
  <c r="E97" i="1"/>
  <c r="D97" i="1"/>
  <c r="T96" i="1"/>
  <c r="F96" i="1"/>
  <c r="E96" i="1"/>
  <c r="D96" i="1"/>
  <c r="T95" i="1"/>
  <c r="F95" i="1"/>
  <c r="E95" i="1"/>
  <c r="D95" i="1"/>
  <c r="T94" i="1"/>
  <c r="F94" i="1"/>
  <c r="E94" i="1"/>
  <c r="D94" i="1"/>
  <c r="T93" i="1"/>
  <c r="F93" i="1"/>
  <c r="E93" i="1"/>
  <c r="D93" i="1"/>
  <c r="T92" i="1"/>
  <c r="F92" i="1"/>
  <c r="E92" i="1"/>
  <c r="D92" i="1"/>
  <c r="T91" i="1"/>
  <c r="F91" i="1"/>
  <c r="E91" i="1"/>
  <c r="D91" i="1"/>
  <c r="T90" i="1"/>
  <c r="F90" i="1"/>
  <c r="E90" i="1"/>
  <c r="D90" i="1"/>
  <c r="T89" i="1"/>
  <c r="F89" i="1"/>
  <c r="E89" i="1"/>
  <c r="D89" i="1"/>
  <c r="T88" i="1"/>
  <c r="F88" i="1"/>
  <c r="E88" i="1"/>
  <c r="D88" i="1"/>
  <c r="T87" i="1"/>
  <c r="F87" i="1"/>
  <c r="E87" i="1"/>
  <c r="D87" i="1"/>
  <c r="T86" i="1"/>
  <c r="F86" i="1"/>
  <c r="E86" i="1"/>
  <c r="D86" i="1"/>
  <c r="T85" i="1"/>
  <c r="F85" i="1"/>
  <c r="E85" i="1"/>
  <c r="D85" i="1"/>
  <c r="T84" i="1"/>
  <c r="F84" i="1"/>
  <c r="E84" i="1"/>
  <c r="D84" i="1"/>
  <c r="T83" i="1"/>
  <c r="F83" i="1"/>
  <c r="E83" i="1"/>
  <c r="D83" i="1"/>
  <c r="T82" i="1"/>
  <c r="F82" i="1"/>
  <c r="E82" i="1"/>
  <c r="D82" i="1"/>
  <c r="T81" i="1"/>
  <c r="F81" i="1"/>
  <c r="E81" i="1"/>
  <c r="D81" i="1"/>
  <c r="T80" i="1"/>
  <c r="F80" i="1"/>
  <c r="E80" i="1"/>
  <c r="D80" i="1"/>
  <c r="T79" i="1"/>
  <c r="F79" i="1"/>
  <c r="E79" i="1"/>
  <c r="D79" i="1"/>
  <c r="T78" i="1"/>
  <c r="F78" i="1"/>
  <c r="E78" i="1"/>
  <c r="D78" i="1"/>
  <c r="T77" i="1"/>
  <c r="F77" i="1"/>
  <c r="E77" i="1"/>
  <c r="D77" i="1"/>
  <c r="T76" i="1"/>
  <c r="F76" i="1"/>
  <c r="E76" i="1"/>
  <c r="D76" i="1"/>
  <c r="T75" i="1"/>
  <c r="F75" i="1"/>
  <c r="E75" i="1"/>
  <c r="D75" i="1"/>
  <c r="T74" i="1"/>
  <c r="F74" i="1"/>
  <c r="E74" i="1"/>
  <c r="D74" i="1"/>
  <c r="T73" i="1"/>
  <c r="F73" i="1"/>
  <c r="E73" i="1"/>
  <c r="D73" i="1"/>
  <c r="T72" i="1"/>
  <c r="F72" i="1"/>
  <c r="E72" i="1"/>
  <c r="D72" i="1"/>
  <c r="T71" i="1"/>
  <c r="F71" i="1"/>
  <c r="E71" i="1"/>
  <c r="D71" i="1"/>
  <c r="T70" i="1"/>
  <c r="F70" i="1"/>
  <c r="E70" i="1"/>
  <c r="D70" i="1"/>
  <c r="T69" i="1"/>
  <c r="F69" i="1"/>
  <c r="E69" i="1"/>
  <c r="D69" i="1"/>
  <c r="T68" i="1"/>
  <c r="F68" i="1"/>
  <c r="E68" i="1"/>
  <c r="D68" i="1"/>
  <c r="T67" i="1"/>
  <c r="F67" i="1"/>
  <c r="E67" i="1"/>
  <c r="D67" i="1"/>
  <c r="T66" i="1"/>
  <c r="F66" i="1"/>
  <c r="E66" i="1"/>
  <c r="D66" i="1"/>
  <c r="T65" i="1"/>
  <c r="F65" i="1"/>
  <c r="E65" i="1"/>
  <c r="D65" i="1"/>
  <c r="T64" i="1"/>
  <c r="F64" i="1"/>
  <c r="E64" i="1"/>
  <c r="D64" i="1"/>
  <c r="T63" i="1"/>
  <c r="F63" i="1"/>
  <c r="E63" i="1"/>
  <c r="D63" i="1"/>
  <c r="T62" i="1"/>
  <c r="F62" i="1"/>
  <c r="E62" i="1"/>
  <c r="D62" i="1"/>
  <c r="T61" i="1"/>
  <c r="F61" i="1"/>
  <c r="E61" i="1"/>
  <c r="D61" i="1"/>
  <c r="T60" i="1"/>
  <c r="F60" i="1"/>
  <c r="E60" i="1"/>
  <c r="D60" i="1"/>
  <c r="T59" i="1"/>
  <c r="F59" i="1"/>
  <c r="E59" i="1"/>
  <c r="D59" i="1"/>
  <c r="T58" i="1"/>
  <c r="F58" i="1"/>
  <c r="E58" i="1"/>
  <c r="D58" i="1"/>
  <c r="T57" i="1"/>
  <c r="F57" i="1"/>
  <c r="E57" i="1"/>
  <c r="D57" i="1"/>
  <c r="T56" i="1"/>
  <c r="F56" i="1"/>
  <c r="E56" i="1"/>
  <c r="D56" i="1"/>
  <c r="T55" i="1"/>
  <c r="F55" i="1"/>
  <c r="E55" i="1"/>
  <c r="D55" i="1"/>
  <c r="T54" i="1"/>
  <c r="F54" i="1"/>
  <c r="E54" i="1"/>
  <c r="D54" i="1"/>
  <c r="T53" i="1"/>
  <c r="F53" i="1"/>
  <c r="E53" i="1"/>
  <c r="D53" i="1"/>
  <c r="T52" i="1"/>
  <c r="F52" i="1"/>
  <c r="E52" i="1"/>
  <c r="D52" i="1"/>
  <c r="T51" i="1"/>
  <c r="F51" i="1"/>
  <c r="E51" i="1"/>
  <c r="D51" i="1"/>
  <c r="T50" i="1"/>
  <c r="F50" i="1"/>
  <c r="E50" i="1"/>
  <c r="D50" i="1"/>
  <c r="T49" i="1"/>
  <c r="F49" i="1"/>
  <c r="E49" i="1"/>
  <c r="D49" i="1"/>
  <c r="T48" i="1"/>
  <c r="F48" i="1"/>
  <c r="E48" i="1"/>
  <c r="D48" i="1"/>
  <c r="T47" i="1"/>
  <c r="F47" i="1"/>
  <c r="E47" i="1"/>
  <c r="D47" i="1"/>
  <c r="T46" i="1"/>
  <c r="F46" i="1"/>
  <c r="E46" i="1"/>
  <c r="D46" i="1"/>
  <c r="T45" i="1"/>
  <c r="F45" i="1"/>
  <c r="E45" i="1"/>
  <c r="D45" i="1"/>
  <c r="T44" i="1"/>
  <c r="F44" i="1"/>
  <c r="E44" i="1"/>
  <c r="D44" i="1"/>
  <c r="T43" i="1"/>
  <c r="F43" i="1"/>
  <c r="E43" i="1"/>
  <c r="D43" i="1"/>
  <c r="T42" i="1"/>
  <c r="F42" i="1"/>
  <c r="E42" i="1"/>
  <c r="D42" i="1"/>
  <c r="T41" i="1"/>
  <c r="F41" i="1"/>
  <c r="E41" i="1"/>
  <c r="D41" i="1"/>
  <c r="T40" i="1"/>
  <c r="F40" i="1"/>
  <c r="E40" i="1"/>
  <c r="D40" i="1"/>
  <c r="T39" i="1"/>
  <c r="F39" i="1"/>
  <c r="E39" i="1"/>
  <c r="D39" i="1"/>
  <c r="T38" i="1"/>
  <c r="F38" i="1"/>
  <c r="E38" i="1"/>
  <c r="D38" i="1"/>
  <c r="T37" i="1"/>
  <c r="F37" i="1"/>
  <c r="E37" i="1"/>
  <c r="D37" i="1"/>
  <c r="T36" i="1"/>
  <c r="F36" i="1"/>
  <c r="E36" i="1"/>
  <c r="D36" i="1"/>
  <c r="T35" i="1"/>
  <c r="F35" i="1"/>
  <c r="E35" i="1"/>
  <c r="D35" i="1"/>
  <c r="T34" i="1"/>
  <c r="F34" i="1"/>
  <c r="E34" i="1"/>
  <c r="D34" i="1"/>
  <c r="T33" i="1"/>
  <c r="F33" i="1"/>
  <c r="E33" i="1"/>
  <c r="D33" i="1"/>
  <c r="T32" i="1"/>
  <c r="F32" i="1"/>
  <c r="E32" i="1"/>
  <c r="D32" i="1"/>
  <c r="T31" i="1"/>
  <c r="F31" i="1"/>
  <c r="E31" i="1"/>
  <c r="D31" i="1"/>
  <c r="T30" i="1"/>
  <c r="F30" i="1"/>
  <c r="E30" i="1"/>
  <c r="D30" i="1"/>
  <c r="T29" i="1"/>
  <c r="F29" i="1"/>
  <c r="E29" i="1"/>
  <c r="D29" i="1"/>
  <c r="T28" i="1"/>
  <c r="F28" i="1"/>
  <c r="E28" i="1"/>
  <c r="D28" i="1"/>
  <c r="T27" i="1"/>
  <c r="F27" i="1"/>
  <c r="E27" i="1"/>
  <c r="D27" i="1"/>
  <c r="T26" i="1"/>
  <c r="F26" i="1"/>
  <c r="E26" i="1"/>
  <c r="D26" i="1"/>
  <c r="T25" i="1"/>
  <c r="F25" i="1"/>
  <c r="E25" i="1"/>
  <c r="D25" i="1"/>
  <c r="T24" i="1"/>
  <c r="F24" i="1"/>
  <c r="E24" i="1"/>
  <c r="D24" i="1"/>
  <c r="T23" i="1"/>
  <c r="F23" i="1"/>
  <c r="E23" i="1"/>
  <c r="D23" i="1"/>
  <c r="T22" i="1"/>
  <c r="F22" i="1"/>
  <c r="E22" i="1"/>
  <c r="D22" i="1"/>
  <c r="T21" i="1"/>
  <c r="F21" i="1"/>
  <c r="E21" i="1"/>
  <c r="D21" i="1"/>
  <c r="T20" i="1"/>
  <c r="F20" i="1"/>
  <c r="E20" i="1"/>
  <c r="D20" i="1"/>
  <c r="T19" i="1"/>
  <c r="F19" i="1"/>
  <c r="E19" i="1"/>
  <c r="D19" i="1"/>
  <c r="T18" i="1"/>
  <c r="F18" i="1"/>
  <c r="E18" i="1"/>
  <c r="D18" i="1"/>
  <c r="T17" i="1"/>
  <c r="F17" i="1"/>
  <c r="E17" i="1"/>
  <c r="D17" i="1"/>
  <c r="T16" i="1"/>
  <c r="F16" i="1"/>
  <c r="E16" i="1"/>
  <c r="D16" i="1"/>
  <c r="T15" i="1"/>
  <c r="F15" i="1"/>
  <c r="E15" i="1"/>
  <c r="D15" i="1"/>
  <c r="T14" i="1"/>
  <c r="F14" i="1"/>
  <c r="E14" i="1"/>
  <c r="D14" i="1"/>
  <c r="T13" i="1"/>
  <c r="F13" i="1"/>
  <c r="E13" i="1"/>
  <c r="D13" i="1"/>
  <c r="T12" i="1"/>
  <c r="F12" i="1"/>
  <c r="E12" i="1"/>
  <c r="D12" i="1"/>
  <c r="T11" i="1"/>
  <c r="F11" i="1"/>
  <c r="E11" i="1"/>
  <c r="D11" i="1"/>
  <c r="T10" i="1"/>
  <c r="F10" i="1"/>
  <c r="E10" i="1"/>
  <c r="D10" i="1"/>
  <c r="T9" i="1"/>
  <c r="F9" i="1"/>
  <c r="E9" i="1"/>
  <c r="D9" i="1"/>
  <c r="T8" i="1"/>
  <c r="F8" i="1"/>
  <c r="E8" i="1"/>
  <c r="D8" i="1"/>
  <c r="T7" i="1"/>
  <c r="F7" i="1"/>
  <c r="E7" i="1"/>
  <c r="D7" i="1"/>
  <c r="T6" i="1"/>
  <c r="F6" i="1"/>
  <c r="E6" i="1"/>
  <c r="D6" i="1"/>
  <c r="T5" i="1"/>
  <c r="F5" i="1"/>
  <c r="E5" i="1"/>
  <c r="D5" i="1"/>
  <c r="T4" i="1"/>
  <c r="F4" i="1"/>
  <c r="E4" i="1"/>
  <c r="D4" i="1"/>
  <c r="T3" i="1"/>
  <c r="F3" i="1"/>
  <c r="E3" i="1"/>
  <c r="D3" i="1"/>
  <c r="T2" i="1"/>
  <c r="F2" i="1"/>
  <c r="E2" i="1"/>
  <c r="D2" i="1"/>
  <c r="D8" i="3" l="1"/>
  <c r="M12" i="3"/>
  <c r="H6" i="3"/>
  <c r="K8" i="3"/>
  <c r="O12" i="3"/>
  <c r="I6" i="3"/>
  <c r="L8" i="3"/>
  <c r="P12" i="3"/>
  <c r="M15" i="3"/>
  <c r="M8" i="3"/>
  <c r="I3" i="3"/>
  <c r="K6" i="3"/>
  <c r="O8" i="3"/>
  <c r="U15" i="3"/>
  <c r="J3" i="3"/>
  <c r="P8" i="3"/>
  <c r="Q6" i="3"/>
  <c r="E14" i="3"/>
  <c r="V3" i="3"/>
  <c r="R6" i="3"/>
  <c r="L11" i="3"/>
  <c r="F14" i="3"/>
  <c r="C16" i="3"/>
  <c r="C8" i="3"/>
  <c r="V6" i="3"/>
  <c r="M11" i="3"/>
  <c r="G14" i="3"/>
  <c r="D16" i="3"/>
  <c r="Q14" i="3"/>
  <c r="K16" i="3"/>
  <c r="R14" i="3"/>
  <c r="P16" i="3"/>
  <c r="D4" i="3"/>
  <c r="J7" i="3"/>
  <c r="V15" i="3"/>
  <c r="H3" i="3"/>
  <c r="K4" i="3"/>
  <c r="K7" i="3"/>
  <c r="R10" i="3"/>
  <c r="U14" i="3"/>
  <c r="L4" i="3"/>
  <c r="M4" i="3"/>
  <c r="M7" i="3"/>
  <c r="T7" i="3"/>
  <c r="U10" i="3"/>
  <c r="L7" i="3"/>
  <c r="K3" i="3"/>
  <c r="O4" i="3"/>
  <c r="H15" i="3"/>
  <c r="L3" i="3"/>
  <c r="P4" i="3"/>
  <c r="S6" i="3"/>
  <c r="U7" i="3"/>
  <c r="E10" i="3"/>
  <c r="V10" i="3"/>
  <c r="C12" i="3"/>
  <c r="H14" i="3"/>
  <c r="I15" i="3"/>
  <c r="L16" i="3"/>
  <c r="M3" i="3"/>
  <c r="T6" i="3"/>
  <c r="V7" i="3"/>
  <c r="F10" i="3"/>
  <c r="D12" i="3"/>
  <c r="I14" i="3"/>
  <c r="J15" i="3"/>
  <c r="M16" i="3"/>
  <c r="T3" i="3"/>
  <c r="U6" i="3"/>
  <c r="G10" i="3"/>
  <c r="H11" i="3"/>
  <c r="K12" i="3"/>
  <c r="J14" i="3"/>
  <c r="K15" i="3"/>
  <c r="O16" i="3"/>
  <c r="U3" i="3"/>
  <c r="H10" i="3"/>
  <c r="L12" i="3"/>
  <c r="K14" i="3"/>
  <c r="L15" i="3"/>
  <c r="D4" i="4"/>
  <c r="F4" i="4" s="1"/>
  <c r="C4" i="3"/>
  <c r="I7" i="3"/>
  <c r="F3" i="4"/>
  <c r="O5" i="3"/>
  <c r="C13" i="3"/>
  <c r="O13" i="3"/>
  <c r="D5" i="3"/>
  <c r="P5" i="3"/>
  <c r="D9" i="3"/>
  <c r="P9" i="3"/>
  <c r="D13" i="3"/>
  <c r="P13" i="3"/>
  <c r="E2" i="4"/>
  <c r="N5" i="3"/>
  <c r="C5" i="3"/>
  <c r="C9" i="3"/>
  <c r="O9" i="3"/>
  <c r="N4" i="3"/>
  <c r="E5" i="3"/>
  <c r="Q5" i="3"/>
  <c r="N8" i="3"/>
  <c r="E9" i="3"/>
  <c r="Q9" i="3"/>
  <c r="N12" i="3"/>
  <c r="E13" i="3"/>
  <c r="Q13" i="3"/>
  <c r="N16" i="3"/>
  <c r="F2" i="4"/>
  <c r="N9" i="3"/>
  <c r="G5" i="3"/>
  <c r="G9" i="3"/>
  <c r="N3" i="3"/>
  <c r="E4" i="3"/>
  <c r="Q4" i="3"/>
  <c r="H5" i="3"/>
  <c r="T5" i="3"/>
  <c r="N7" i="3"/>
  <c r="E8" i="3"/>
  <c r="Q8" i="3"/>
  <c r="H9" i="3"/>
  <c r="T9" i="3"/>
  <c r="N11" i="3"/>
  <c r="E12" i="3"/>
  <c r="Q12" i="3"/>
  <c r="H13" i="3"/>
  <c r="T13" i="3"/>
  <c r="N15" i="3"/>
  <c r="E16" i="3"/>
  <c r="Q16" i="3"/>
  <c r="N13" i="3"/>
  <c r="C3" i="3"/>
  <c r="O3" i="3"/>
  <c r="F4" i="3"/>
  <c r="R4" i="3"/>
  <c r="I5" i="3"/>
  <c r="U5" i="3"/>
  <c r="L6" i="3"/>
  <c r="C7" i="3"/>
  <c r="O7" i="3"/>
  <c r="F8" i="3"/>
  <c r="R8" i="3"/>
  <c r="I9" i="3"/>
  <c r="U9" i="3"/>
  <c r="L10" i="3"/>
  <c r="C11" i="3"/>
  <c r="O11" i="3"/>
  <c r="F12" i="3"/>
  <c r="R12" i="3"/>
  <c r="I13" i="3"/>
  <c r="U13" i="3"/>
  <c r="L14" i="3"/>
  <c r="C15" i="3"/>
  <c r="O15" i="3"/>
  <c r="F16" i="3"/>
  <c r="R16" i="3"/>
  <c r="F9" i="3"/>
  <c r="R9" i="3"/>
  <c r="F13" i="3"/>
  <c r="R13" i="3"/>
  <c r="S13" i="3"/>
  <c r="D3" i="3"/>
  <c r="P3" i="3"/>
  <c r="G4" i="3"/>
  <c r="S4" i="3"/>
  <c r="J5" i="3"/>
  <c r="V5" i="3"/>
  <c r="M6" i="3"/>
  <c r="D7" i="3"/>
  <c r="P7" i="3"/>
  <c r="G8" i="3"/>
  <c r="S8" i="3"/>
  <c r="J9" i="3"/>
  <c r="V9" i="3"/>
  <c r="M10" i="3"/>
  <c r="D11" i="3"/>
  <c r="P11" i="3"/>
  <c r="G12" i="3"/>
  <c r="S12" i="3"/>
  <c r="J13" i="3"/>
  <c r="V13" i="3"/>
  <c r="M14" i="3"/>
  <c r="D15" i="3"/>
  <c r="P15" i="3"/>
  <c r="G16" i="3"/>
  <c r="S16" i="3"/>
  <c r="S5" i="3"/>
  <c r="S9" i="3"/>
  <c r="G13" i="3"/>
  <c r="E3" i="3"/>
  <c r="Q3" i="3"/>
  <c r="H4" i="3"/>
  <c r="T4" i="3"/>
  <c r="K5" i="3"/>
  <c r="N6" i="3"/>
  <c r="E7" i="3"/>
  <c r="Q7" i="3"/>
  <c r="H8" i="3"/>
  <c r="T8" i="3"/>
  <c r="K9" i="3"/>
  <c r="N10" i="3"/>
  <c r="E11" i="3"/>
  <c r="Q11" i="3"/>
  <c r="H12" i="3"/>
  <c r="T12" i="3"/>
  <c r="K13" i="3"/>
  <c r="N14" i="3"/>
  <c r="E15" i="3"/>
  <c r="Q15" i="3"/>
  <c r="H16" i="3"/>
  <c r="T16" i="3"/>
  <c r="F5" i="3"/>
  <c r="F3" i="3"/>
  <c r="R3" i="3"/>
  <c r="I4" i="3"/>
  <c r="U4" i="3"/>
  <c r="L5" i="3"/>
  <c r="C6" i="3"/>
  <c r="O6" i="3"/>
  <c r="F7" i="3"/>
  <c r="R7" i="3"/>
  <c r="I8" i="3"/>
  <c r="U8" i="3"/>
  <c r="L9" i="3"/>
  <c r="C10" i="3"/>
  <c r="O10" i="3"/>
  <c r="F11" i="3"/>
  <c r="R11" i="3"/>
  <c r="I12" i="3"/>
  <c r="U12" i="3"/>
  <c r="L13" i="3"/>
  <c r="C14" i="3"/>
  <c r="O14" i="3"/>
  <c r="F15" i="3"/>
  <c r="R15" i="3"/>
  <c r="I16" i="3"/>
  <c r="U16" i="3"/>
  <c r="R5" i="3"/>
  <c r="G3" i="3"/>
  <c r="J4" i="3"/>
  <c r="D6" i="3"/>
  <c r="G7" i="3"/>
  <c r="J8" i="3"/>
  <c r="D10" i="3"/>
  <c r="G11" i="3"/>
  <c r="J12" i="3"/>
  <c r="D14" i="3"/>
  <c r="G15" i="3"/>
  <c r="J16" i="3"/>
  <c r="E4" i="4" l="1"/>
</calcChain>
</file>

<file path=xl/sharedStrings.xml><?xml version="1.0" encoding="utf-8"?>
<sst xmlns="http://schemas.openxmlformats.org/spreadsheetml/2006/main" count="606" uniqueCount="249">
  <si>
    <t>ID</t>
  </si>
  <si>
    <t>Rater</t>
  </si>
  <si>
    <t>Title</t>
  </si>
  <si>
    <t>First author</t>
  </si>
  <si>
    <t>Year</t>
  </si>
  <si>
    <t>Reference</t>
  </si>
  <si>
    <t>Cited</t>
  </si>
  <si>
    <t>Type</t>
  </si>
  <si>
    <t>Comment</t>
  </si>
  <si>
    <t>In1</t>
  </si>
  <si>
    <t>In2</t>
  </si>
  <si>
    <t>In3</t>
  </si>
  <si>
    <t>In4</t>
  </si>
  <si>
    <t>In5</t>
  </si>
  <si>
    <t>Ex1</t>
  </si>
  <si>
    <t>Ex2</t>
  </si>
  <si>
    <t>Ex3</t>
  </si>
  <si>
    <t>Ex4</t>
  </si>
  <si>
    <t>V</t>
  </si>
  <si>
    <t>?</t>
  </si>
  <si>
    <t>Sira's answer</t>
  </si>
  <si>
    <t>Wyrich, M., Bogner, J., &amp; Wagner, S. (2023). 40 years of designing code comprehension experiments: A systematic mapping study. ACM Computing Surveys, 56(4), 1-42.</t>
  </si>
  <si>
    <t>secondary</t>
  </si>
  <si>
    <t>Kitchenham, B., Madeyski, L., &amp; Brereton, P. (2020). Meta-analysis for families of experiments in software engineering: a systematic review and reproducibility and validity assessment. Empirical Software Engineering, 25, 353-401.</t>
  </si>
  <si>
    <t>Rezaei, J., Arab, A., &amp; Mehregan, M. (2024). Analyzing anchoring bias in attribute weight elicitation of SMART, Swing, and best‐worst method. International Transactions in Operational Research, 31(2), 918-948.</t>
  </si>
  <si>
    <t>empirical</t>
  </si>
  <si>
    <t>Not from SE</t>
  </si>
  <si>
    <t>Sandobalin, J., Insfran, E., &amp; Abrahao, S. (2020). On the effectiveness of tools to support infrastructure as code: Model-driven versus code-centric. IEEE Access, 8, 17734-17761.</t>
  </si>
  <si>
    <t>Follows the guidelines by Vegas et al.</t>
  </si>
  <si>
    <t>Zhang, D. Y., Wang, D., &amp; Zhang, Y. (2017, December). Constraint-aware dynamic truth discovery in big data social media sensing. In 2017 IEEE International Conference on Big Data (Big Data) (pp. 57-66). IEEE.</t>
  </si>
  <si>
    <t>Not citing Vegas et al.</t>
  </si>
  <si>
    <t>Trkman, M., Mendling, J., Trkman, P., &amp; Krisper, M. (2019). Impact of the conceptual model's representation format on identifying and understanding user stories. Information and software technology, 116, 106169.</t>
  </si>
  <si>
    <t>Does not seem to address CD-TtV in analysis</t>
  </si>
  <si>
    <t>Amaro, I., Barra, P., Della Greca, A., Francese, R., &amp; Tucci, C. (2023). Believe in Artificial Intelligence? A User Study on the ChatGPT’s Fake Information Impact. IEEE Transactions on Computational Social Systems.</t>
  </si>
  <si>
    <t>Kummer, T. F., &amp; Mendling, J. (2021). The effect of risk representation using colors and symbols in business process models on operational risk management performance. Journal of the Association for Information Systems, 22(3), 649-694.</t>
  </si>
  <si>
    <t>Bogner, J., Kotstein, S., &amp; Pfaff, T. (2023). Do RESTful API design rules have an impact on the understandability of Web APIs?. Empirical software engineering, 28(6), 132.</t>
  </si>
  <si>
    <t>The authors claim to conduct a "a hybrid between a crossover and a between-subjects design" because "Our participants worked on six tasks with the rule version and six tasks with violation." This still classifies as a crossover design, in my opinion, as every participant receives both treatments (rule &amp; violation) though the "material" variable is not fully blocked,</t>
  </si>
  <si>
    <t>Exactly. It is a crossover. Justus contacted me when he was working on the review of the paper to double-check the design type. My point was the same you have given.</t>
  </si>
  <si>
    <t>Politowski, C., Khomh, F., Romano, S., Scanniello, G., Petrillo, F., Guéhéneuc, Y. G., &amp; Maiga, A. (2020). A large scale empirical study of the impact of spaghetti code and blob anti-patterns on program comprehension. Information and Software Technology, 122, 106278.</t>
  </si>
  <si>
    <t>de la Vara, J. L., Marín, B., Ayora, C., &amp; Giachetti, G. (2020). An empirical evaluation of the use of models to improve the understanding of safety compliance needs. Information and Software Technology, 126, 106351.</t>
  </si>
  <si>
    <t>Ralph, P., Baltes, S., Bianculli, D., Dittrich, Y., Felderer, M., Feldt, R., ... &amp; Vegas, S. (2020). ACM SIGSOFT empirical standards.</t>
  </si>
  <si>
    <t>methodology</t>
  </si>
  <si>
    <t>Madeyski, L., &amp; Kitchenham, B. (2017). Would wider adoption of reproducible research be beneficial for empirical software engineering research?. Journal of Intelligent &amp; Fuzzy Systems, 32(2), 1509-1521.</t>
  </si>
  <si>
    <t>Fucci, D., Scanniello, G., Romano, S., Shepperd, M., Sigweni, B., Uyaguari, F., ... &amp; Oivo, M. (2016, September). An external replication on the effects of test-driven development using a multi-site blind analysis approach. In Proceedings of the 10th ACM/IEEE International Symposium on Empirical Software Engineering and Measurement (pp. 1-10).</t>
  </si>
  <si>
    <t>Does address some threats to validity in the analysis, but does so separately, not jointly as recommended by Vegas et al.</t>
  </si>
  <si>
    <t>Romano, S., Vendome, C., Scanniello, G., &amp; Poshyvanyk, D. (2018). A multi-study investigation into dead code. IEEE Transactions on Software Engineering, 46(1), 71-99.</t>
  </si>
  <si>
    <t>Not a crossover design</t>
  </si>
  <si>
    <t>Madeyski, L., &amp; Kitchenham, B. (2018, May). Effect sizes and their variance for AB/BA crossover design studies. In Proceedings of the 40th International Conference on Software Engineering (pp. 420-420).</t>
  </si>
  <si>
    <t>Fucci, D., Scanniello, G., Romano, S., &amp; Juristo, N. (2018). Need for sleep: the impact of a night of sleep deprivation on novice developers’ performance. IEEE Transactions on Software Engineering, 46(1), 1-19.</t>
  </si>
  <si>
    <t>Kitchenham, B., Madeyski, L., &amp; Brereton, P. (2019, April). Problems with statistical practice in human-centric software engineering experiments. In Proceedings of the 23rd International Conference on Evaluation and Assessment in Software Engineering (pp. 134-143).</t>
  </si>
  <si>
    <t>Addresses problems with analysing repeated-measures design experiments, but not the ones we are interested in</t>
  </si>
  <si>
    <t>Romano, S., Zampetti, F., Baldassarre, M. T., Di Penta, M., &amp; Scanniello, G. (2022, September). Do static analysis tools affect software quality when using test-driven development?. In Proceedings of the 16th ACM/IEEE International Symposium on Empirical Software Engineering and Measurement (pp. 80-91).</t>
  </si>
  <si>
    <t>Ren, R., Castro, J. W., Santos, A., Pérez-Soler, S., Acuña, S. T., &amp; de Lara, J. (2020, April). Collaborative modelling: chatbots or on-line tools? an experimental study. In Proceedings of the 24th International Conference on Evaluation and Assessment in Software Engineering (pp. 260-269).</t>
  </si>
  <si>
    <t>Follows the recommendations by Vegas et al. to a certain degree</t>
  </si>
  <si>
    <t>Subsumed by #116</t>
  </si>
  <si>
    <t>Li, X., Zheng, C., Pan, Z., Huang, Z., Niu, Y., Wang, P., &amp; Geng, W. (2023). Comparative Study on 2D and 3D User Interface for Eliminating Cognitive Loads in Augmented Reality Repetitive Tasks. International Journal of Human–Computer Interaction, 1-17.</t>
  </si>
  <si>
    <t>Dinga, M., Malavolta, I., Giamattei, L., Guerriero, A., &amp; Pietrantuono, R. (2023, November). An empirical evaluation of the energy and performance overhead of monitoring tools on docker-based systems. In International Conference on Service-Oriented Computing (pp. 181-196). Cham: Springer Nature Switzerland.</t>
  </si>
  <si>
    <t>Not a human-subject based experiment</t>
  </si>
  <si>
    <t>Baldassarre, M. T., Caivano, D., Fucci, D., Juristo, N., Romano, S., Scanniello, G., &amp; Turhan, B. (2021). Studying test-driven development and its retainment over a six-month time span. Journal of Systems and Software, 176, 110937.</t>
  </si>
  <si>
    <t>Not a crossover design, but employs a proper LMM for analysis following Vegas et al.</t>
  </si>
  <si>
    <t>Santos, M., Gralha, C., Goulao, M., Araújo, J., Moreira, A., &amp; Cambeiro, J. (2016, September). What is the impact of bad layout in the understandability of social goal models?. In 2016 IEEE 24th International Requirements Engineering Conference (RE) (pp. 206-215). IEEE.</t>
  </si>
  <si>
    <t>Baatartogtokh, Y., Foster, I., &amp; Grubb, A. M. (2023, September). An Experiment on the Effects of Using Color to Visualize Requirements Analysis Tasks. In 2023 IEEE 31st International Requirements Engineering Conference (RE) (pp. 146-156). IEEE.</t>
  </si>
  <si>
    <t>Does not seem to follow the analysis by Vegas et al.</t>
  </si>
  <si>
    <t>it's a 2x2 with assignment to threatment (not sequence)</t>
  </si>
  <si>
    <t>Albuquerque, D., Guimarães, S. E., Perkusich, M., Rique, T., Cunha, F., Almeida, H., &amp; Perkusich, A. (2023). On the Assessment of Interactive Detection of Code Smells in Practice: A Controlled Experiment. IEEE Access.</t>
  </si>
  <si>
    <t>Wang, W., Fraser, G., Bobbadi, M., Tabarsi, B. T., Barnes, T., Martens, C., ... &amp; Price, T. (2022, September). Pinpoint: A Record, Replay, and Extract System to Support Code Comprehension and Reuse. In 2022 IEEE Symposium on Visual Languages and Human-Centric Computing (VL/HCC) (pp. 1-10). IEEE.</t>
  </si>
  <si>
    <t>Cruz, N. A., Melo, O. O., &amp; Martinez, C. A. (2024). A correlation structure for the analysis of Gaussian and non-Gaussian responses in crossover experimental designs with repeated measures. Statistical Papers, 65(1), 263-290.</t>
  </si>
  <si>
    <t>Very advanced statistical paper proposing to use GEEs over GLMMs for analyzing repeated-measures experiments with a specific correlation matrix. Hard to tell the relation to our initiative, but we might need to argue for sticking to (G)LMMs over GEEs in response.</t>
  </si>
  <si>
    <t>Fucci, D., Romano, S., Baldassarre, M. T., Caivano, D., Scanniello, G., Turhan, B., &amp; Juristo, N. (2018, October). A longitudinal cohort study on the retainment of test-driven development. In Proceedings of the 12th ACM/IEEE International Symposium on Empirical Software Engineering and Measurement (pp. 1-10).</t>
  </si>
  <si>
    <t>technically these are 2 experiments, run N months apart to see whether the effect in the first experiment washes out</t>
  </si>
  <si>
    <t>Domingo, Á., Echeverría, J., Pastor, Ó., &amp; Cetina, C. (2021, June). Comparing UML-based and DSL-based Modeling from Subjective and Objective Perspectives. In International Conference on Advanced Information Systems Engineering (pp. 483-498). Cham: Springer International Publishing.</t>
  </si>
  <si>
    <t>Scanniello, G., Risi, M., Tramontana, P., &amp; Romano, S. (2017). Fixing faults in c and java source code: Abbreviated vs. full-word identifier names. ACM Transactions on Software Engineering and Methodology (TOSEM), 26(2), 1-43.</t>
  </si>
  <si>
    <t>Karac, I., Turhan, B., &amp; Juristo, N. (2019). A controlled experiment with novice developers on the impact of task description granularity on software quality in test-driven development. IEEE Transactions on Software Engineering, 47(7), 1315-1330.</t>
  </si>
  <si>
    <t>Romano, S., Capece, N., Erra, U., Scanniello, G., &amp; Lanza, M. (2019). The city metaphor in software visualization: feelings, emotions, and thinking. Multimedia Tools and Applications, 78, 33113-33149.</t>
  </si>
  <si>
    <t>Cruz Gutierrez, N. A., Melo, O. O., &amp; Martinez, C. A. (2023). Semiparametric generalized estimating equations for repeated measurements in cross-over designs. Statistical Methods in Medical Research, 32(5), 1033-1050.</t>
  </si>
  <si>
    <t>Again using GEEs over GLMMs to model (1) multiple measurements per participant in each period and (2) sequence-specific carryover effects.</t>
  </si>
  <si>
    <t>Moreno-Lumbreras, D., Robles, G., Izquierdo-Cortázar, D., &amp; Gonzalez-Barahona, J. M. (2024). Software development metrics: to VR or not to VR. Empirical Software Engineering, 29(2), 1-49.</t>
  </si>
  <si>
    <t>Mehlhorn, N., &amp; Hanenberg, S. (2022, May). Imperative versus declarative collection processing: an RCT on the understandability of traditional loops versus the stream API in Java. In Proceedings of the 44th International Conference on Software Engineering (pp. 1157-1168).</t>
  </si>
  <si>
    <t>Daun, M., Brings, J., &amp; Weyer, T. (2020, June). Do instance-level review diagrams support validation processes of cyber-physical system specifications: results from a controlled experiment. In Proceedings of the International Conference on Software and System Processes (pp. 11-20).</t>
  </si>
  <si>
    <t>The authors claim to have used a "within-subject" design, but there is hardly any further mention of this (e.g., sequences, etc.). Also, this article is subsumed by #63</t>
  </si>
  <si>
    <t>I would say that, according to the description of the design, it is not possible to know if it is simply within-subjects or crossover. The only indication is "Each participant had to fulfill three reviewing tasks randomly assigned, using the randomization algorithm of Soscisurvey". But we do not know the order in which treatments were applied.</t>
  </si>
  <si>
    <t>Ren, R., Perez-Soler, S., Castro, J. W., Dieste, O., &amp; Acuña, S. T. (2022). Using the socio chatbot for uml modeling: A second family of experiments on usability in academic settings. IEEE Access, 10, 130542-130562.</t>
  </si>
  <si>
    <t>Zhi, Q., Pu, W., Ren, J., &amp; Zhou, Z. (2023). A Defect Detection Method for the Primary Stage of Software Development. Computers, Materials &amp; Continua, 74(3).</t>
  </si>
  <si>
    <t>Massacci, F., Papotti, A., &amp; Paramitha, R. (2024). Addressing combinatorial experiments and scarcity of subjects by provably orthogonal and crossover experimental designs. Journal of Systems and Software, 111990.</t>
  </si>
  <si>
    <t>Seems like a recommendation for experiments with more factors (&gt;1) and more levels (&gt;2).</t>
  </si>
  <si>
    <t>Badampudi, D., Fotrousi, F., Cartaxo, B., &amp; Usman, M. (2022). Reporting Consent, Anonymity and Confidentiality Procedures Adopted in Empirical Studies Using Human Participants. e-Informatica Software Engineering Journal, 16(1).</t>
  </si>
  <si>
    <t>Nagel, L., Schmedes, M., Ahrens, M., &amp; Schneider, K. (2023). When details are difficult to portray: enriching vision videos. Requirements Engineering, 28(4), 521-539.</t>
  </si>
  <si>
    <t>Romano, S., Scanniello, G., Fucci, D., Juristo, N., &amp; Turhan, B. (2018, October). The effect of noise on software engineers' performance. In Proceedings of the 12th acm/ieee international symposium on empirical software engineering and measurement (pp. 1-10).</t>
  </si>
  <si>
    <t>Galvan-Cruz, S., Mora, M., Laporte, C. Y., &amp; Duran-Limon, H. (2021). Reconciliation of scrum and the project management process of the ISO/IEC 29110 standard-Entry profile—an experimental evaluation through usability measures. Software Quality Journal, 29, 239-273.</t>
  </si>
  <si>
    <t>Khan, M. U., Sartaj, H., Iqbal, M. Z., Usman, M., &amp; Arshad, N. (2019). Aspectocl: using aspects to ease maintenance of evolving constraint specification. Empirical Software Engineering, 24, 2674-2724.</t>
  </si>
  <si>
    <t>Gralha, C., Pereira, R., Goulao, M., &amp; Araujo, J. (2021, September). On the impact of using different templates on creating and understanding user stories. In 2021 IEEE 29th International Requirements Engineering Conference (RE) (pp. 209-220). IEEE.</t>
  </si>
  <si>
    <t>Extended by #52</t>
  </si>
  <si>
    <t>Hanenberg, S., &amp; Mehlhorn, N. (2022). Two N-of-1 self-trials on readability differences between anonymous inner classes (AICs) and lambda expressions (LEs) on Java code snippets. Empirical Software Engineering, 27(2), 33.</t>
  </si>
  <si>
    <t>Santos, A., Vegas, S., Uyaguari, F., Dieste, O., Turhan, B., &amp; Juristo, N. (2020). Increasing validity through replication: an illustrative TDD case. Software Quality Journal, 28, 371-395.</t>
  </si>
  <si>
    <t>Baldassarre, M. T., Caivano, D., Fucci, D., Romano, S., &amp; Scanniello, G. (2022). Affective reactions and test-driven development: Results from three experiments and a survey. Journal of Systems and Software, 185, 111154.</t>
  </si>
  <si>
    <t>3 experiments, 1 crossover</t>
  </si>
  <si>
    <t>Chueca, J., Trasobares, J. I., Domingo, Á., Arcega, L., Cetina, C., &amp; Font, J. (2023). Comparing software product lines and Clone and Own for game software engineering under two paradigms: Model-driven development and code-driven development. Journal of Systems and Software, 205, 111824.</t>
  </si>
  <si>
    <t>Reyes, R. P., Dieste, O., Fonseca, E. R., &amp; Juristo, N. (2018, May). Statistical errors in software engineering experiments: A preliminary literature review. In Proceedings of the 40th International Conference on Software Engineering (pp. 1195-1206).</t>
  </si>
  <si>
    <t>Not relevant to the analysis of crossover designs</t>
  </si>
  <si>
    <t>Gralha, C., Pereira, R., Goulão, M., &amp; Araujo, J. (2022). Assessing user stories: the influence of template differences and gender-related problem-solving styles. Requirements Engineering, 27(4), 521-544.</t>
  </si>
  <si>
    <t>Potential duplicate of #46</t>
  </si>
  <si>
    <t>Tosun, A., Dieste, O., Vegas, S., Pfahl, D., Rungi, K., &amp; Juristo, N. (2019). Investigating the impact of development task on external quality in test-driven development: An industry experiment. IEEE Transactions on Software Engineering, 47(11), 2438-2456.</t>
  </si>
  <si>
    <t>Gonzalez-Lopez, F., Pufahl, L., Munoz-Gama, J., Herskovic, V., &amp; Sepúlveda, M. (2021). Case model landscapes: toward an improved representation of knowledge-intensive processes using the fCM-language. Software and Systems Modeling, 20, 1353-1377.</t>
  </si>
  <si>
    <t>Coppola, R., Fulcini, T., Ardito, L., Torchiano, M., &amp; Alègroth, E. (2023). On Effectiveness and Efficiency of Gamified Exploratory GUI Testing. IEEE Transactions on Software Engineering.</t>
  </si>
  <si>
    <t>Santana, R., Martins, L., Virgínio, T., Rocha, L., Costa, H., &amp; Machado, I. (2024). An empirical evaluation of RAIDE: A semi-automated approach for test smells detection and refactoring. Science of Computer Programming, 231, 103013.</t>
  </si>
  <si>
    <t>Reichl, J., Hanenberg, S., &amp; Gruhn, V. (2023, May). Does the Stream API Benefit from Special Debugging Facilities? A Controlled Experiment on Loops and Streams with Specific Debuggers. In 2023 IEEE/ACM 45th International Conference on Software Engineering (ICSE) (pp. 576-588). IEEE.</t>
  </si>
  <si>
    <t>extremely complex design</t>
  </si>
  <si>
    <t>Caulo, M., Francese, R., Scanniello, G., &amp; Tortora, G. (2021). Implications on the Migration from Ionic to Android. In Product-Focused Software Process Improvement: 22nd International Conference, PROFES 2021, Turin, Italy, November 26, 2021, Proceedings 22 (pp. 3-19). Springer International Publishing.</t>
  </si>
  <si>
    <t>Summary of #100</t>
  </si>
  <si>
    <t>Straub, D. W., Gefen, D., &amp; Recker, J. (2022). Quantitative research in information systems. Association for Information Systems (AISWorld) Section on IS Research, Methods, and Theories.</t>
  </si>
  <si>
    <t>Not a peer-reviewed publication, but an online resource</t>
  </si>
  <si>
    <t>Ren, R., Castro, J. W., Santos, A., Dieste, O., &amp; Acuña, S. T. (2022). Using the SOCIO chatbot for UML modelling: A family of experiments. IEEE Transactions on Software Engineering, 49(1), 364-383.</t>
  </si>
  <si>
    <t>3 experiments</t>
  </si>
  <si>
    <t>Caivano, D., Fernández-Ropero, M., Pérez-Castillo, R., Piattini, M., &amp; Scalera, M. (2018). Artifact-based vs. human-perceived understandability and modifiability of refactored business processes: an experiment. Journal of Systems and Software, 144, 143-164.</t>
  </si>
  <si>
    <t>Domingo, Á., Echeverría, J., Pastor, O., &amp; Cetina, C. (2021). Evaluating the influence of scope on feature location. Information and Software Technology, 140, 106674.</t>
  </si>
  <si>
    <t>Daun, M., Brings, J., &amp; Weyer, T. (2023). Model inspections in the engineering of collaborative cyber‐physical systems with instance‐level review diagrams. Journal of Software: Evolution and Process, 35(5), e2392.</t>
  </si>
  <si>
    <t>Only in the threats to validity section the authors mention that "we chose a within-subject design to strengthen conclusion validity" - the method section contains no evidence of a within-subject design</t>
  </si>
  <si>
    <t>Bünder, H., &amp; Kuchen, H. (2019, April). A model-driven approach for behavior-driven GUI testing. In Proceedings of the 34th ACM/SIGAPP Symposium on Applied Computing (pp. 1742-1751).</t>
  </si>
  <si>
    <t>Subsumed by #92</t>
  </si>
  <si>
    <t>Abrahão, S., &amp; Insfran, E. (2017, June). Evaluating software architecture evaluation methods: An internal replication. In Proceedings of the 21st International Conference on Evaluation and Assessment in Software Engineering (pp. 144-153).</t>
  </si>
  <si>
    <t>replication</t>
  </si>
  <si>
    <t>Frattini, J., Fucci, D., Torkar, R., Montgomery, L., Unterkalmsteiner, M., Fischbach, J., &amp; Mendez, D. (2024). Applying Bayesian Data Analysis for Causal Inference about Requirements Quality: A Replicated Experiment. arXiv preprint arXiv:2401.01154.</t>
  </si>
  <si>
    <t>Though mainly an empirical article, this article has slight meta implications (i.e., proposals for addressing threats to validity at analysis time)</t>
  </si>
  <si>
    <t>Not peer reviewed yet</t>
  </si>
  <si>
    <t>Bogner, J., Wójcik, P., &amp; Zimmermann, O. (2024). How Do Microservice API Patterns Impact Understandability? A Controlled Experiment. arXiv preprint arXiv:2402.13696.</t>
  </si>
  <si>
    <t>Frattini, J., Fucci, D., Torkar, R., &amp; Mendez, D. (2024). A Second Look at the Impact of Passive Voice Requirements on Domain Modeling: Bayesian Reanalysis of an Experiment. arXiv preprint arXiv:2402.10800.</t>
  </si>
  <si>
    <t>The study reports a secondary analysis of a previously conducted experiment, but did not contribute the experiment.</t>
  </si>
  <si>
    <t>Baldassarre, M. T., Caivano, D., Romano, S., Cagnetta, F., Fernandez-Cervantes, V., &amp; Stroulia, E. (2021). PhyDSLK: a model-driven framework for generating exergames. Multimedia Tools and Applications, 80(18), 27947-27971.</t>
  </si>
  <si>
    <t xml:space="preserve">the choice of a crossover design it is not explictly mentioned </t>
  </si>
  <si>
    <t xml:space="preserve">It is not crossover, but within-subjects. The experiment takes place in 4 sessions: S1 is training, S2 KeepTheBalloons, S3 PopTheBalloons and S4 AlienMiner. It is not crossover because alll participants apply the treatments in the same order. But it is within-subjects because all participants apply all treatments. </t>
  </si>
  <si>
    <t>Figueiredo, D. G., Abrahão, S., Fernández-Diego, M., &amp; Insfran, E. (2023). A Comparative Study on Reward Models for UI Adaptation with Reinforcement Learning. arXiv preprint arXiv:2308.13937.</t>
  </si>
  <si>
    <t>Duplicate of #88 (because the double-name was parsed differently)</t>
  </si>
  <si>
    <t>Kreber, L., &amp; Diehl, S. (2023, October). A Comparative Evaluation of Tabs and Linked Panels for Program Understanding in Augmented Reality. In 2023 IEEE International Symposium on Mixed and Augmented Reality (ISMAR) (pp. 29-38). IEEE.</t>
  </si>
  <si>
    <t>Coviello, C., Romano, S., Scanniello, G., &amp; Antoniol, G. (2022). Gasser: a multi-objective evolutionary approach for test suite reduction. International Journal of Software Engineering and Knowledge Engineering, 32(02), 193-225.</t>
  </si>
  <si>
    <t>Marchezan, L., Assunção, W. K., Michelon, G. K., &amp; Egyed, A. (2023, June). Do Developers Benefit from Recommendations When Repairing Inconsistent Design Models? a Controlled Experiment. In Proceedings of the 27th International Conference on Evaluation and Assessment in Software Engineering (pp. 131-140).</t>
  </si>
  <si>
    <t>Baatartogtokh, Y., Foster, I., &amp; Grubb, A. M. (2023, September). Visualizations for User-supported State Space Exploration of Goal Models. In 2023 IEEE 31st International Requirements Engineering Conference (RE) (pp. 281-286). IEEE.</t>
  </si>
  <si>
    <t>The empirical part of this RE@Next! paper stems from #25</t>
  </si>
  <si>
    <t>Bogner, J., Kotstein, S., &amp; Pfaff, T. (2023). Do RESTful API Design Rules Have an Impact on the Understandability of Web APIs? A Web-Based Experiment with API Descriptions. arXiv preprint arXiv:2305.07346.</t>
  </si>
  <si>
    <t>Duplicate of #9</t>
  </si>
  <si>
    <t>Nowak, A., &amp; Schünemann, H. J. (2017). Toward evidence-based software engineering: Lessons learned in healthcare application development. IEEE Software, 34(5), 67-71.</t>
  </si>
  <si>
    <t>Magazine Article</t>
  </si>
  <si>
    <t>Schneid, K., Thöne, S., &amp; Kuchen, H. (2022, September). Semi-automated test migration for BPMN-based process-driven applications. In International Conference on Enterprise Design, Operations, and Computing (pp. 237-254). Cham: Springer International Publishing.</t>
  </si>
  <si>
    <t>Gralha, C., Goulao, M., &amp; Araujo, J. (2020). Are there gender differences when interacting with social goal models? A quasi-experiment. Empirical Software Engineering, 25, 5416-5453.</t>
  </si>
  <si>
    <t>Dieste, O., Uyaguari, F., Vegas, S., &amp; Juristo, N. (2021). Test cases as a measurement instrument in experimentation. arXiv preprint arXiv:2111.05287.</t>
  </si>
  <si>
    <t>Focuses on the operationalization of response variables but follows the analysis recommendations of Vegas et al.</t>
  </si>
  <si>
    <t>Esposito, M., Romano, S., &amp; Scanniello, G. (2023, September). Test-Driven Development and Embedded Systems: An Exploratory Investigation. In 2023 49th Euromicro Conference on Software Engineering and Advanced Applications (SEAA) (pp. 239-246). IEEE.</t>
  </si>
  <si>
    <t>2 experiments, 1 crossover</t>
  </si>
  <si>
    <t>Abdelfattah, A. S., Cerny, T., Taibi, D., &amp; Vegas, S. (2023, May). Comparing 2D and augmented reality visualizations for microservice system understandability: A controlled experiment. In 2023 IEEE/ACM 31st International Conference on Program Comprehension (ICPC) (pp. 135-145). IEEE.</t>
  </si>
  <si>
    <t>Trasobares, J. I., Domingo, Á., Arcega, L., &amp; Cetina, C. (2022, September). Evaluating the benefits of software product lines in game software engineering. In Proceedings of the 26th ACM International Systems and Software Product Line Conference-Volume A (pp. 120-130).</t>
  </si>
  <si>
    <t>Extended by #50</t>
  </si>
  <si>
    <t>Francese, R., Frasca, M., Risi, M., &amp; Tortora, G. (2022). User Comprehension of Complexity Design Graph Reports. Big Data, 10(5), 388-407.</t>
  </si>
  <si>
    <t>Cruz, N. A., Melo, O. O., &amp; Martinez, C. A. (2023). CrossCarry: An R package for the analysis of data from a crossover design with GEE. arXiv preprint arXiv:2304.02440.</t>
  </si>
  <si>
    <t>R package implementing the GEE-based approach in #34</t>
  </si>
  <si>
    <t>Cruz, N. A., Melo, O. O., &amp; Martinez, C. A. (2024). Estimation of complex carryover effects in crossover designs with repeated measures. arXiv preprint arXiv:2402.16362.</t>
  </si>
  <si>
    <t>Extends #34 by contrasting the crossover with a Williams design and discussing estimability in AB/BA designs</t>
  </si>
  <si>
    <t>Auer, F., &amp; Felderer, M. (2021, September). An Architecture to Integrate Experimentation into the Software Development Infrastructure. In 2021 47th Euromicro Conference on Software Engineering and Advanced Applications (SEAA) (pp. 342-350). IEEE.</t>
  </si>
  <si>
    <t>The methodological part does is not relevant, but this study also contributes a controlled experiment using a crossover-design</t>
  </si>
  <si>
    <t>Recker, J., &amp; Recker, J. (2021). Research methods. Scientific Research in Information Systems: A Beginner's Guide, 87-160.</t>
  </si>
  <si>
    <t>Gaspar-Figueiredo, D., Fernández-Diego, M., Abrahao, S., &amp; Insfran, E. (2023). A Comparative Study on Reward Models for UI Adaptation with Reinforcement Learning. methods, 13, 14.</t>
  </si>
  <si>
    <t>Albuquerque, D., Guimarães, E., Braga, A., Perkusich, M., Almeida, H., &amp; Perkusich, A. (2022, September). Empirical Assessment on Interactive Detection of Code Smells. In 2022 International Conference on Software, Telecommunications and Computer Networks (SoftCOM) (pp. 1-6). IEEE.</t>
  </si>
  <si>
    <t>Duplicate of #26</t>
  </si>
  <si>
    <t>Kitchenham, B., Madeyski, L., Scanniello, G., &amp; Gravino, C. (2021). The Importance of the Correlation in Crossover Experiments. IEEE Transactions on Software Engineering, 48(8), 2802-2813.</t>
  </si>
  <si>
    <t>Shows how calculating the correlation coefficient r informs about the validity of crossover design experiment analysis (this should be covered by the variance of the random effect in LMMs)</t>
  </si>
  <si>
    <t>Herbold, V. (2019). Mining developer dynamics for agent-based simulation of software evolution (Doctoral dissertation, Niedersächsische Staats-und Universitätsbibliothek Göttingen).</t>
  </si>
  <si>
    <t>Bünder, H., &amp; Kuchen, H. (2019). Towards behavior-driven graphical user interface testing. ACM SIGAPP Applied Computing Review, 19(2), 5-17.</t>
  </si>
  <si>
    <t>Farooq, S. U. (2019). Gap between academia and industry: a case of empirical evaluation of three software testing methods. International Journal of System Assurance Engineering and Management, 10(6), 1487-1504.</t>
  </si>
  <si>
    <t>Quesada-López, C., Madrigal-Sánchez, D., &amp; Jenkins, M. (2020). An empirical analysis of ifpug fpa and cosmic ffp measurement methods. In Information Technology and Systems: Proceedings of ICITS 2020 (pp. 265-274). Springer International Publishing.</t>
  </si>
  <si>
    <t>Santana, R., Martins, L., Virgínio, T., Soares, L., Costa, H., &amp; Machado, I. (2022). Refactoring Assertion Roulette and Duplicate Assert test smells: a controlled experiment. arXiv preprint arXiv:2207.05539.</t>
  </si>
  <si>
    <t>Extended by #56</t>
  </si>
  <si>
    <t>De La Vara, J. L., Marín, B., Ayora, C., &amp; Giachetti, G. (2017). An experimental evaluation of the understanding of safety compliance needs with models. In Conceptual Modeling: 36th International Conference, ER 2017, Valencia, Spain, November 6–9, 2017, Proceedings 36 (pp. 239-247). Springer International Publishing.</t>
  </si>
  <si>
    <t>Predecessor to #11, yet sufficiently different</t>
  </si>
  <si>
    <t>Oliveira, J., Macedo, H., Cacho, N., &amp; Romanovsky, A. (2018, October). Droideh: An exception handling mechanism for android applications. In 2018 IEEE 29th International Symposium on Software Reliability Engineering (ISSRE) (pp. 200-211). IEEE.</t>
  </si>
  <si>
    <t>Sivasothy, S. (2021, November). DSInfoSearch: supporting experimentation process of data scientists. In 2021 36th IEEE/ACM International Conference on Automated Software Engineering (ASE) (pp. 1033-1037). IEEE.</t>
  </si>
  <si>
    <t>Research preview</t>
  </si>
  <si>
    <t>Kang, H. J., Wang, K., &amp; Kim, M. (2024, April). Scaling Code Pattern Inference with Interactive What-If Analysis. In Proceedings of the IEEE/ACM 46th International Conference on Software Engineering (pp. 1-12).</t>
  </si>
  <si>
    <t>Caulo, M., Francese, R., Scanniello, G., &amp; Spera, A. (2019). Does the migration of cross-platform apps towards the android platform matter? An approach and a user study. In Product-Focused Software Process Improvement: 20th International Conference, PROFES 2019, Barcelona, Spain, November 27–29, 2019, Proceedings 20 (pp. 120-136). Springer International Publishing.</t>
  </si>
  <si>
    <t>Dieste, O., &amp; Juristo, N. (2021). A City upon a Hill: Casting Light on a Real Experimental Process. arXiv preprint arXiv:2108.12800.</t>
  </si>
  <si>
    <t>Not much information about experiment analysis, but might contain some motivation for B4C</t>
  </si>
  <si>
    <t>Romano, S., Scanniello, G., Fucci, D., Juristo, N., &amp; Turhan, B. (2018, May). The effect of noise on requirements comprehension. In Proceedings of the 40th International Conference on Software Engineering: Companion Proceeedings (pp. 308-309).</t>
  </si>
  <si>
    <t>poster</t>
  </si>
  <si>
    <t>Sotelo-Figueroa, M. A., del Rosario Baltazar-Flores, M., Carpio, J. M., &amp; Zamudio, V. (2010, November). A comparation between Bee Swarm Optimization and Greedy Algorithm for the Knapsack Problem with bee reallocation. In 2010 Ninth Mexican International Conference on Artificial Intelligence (pp. 22-27). IEEE.</t>
  </si>
  <si>
    <t>Does not cite Vegas et al.</t>
  </si>
  <si>
    <t>Wójcik, P. (2023). Towards empirical evidence for the impact of microservice API patterns on software quality: a controlled experiment (Master's thesis).</t>
  </si>
  <si>
    <t>Gomes, E., Guerra, E., Lima, P., &amp; Meirelles, P. (2023). An Approach Based on Metadata to Implement Convention over Configuration Decoupled from Framework Logic.</t>
  </si>
  <si>
    <t>Only a preprint</t>
  </si>
  <si>
    <t>Marchezan de Paula, L. A. (2023). Improving Consistency Maintenance for Collaborative Software Systems Engineering/eingereicht von Luciano Augusto Marchezan de Paula.</t>
  </si>
  <si>
    <t>Doctoral thesis</t>
  </si>
  <si>
    <t>Ramač, R., Karac, I., Turhan, B., Juristo, N., &amp; Mandić, V. (2017). Lessons learned from a partial replication of an experiment in the context of a software engineering course. In International Scientific Conference on Industrial Systems 2017 (pp. 198-203). University of Novi Sad.</t>
  </si>
  <si>
    <t>Lessons learned from a crossover-design experiment (which, howere, does not seem to fully follow the analysis guidelines by Vegas et al.)</t>
  </si>
  <si>
    <t>The study is a controlled experiment using a crossover design, but the analysis of the experiment is not presented in this study. Rather, it focuses on lessons learned and some isolated, secondary analyses.</t>
  </si>
  <si>
    <t>Reyes, R. P., Dieste, O., &amp; Juristo, N. (2020, April). Publication bias: A detailed analysis of experiments published in ESEM. In Proceedings of the 24th International Conference on Evaluation and Assessment in Software Engineering (pp. 130-139).</t>
  </si>
  <si>
    <t>Only mentiones Vegas et al. briefly with the hint that the ESEM community "should establish measures to improve experimenters' statistical skills", which might serve as motivation</t>
  </si>
  <si>
    <t>Iñiguez-Jarrín, C., Panach, J. I., &amp; López, O. P. (2020). Improvement of usability in user interfaces for massive data analysis: an empirical study. Multimedia Tools and Applications, 79, 12257-12288.</t>
  </si>
  <si>
    <t>Ch, R. P. R., Dieste, O., &amp; Juristo, N. (2020). Publication Bias: A Detailed Analysis of Experiments Published in ESEM.</t>
  </si>
  <si>
    <t>Duplicate of #108</t>
  </si>
  <si>
    <t>Marchezan, L. (2023). Improving Consistency Maintenance for Collaborative Software Systems Engineering (Doctoral dissertation, JOHANNES KEPLER UNIVERSITY LINZ).</t>
  </si>
  <si>
    <t>Duplicate of #106</t>
  </si>
  <si>
    <t>Romano, S., Scanniello, G., Baldassarre, M. T., &amp; Fucci, D. (2020, August). On the Effect of Noise on Software Engineers’ Performance: Results from Two Replicated Experiments. In 2020 46th Euromicro Conference on Software Engineering and Advanced Applications (SEAA) (pp. 334-341). IEEE.</t>
  </si>
  <si>
    <t>Potentially a duplicate of #43 and #102</t>
  </si>
  <si>
    <t>2 experiments, 1 published in #43</t>
  </si>
  <si>
    <t>Geraldino, G. C. L., da Silva, R. G., &amp; Santander, V. F. A. (2020). Avaliando o processo de derivação de casos de uso a partir de i* e BPMN e suporte computacional. In CIbSE (pp. 250-263).</t>
  </si>
  <si>
    <t xml:space="preserve"> </t>
  </si>
  <si>
    <t>Albuquerque, D. W. (2023). Avaliação Experimental da Detecção Interativa de Anomalias de Código.</t>
  </si>
  <si>
    <t>Fabia Valdatta, P. (2023). Comprensión de modelos de procesos por expertos de dominio.</t>
  </si>
  <si>
    <t>Ren, R., Castro, J. W., &amp; Acuña, S. T. (2021). A family of experiments for evaluating the usability of a collaborative modelling chatbot. In SEKE (pp. 275-280).</t>
  </si>
  <si>
    <t>Potentially a duplicate to #20, #38, or #60</t>
  </si>
  <si>
    <t>Caivano, D., Fernández-Ropero, M., Pérez-Castillo, R., Piattini, M., &amp; Scalera, M. (2018). Artifact-based vs human-perceived understandability and modifiability of refactored business processes: An experiment. In Journal of Systems and Software.</t>
  </si>
  <si>
    <t>Duplicate of #61</t>
  </si>
  <si>
    <t>Cruz Gutiérrez, N. A. Analysis of crossover designs with repeated measurements using generalized estimating equations (Doctoral dissertation, Universidad Nacional de Colombia).</t>
  </si>
  <si>
    <t>Doctoral thesis and most likely covered in all the publications from Cruz et al.</t>
  </si>
  <si>
    <t>Francese, R., Risi, M., &amp; Tortora, G. (2020, September). miniJava: Automatic Miniaturization of Java Applications. In Proceedings of the International Conference on Advanced Visual Interfaces (pp. 1-8).</t>
  </si>
  <si>
    <t>BAYET, A. THESIS/THÈSE.</t>
  </si>
  <si>
    <t>irrelevant</t>
  </si>
  <si>
    <t>Thesis</t>
  </si>
  <si>
    <t>GRABSI, A. THESIS/THÈSE.</t>
  </si>
  <si>
    <t>de Roberto, P., De Lucia, A., &amp; Tortora, G. from Petroglyphs to CoDe Graphs.</t>
  </si>
  <si>
    <t>Moran, M. J. (2017). On Comparative Algorithmic Pathfinding in Complex Networks for Resource-Constrained Software Agents (Doctoral dissertation, Walden University).</t>
  </si>
  <si>
    <t>Oliveira, J. D. A. (2021). Engineering efficient exception handling for android applications.</t>
  </si>
  <si>
    <t>Raura, G., Pons, C. F., Fonseca, E. R., &amp; Dieste, O. (2022). ¿ Qué factores personales afectan a la calidad y productividad de TDD? Un experimento con profesionales. Electronic Journal of SADIO, 21.</t>
  </si>
  <si>
    <t>Fonseca, E. R., &amp; Dieste, O. ¿ Qué factores personales afectan a la calidad y productividad de TDD? Un experimento con profesionales.</t>
  </si>
  <si>
    <t>de Almeida, A. C. G. (2019). Quality Evaluation of Requirements Models: The Case of Goal Models and Scenarios (Doctoral dissertation, Universidade NOVA de Lisboa (Portugal)).</t>
  </si>
  <si>
    <t>Sandobalín Guamán, J. C. (2020). MoCIP: Un enfoque dirigido por modelos para el aprovisionamiento de infraestructura en la nube (Doctoral dissertation, Universitat Politècnica de València).</t>
  </si>
  <si>
    <t>Íñiguez Jarrín, C. E. (2020). GenomIUm: Un Método Basado en Patrones para el Diseño de Interfaces de Usuario de Acceso a Datos Genómicos (Doctoral dissertation, Universitat Politècnica de València).</t>
  </si>
  <si>
    <t>Juristo, N. (2018). Statistical Errors in Software Engineering Experiments: A Preliminary Literature Review.</t>
  </si>
  <si>
    <t>Duplicate of #51</t>
  </si>
  <si>
    <t>De Roberto, P. (2018). Information visualization: from petroglyphs to CoDe Graphs.</t>
  </si>
  <si>
    <t>Duplicate of #122</t>
  </si>
  <si>
    <t>Messe, N. Z. (2021). Security by Design: An asset-based approach to bridge the gap between architects and security experts (Doctoral dissertation, Université de Bretagne Sud).</t>
  </si>
  <si>
    <t>Vara González, J. L. D. L., Marín, B., Ayora, C., &amp; Giachetti, G. (2017). An experimental evaluation of the understanding of safety compliance needs with models.</t>
  </si>
  <si>
    <t>Duplicate of #96</t>
  </si>
  <si>
    <t>Romano, S., Scanniello, G., Fucci, D., Juristo, N., &amp; Turhan, B. (2016). The E ect of Noise on Requirements Comprehension.</t>
  </si>
  <si>
    <t>Potentially a duplicate of #43, #102, or #112</t>
  </si>
  <si>
    <t>duplicate</t>
  </si>
  <si>
    <t>Romano, S. (2018). Dead code: Study and detection (Doctoral dissertation, Ph. D. dissertation, University of Salento and University of Basilicata, 2018.[Online]. Available: http://www2. unibas. it/sromano/downloads/thesis. pdf).</t>
  </si>
  <si>
    <t>Nowak, A., &amp; Schünemann, H. J. Toward Evidence-Based Software Engineering.</t>
  </si>
  <si>
    <t>Duplicate of #76</t>
  </si>
  <si>
    <t>In4: from the description of the experiment, all levels of the main factor are assigned (w\o API violation, with API violation)</t>
  </si>
  <si>
    <t>ths is an abstract for a tutorial</t>
  </si>
  <si>
    <t>this is a registered report. no results are actually presented, only the experimental design.</t>
  </si>
  <si>
    <t>Main rater</t>
  </si>
  <si>
    <t>Done</t>
  </si>
  <si>
    <t>Acro</t>
  </si>
  <si>
    <t>Assignment</t>
  </si>
  <si>
    <t>Completed</t>
  </si>
  <si>
    <t>Perc</t>
  </si>
  <si>
    <t>Remaining</t>
  </si>
  <si>
    <t>(anonymized)</t>
  </si>
  <si>
    <t>rater1</t>
  </si>
  <si>
    <t>rater2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</si>
</sst>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scheme val="minor"/>
    </font>
    <font>
      <b/>
      <sz val="10"/>
      <color rgb="FFFFFFFF"/>
      <name val="Arial"/>
      <family val="2"/>
      <scheme val="minor"/>
    </font>
    <font>
      <b/>
      <sz val="10"/>
      <color theme="0"/>
      <name val="Arial"/>
      <family val="2"/>
      <scheme val="minor"/>
    </font>
    <font>
      <b/>
      <sz val="10"/>
      <color theme="1"/>
      <name val="Arial"/>
      <family val="2"/>
      <scheme val="minor"/>
    </font>
    <font>
      <sz val="10"/>
      <color theme="1"/>
      <name val="Arial"/>
      <family val="2"/>
      <scheme val="minor"/>
    </font>
  </fonts>
  <fills count="4">
    <fill>
      <patternFill patternType="none"/>
    </fill>
    <fill>
      <patternFill patternType="gray125"/>
    </fill>
    <fill>
      <patternFill patternType="solid">
        <fgColor rgb="FF666666"/>
        <bgColor rgb="FF666666"/>
      </patternFill>
    </fill>
    <fill>
      <patternFill patternType="solid">
        <fgColor rgb="FFD9EAD3"/>
        <bgColor rgb="FFD9EAD3"/>
      </patternFill>
    </fill>
  </fills>
  <borders count="6">
    <border>
      <left/>
      <right/>
      <top/>
      <bottom/>
      <diagonal/>
    </border>
    <border>
      <left style="thin">
        <color rgb="FF000000"/>
      </left>
      <right/>
      <top/>
      <bottom/>
      <diagonal/>
    </border>
    <border>
      <left style="hair">
        <color rgb="FF000000"/>
      </left>
      <right/>
      <top/>
      <bottom/>
      <diagonal/>
    </border>
    <border>
      <left/>
      <right style="thin">
        <color rgb="FF000000"/>
      </right>
      <top/>
      <bottom/>
      <diagonal/>
    </border>
    <border>
      <left style="thin">
        <color rgb="FF000000"/>
      </left>
      <right style="thin">
        <color rgb="FF000000"/>
      </right>
      <top/>
      <bottom/>
      <diagonal/>
    </border>
    <border>
      <left/>
      <right style="dotted">
        <color rgb="FF000000"/>
      </right>
      <top/>
      <bottom/>
      <diagonal/>
    </border>
  </borders>
  <cellStyleXfs count="1">
    <xf numFmtId="0" fontId="0" fillId="0" borderId="0"/>
  </cellStyleXfs>
  <cellXfs count="38">
    <xf numFmtId="0" fontId="0" fillId="0" borderId="0" xfId="0"/>
    <xf numFmtId="0" fontId="1" fillId="2" borderId="0" xfId="0" applyFont="1" applyFill="1" applyAlignment="1">
      <alignment horizontal="right" vertical="top"/>
    </xf>
    <xf numFmtId="0" fontId="2" fillId="2" borderId="0" xfId="0" applyFont="1" applyFill="1" applyAlignment="1">
      <alignment vertical="top"/>
    </xf>
    <xf numFmtId="0" fontId="1" fillId="2" borderId="0" xfId="0" applyFont="1" applyFill="1" applyAlignment="1">
      <alignment vertical="top"/>
    </xf>
    <xf numFmtId="0" fontId="2" fillId="2" borderId="0" xfId="0" applyFont="1" applyFill="1" applyAlignment="1">
      <alignment vertical="top" wrapText="1"/>
    </xf>
    <xf numFmtId="0" fontId="2" fillId="2" borderId="0" xfId="0" applyFont="1" applyFill="1" applyAlignment="1">
      <alignment horizontal="right" vertical="top"/>
    </xf>
    <xf numFmtId="0" fontId="1" fillId="2" borderId="0" xfId="0" applyFont="1" applyFill="1" applyAlignment="1">
      <alignment vertical="top" wrapText="1"/>
    </xf>
    <xf numFmtId="0" fontId="1" fillId="2" borderId="1" xfId="0" applyFont="1" applyFill="1" applyBorder="1" applyAlignment="1">
      <alignment horizontal="center" vertical="top" wrapText="1"/>
    </xf>
    <xf numFmtId="0" fontId="1" fillId="2" borderId="0" xfId="0" applyFont="1" applyFill="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3" fillId="0" borderId="0" xfId="0" applyFont="1" applyAlignment="1">
      <alignment horizontal="right" vertical="top"/>
    </xf>
    <xf numFmtId="0" fontId="4" fillId="0" borderId="0" xfId="0" applyFont="1" applyAlignment="1">
      <alignment vertical="top"/>
    </xf>
    <xf numFmtId="0" fontId="4" fillId="0" borderId="0" xfId="0" applyFont="1" applyAlignment="1">
      <alignment vertical="top" wrapText="1"/>
    </xf>
    <xf numFmtId="0" fontId="4" fillId="0" borderId="3" xfId="0" applyFont="1" applyBorder="1" applyAlignment="1">
      <alignment horizontal="right" vertical="top" wrapText="1"/>
    </xf>
    <xf numFmtId="0" fontId="4" fillId="0" borderId="4" xfId="0" applyFont="1" applyBorder="1" applyAlignment="1">
      <alignment vertical="top"/>
    </xf>
    <xf numFmtId="0" fontId="4" fillId="0" borderId="1" xfId="0" applyFont="1" applyBorder="1" applyAlignment="1">
      <alignment vertical="top" wrapText="1"/>
    </xf>
    <xf numFmtId="0" fontId="4" fillId="0" borderId="2" xfId="0" applyFont="1" applyBorder="1" applyAlignment="1">
      <alignment vertical="top" wrapText="1"/>
    </xf>
    <xf numFmtId="0" fontId="3" fillId="0" borderId="1" xfId="0" applyFont="1" applyBorder="1" applyAlignment="1">
      <alignment vertical="top" wrapText="1"/>
    </xf>
    <xf numFmtId="0" fontId="4" fillId="0" borderId="3" xfId="0" applyFont="1" applyBorder="1" applyAlignment="1">
      <alignment vertical="top" wrapText="1"/>
    </xf>
    <xf numFmtId="0" fontId="4" fillId="3" borderId="0" xfId="0" applyFont="1" applyFill="1" applyAlignment="1">
      <alignment vertical="top" wrapText="1"/>
    </xf>
    <xf numFmtId="0" fontId="1" fillId="2" borderId="0" xfId="0" applyFont="1" applyFill="1"/>
    <xf numFmtId="0" fontId="1" fillId="2" borderId="0" xfId="0" applyFont="1" applyFill="1" applyAlignment="1">
      <alignment wrapText="1"/>
    </xf>
    <xf numFmtId="0" fontId="1" fillId="2" borderId="0" xfId="0" applyFont="1" applyFill="1" applyAlignment="1">
      <alignment horizontal="right"/>
    </xf>
    <xf numFmtId="0" fontId="4" fillId="0" borderId="3" xfId="0" applyFont="1" applyBorder="1" applyAlignment="1">
      <alignment horizontal="right" vertical="top"/>
    </xf>
    <xf numFmtId="0" fontId="4" fillId="0" borderId="3" xfId="0" applyFont="1" applyBorder="1"/>
    <xf numFmtId="0" fontId="4" fillId="0" borderId="0" xfId="0" applyFont="1"/>
    <xf numFmtId="0" fontId="4" fillId="0" borderId="5" xfId="0" applyFont="1" applyBorder="1"/>
    <xf numFmtId="0" fontId="4" fillId="0" borderId="4" xfId="0" applyFont="1" applyBorder="1"/>
    <xf numFmtId="0" fontId="4" fillId="0" borderId="0" xfId="0" applyFont="1" applyAlignment="1">
      <alignment wrapText="1"/>
    </xf>
    <xf numFmtId="0" fontId="3" fillId="0" borderId="0" xfId="0" applyFont="1"/>
    <xf numFmtId="164" fontId="4" fillId="0" borderId="0" xfId="0" applyNumberFormat="1" applyFont="1"/>
    <xf numFmtId="164" fontId="1" fillId="2" borderId="0" xfId="0" applyNumberFormat="1" applyFont="1" applyFill="1"/>
    <xf numFmtId="0" fontId="1" fillId="2" borderId="0" xfId="0" applyFont="1" applyFill="1" applyAlignment="1">
      <alignment wrapText="1"/>
    </xf>
    <xf numFmtId="0" fontId="0" fillId="0" borderId="0" xfId="0"/>
    <xf numFmtId="49" fontId="2" fillId="2" borderId="0" xfId="0" applyNumberFormat="1" applyFont="1" applyFill="1" applyAlignment="1">
      <alignment vertical="top" wrapText="1"/>
    </xf>
    <xf numFmtId="49" fontId="4" fillId="0" borderId="0" xfId="0" applyNumberFormat="1" applyFont="1" applyAlignment="1">
      <alignment vertical="top" wrapText="1"/>
    </xf>
    <xf numFmtId="49" fontId="0" fillId="0" borderId="0" xfId="0" applyNumberFormat="1" applyAlignment="1">
      <alignment wrapText="1"/>
    </xf>
  </cellXfs>
  <cellStyles count="1">
    <cellStyle name="Normal" xfId="0" builtinId="0"/>
  </cellStyles>
  <dxfs count="17">
    <dxf>
      <font>
        <color theme="2"/>
      </font>
      <fill>
        <patternFill>
          <bgColor rgb="FFC00000"/>
        </patternFill>
      </fill>
    </dxf>
    <dxf>
      <font>
        <color rgb="FFFFFFFF"/>
      </font>
      <fill>
        <patternFill patternType="solid">
          <fgColor rgb="FF38761D"/>
          <bgColor rgb="FF38761D"/>
        </patternFill>
      </fill>
    </dxf>
    <dxf>
      <fill>
        <patternFill>
          <bgColor rgb="FF92D050"/>
        </patternFill>
      </fill>
    </dxf>
    <dxf>
      <font>
        <color rgb="FFFFFFFF"/>
      </font>
      <fill>
        <patternFill patternType="solid">
          <fgColor rgb="FF38761D"/>
          <bgColor rgb="FF38761D"/>
        </patternFill>
      </fill>
    </dxf>
    <dxf>
      <font>
        <color theme="2"/>
      </font>
      <fill>
        <patternFill>
          <bgColor rgb="FFC00000"/>
        </patternFill>
      </fill>
    </dxf>
    <dxf>
      <font>
        <color rgb="FFFFFFFF"/>
      </font>
      <fill>
        <patternFill patternType="solid">
          <fgColor rgb="FF38761D"/>
          <bgColor rgb="FF38761D"/>
        </patternFill>
      </fill>
    </dxf>
    <dxf>
      <font>
        <color rgb="FFFFFFFF"/>
      </font>
      <fill>
        <patternFill patternType="solid">
          <fgColor rgb="FF990000"/>
          <bgColor rgb="FF990000"/>
        </patternFill>
      </fill>
    </dxf>
    <dxf>
      <fill>
        <patternFill patternType="solid">
          <fgColor rgb="FF0B5394"/>
          <bgColor rgb="FF0B5394"/>
        </patternFill>
      </fill>
    </dxf>
    <dxf>
      <fill>
        <patternFill patternType="solid">
          <fgColor rgb="FFF1C232"/>
          <bgColor rgb="FFF1C232"/>
        </patternFill>
      </fill>
    </dxf>
    <dxf>
      <font>
        <color rgb="FFFFFFFF"/>
      </font>
      <fill>
        <patternFill patternType="solid">
          <fgColor rgb="FF38761D"/>
          <bgColor rgb="FF38761D"/>
        </patternFill>
      </fill>
    </dxf>
    <dxf>
      <fill>
        <patternFill patternType="solid">
          <fgColor rgb="FFF4CCCC"/>
          <bgColor rgb="FFF4CCCC"/>
        </patternFill>
      </fill>
    </dxf>
    <dxf>
      <fill>
        <patternFill patternType="solid">
          <fgColor rgb="FFD9EAD3"/>
          <bgColor rgb="FFD9EAD3"/>
        </patternFill>
      </fill>
    </dxf>
    <dxf>
      <fill>
        <patternFill patternType="solid">
          <fgColor rgb="FF6AA84F"/>
          <bgColor rgb="FF6AA84F"/>
        </patternFill>
      </fill>
    </dxf>
    <dxf>
      <fill>
        <patternFill patternType="solid">
          <fgColor rgb="FFF1C232"/>
          <bgColor rgb="FFF1C232"/>
        </patternFill>
      </fill>
    </dxf>
    <dxf>
      <fill>
        <patternFill patternType="solid">
          <fgColor rgb="FFF4CCCC"/>
          <bgColor rgb="FFF4CCCC"/>
        </patternFill>
      </fill>
    </dxf>
    <dxf>
      <fill>
        <patternFill patternType="solid">
          <fgColor rgb="FFD9EAD3"/>
          <bgColor rgb="FFD9EAD3"/>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37"/>
  <sheetViews>
    <sheetView tabSelected="1" workbookViewId="0">
      <pane xSplit="2" ySplit="1" topLeftCell="C131" activePane="bottomRight" state="frozen"/>
      <selection pane="topRight" activeCell="C1" sqref="C1"/>
      <selection pane="bottomLeft" activeCell="A2" sqref="A2"/>
      <selection pane="bottomRight" activeCell="V117" sqref="V117"/>
    </sheetView>
  </sheetViews>
  <sheetFormatPr defaultColWidth="12.6640625" defaultRowHeight="15.75" customHeight="1" x14ac:dyDescent="0.25"/>
  <cols>
    <col min="1" max="1" width="3.6640625" customWidth="1"/>
    <col min="2" max="2" width="7.5546875" customWidth="1"/>
    <col min="3" max="3" width="8.88671875" customWidth="1"/>
    <col min="4" max="4" width="37.6640625" customWidth="1"/>
    <col min="5" max="5" width="16.44140625" customWidth="1"/>
    <col min="6" max="6" width="6.33203125" customWidth="1"/>
    <col min="7" max="7" width="56.21875" style="37" customWidth="1"/>
    <col min="8" max="8" width="5.33203125" customWidth="1"/>
    <col min="9" max="9" width="18.88671875" hidden="1" customWidth="1"/>
    <col min="10" max="10" width="37.6640625" hidden="1" customWidth="1"/>
    <col min="11" max="21" width="6.77734375" customWidth="1"/>
    <col min="22" max="23" width="50.109375" customWidth="1"/>
  </cols>
  <sheetData>
    <row r="1" spans="1:23" ht="26.4" x14ac:dyDescent="0.25">
      <c r="A1" s="1" t="s">
        <v>0</v>
      </c>
      <c r="B1" s="2" t="b">
        <v>0</v>
      </c>
      <c r="C1" s="3" t="s">
        <v>1</v>
      </c>
      <c r="D1" s="4" t="s">
        <v>2</v>
      </c>
      <c r="E1" s="2" t="s">
        <v>3</v>
      </c>
      <c r="F1" s="5" t="s">
        <v>4</v>
      </c>
      <c r="G1" s="35" t="s">
        <v>5</v>
      </c>
      <c r="H1" s="2" t="s">
        <v>6</v>
      </c>
      <c r="I1" s="6" t="s">
        <v>7</v>
      </c>
      <c r="J1" s="6" t="s">
        <v>8</v>
      </c>
      <c r="K1" s="7" t="s">
        <v>9</v>
      </c>
      <c r="L1" s="8" t="s">
        <v>10</v>
      </c>
      <c r="M1" s="8" t="s">
        <v>11</v>
      </c>
      <c r="N1" s="8" t="s">
        <v>12</v>
      </c>
      <c r="O1" s="8" t="s">
        <v>13</v>
      </c>
      <c r="P1" s="9" t="s">
        <v>14</v>
      </c>
      <c r="Q1" s="8" t="s">
        <v>15</v>
      </c>
      <c r="R1" s="8" t="s">
        <v>16</v>
      </c>
      <c r="S1" s="8" t="s">
        <v>17</v>
      </c>
      <c r="T1" s="7" t="s">
        <v>18</v>
      </c>
      <c r="U1" s="10" t="s">
        <v>19</v>
      </c>
      <c r="V1" s="6" t="s">
        <v>8</v>
      </c>
      <c r="W1" s="6" t="s">
        <v>20</v>
      </c>
    </row>
    <row r="2" spans="1:23" ht="45.6" customHeight="1" x14ac:dyDescent="0.25">
      <c r="A2" s="11">
        <v>1</v>
      </c>
      <c r="B2" s="12" t="b">
        <v>1</v>
      </c>
      <c r="C2" s="12" t="s">
        <v>247</v>
      </c>
      <c r="D2" s="13" t="str">
        <f ca="1">IFERROR(__xludf.DUMMYFUNCTION("IF(NOT(ISBLANK(G2)), REGEXEXTRACT(G2, ""\)\. (.*?)\.""), """")"),"40 years of designing code comprehension experiments: A systematic mapping study")</f>
        <v>40 years of designing code comprehension experiments: A systematic mapping study</v>
      </c>
      <c r="E2" s="12" t="str">
        <f t="shared" ref="E2:E137" si="0">IF(NOT(ISBLANK(G2)), LEFT(G2, FIND(", ", G2)-1), "")</f>
        <v>Wyrich</v>
      </c>
      <c r="F2" s="14" t="str">
        <f ca="1">IFERROR(__xludf.DUMMYFUNCTION("IF(NOT(ISBLANK(G2)), REGEXEXTRACT(G2, ""\((\d{4})""), """")"),"2023")</f>
        <v>2023</v>
      </c>
      <c r="G2" s="36" t="s">
        <v>21</v>
      </c>
      <c r="H2" s="15">
        <v>8</v>
      </c>
      <c r="I2" s="13" t="s">
        <v>22</v>
      </c>
      <c r="J2" s="13"/>
      <c r="K2" s="16" t="b">
        <v>1</v>
      </c>
      <c r="L2" s="13" t="b">
        <v>0</v>
      </c>
      <c r="M2" s="13" t="b">
        <v>0</v>
      </c>
      <c r="N2" s="13" t="b">
        <v>0</v>
      </c>
      <c r="O2" s="13" t="b">
        <v>0</v>
      </c>
      <c r="P2" s="17" t="b">
        <v>0</v>
      </c>
      <c r="Q2" s="13" t="b">
        <v>0</v>
      </c>
      <c r="R2" s="13" t="b">
        <v>0</v>
      </c>
      <c r="S2" s="13" t="b">
        <v>0</v>
      </c>
      <c r="T2" s="18" t="b">
        <f t="shared" ref="T2:T137" si="1">IF(AND(B2,K2,L2,M2,N2,O2,NOT(P2),NOT(Q2),NOT(R2),NOT(S2)), TRUE, FALSE)</f>
        <v>0</v>
      </c>
      <c r="U2" s="19" t="b">
        <v>0</v>
      </c>
      <c r="V2" s="13"/>
      <c r="W2" s="13"/>
    </row>
    <row r="3" spans="1:23" ht="52.8" x14ac:dyDescent="0.25">
      <c r="A3" s="11">
        <v>2</v>
      </c>
      <c r="B3" s="12" t="b">
        <v>1</v>
      </c>
      <c r="C3" s="12" t="s">
        <v>247</v>
      </c>
      <c r="D3" s="13" t="str">
        <f ca="1">IFERROR(__xludf.DUMMYFUNCTION("IF(NOT(ISBLANK(G3)), REGEXEXTRACT(G3, ""\)\. (.*?)\.""), """")"),"Meta-analysis for families of experiments in software engineering: a systematic review and reproducibility and validity assessment")</f>
        <v>Meta-analysis for families of experiments in software engineering: a systematic review and reproducibility and validity assessment</v>
      </c>
      <c r="E3" s="12" t="str">
        <f t="shared" si="0"/>
        <v>Kitchenham</v>
      </c>
      <c r="F3" s="14" t="str">
        <f ca="1">IFERROR(__xludf.DUMMYFUNCTION("IF(NOT(ISBLANK(G3)), REGEXEXTRACT(G3, ""\((\d{4})""), """")"),"2020")</f>
        <v>2020</v>
      </c>
      <c r="G3" s="36" t="s">
        <v>23</v>
      </c>
      <c r="H3" s="15">
        <v>30</v>
      </c>
      <c r="I3" s="13" t="s">
        <v>22</v>
      </c>
      <c r="J3" s="13"/>
      <c r="K3" s="16" t="b">
        <v>1</v>
      </c>
      <c r="L3" s="13" t="b">
        <v>0</v>
      </c>
      <c r="M3" s="13" t="b">
        <v>0</v>
      </c>
      <c r="N3" s="13" t="b">
        <v>0</v>
      </c>
      <c r="O3" s="13" t="b">
        <v>0</v>
      </c>
      <c r="P3" s="17" t="b">
        <v>0</v>
      </c>
      <c r="Q3" s="13" t="b">
        <v>0</v>
      </c>
      <c r="R3" s="13" t="b">
        <v>0</v>
      </c>
      <c r="S3" s="13" t="b">
        <v>0</v>
      </c>
      <c r="T3" s="18" t="b">
        <f t="shared" si="1"/>
        <v>0</v>
      </c>
      <c r="U3" s="19" t="b">
        <v>0</v>
      </c>
      <c r="V3" s="13"/>
      <c r="W3" s="13"/>
    </row>
    <row r="4" spans="1:23" ht="52.8" x14ac:dyDescent="0.25">
      <c r="A4" s="11">
        <v>3</v>
      </c>
      <c r="B4" s="12" t="b">
        <v>1</v>
      </c>
      <c r="C4" s="12" t="s">
        <v>247</v>
      </c>
      <c r="D4" s="13" t="str">
        <f ca="1">IFERROR(__xludf.DUMMYFUNCTION("IF(NOT(ISBLANK(G4)), REGEXEXTRACT(G4, ""\)\. (.*?)\.""), """")"),"Analyzing anchoring bias in attribute weight elicitation of SMART, Swing, and best‐worst method")</f>
        <v>Analyzing anchoring bias in attribute weight elicitation of SMART, Swing, and best‐worst method</v>
      </c>
      <c r="E4" s="12" t="str">
        <f t="shared" si="0"/>
        <v>Rezaei</v>
      </c>
      <c r="F4" s="14" t="str">
        <f ca="1">IFERROR(__xludf.DUMMYFUNCTION("IF(NOT(ISBLANK(G4)), REGEXEXTRACT(G4, ""\((\d{4})""), """")"),"2024")</f>
        <v>2024</v>
      </c>
      <c r="G4" s="36" t="s">
        <v>24</v>
      </c>
      <c r="H4" s="15">
        <v>12</v>
      </c>
      <c r="I4" s="13" t="s">
        <v>25</v>
      </c>
      <c r="J4" s="13" t="s">
        <v>26</v>
      </c>
      <c r="K4" s="16" t="b">
        <v>0</v>
      </c>
      <c r="L4" s="13" t="b">
        <v>0</v>
      </c>
      <c r="M4" s="13" t="b">
        <v>0</v>
      </c>
      <c r="N4" s="13" t="b">
        <v>0</v>
      </c>
      <c r="O4" s="13" t="b">
        <v>0</v>
      </c>
      <c r="P4" s="17" t="b">
        <v>0</v>
      </c>
      <c r="Q4" s="13" t="b">
        <v>0</v>
      </c>
      <c r="R4" s="13" t="b">
        <v>0</v>
      </c>
      <c r="S4" s="13" t="b">
        <v>0</v>
      </c>
      <c r="T4" s="18" t="b">
        <f t="shared" si="1"/>
        <v>0</v>
      </c>
      <c r="U4" s="19" t="b">
        <v>0</v>
      </c>
      <c r="V4" s="13"/>
      <c r="W4" s="13"/>
    </row>
    <row r="5" spans="1:23" ht="39.6" x14ac:dyDescent="0.25">
      <c r="A5" s="11">
        <v>4</v>
      </c>
      <c r="B5" s="12" t="b">
        <v>1</v>
      </c>
      <c r="C5" s="12" t="s">
        <v>248</v>
      </c>
      <c r="D5" s="13" t="str">
        <f ca="1">IFERROR(__xludf.DUMMYFUNCTION("IF(NOT(ISBLANK(G5)), REGEXEXTRACT(G5, ""\)\. (.*?)\.""), """")"),"On the effectiveness of tools to support infrastructure as code: Model-driven versus code-centric")</f>
        <v>On the effectiveness of tools to support infrastructure as code: Model-driven versus code-centric</v>
      </c>
      <c r="E5" s="12" t="str">
        <f t="shared" si="0"/>
        <v>Sandobalin</v>
      </c>
      <c r="F5" s="14" t="str">
        <f ca="1">IFERROR(__xludf.DUMMYFUNCTION("IF(NOT(ISBLANK(G5)), REGEXEXTRACT(G5, ""\((\d{4})""), """")"),"2020")</f>
        <v>2020</v>
      </c>
      <c r="G5" s="36" t="s">
        <v>27</v>
      </c>
      <c r="H5" s="15">
        <v>38</v>
      </c>
      <c r="I5" s="13" t="s">
        <v>25</v>
      </c>
      <c r="J5" s="13" t="s">
        <v>28</v>
      </c>
      <c r="K5" s="16" t="b">
        <v>1</v>
      </c>
      <c r="L5" s="13" t="b">
        <v>1</v>
      </c>
      <c r="M5" s="13" t="b">
        <v>1</v>
      </c>
      <c r="N5" s="13" t="b">
        <v>1</v>
      </c>
      <c r="O5" s="13" t="b">
        <v>1</v>
      </c>
      <c r="P5" s="17" t="b">
        <v>0</v>
      </c>
      <c r="Q5" s="13" t="b">
        <v>0</v>
      </c>
      <c r="R5" s="13" t="b">
        <v>0</v>
      </c>
      <c r="S5" s="13" t="b">
        <v>0</v>
      </c>
      <c r="T5" s="18" t="b">
        <f t="shared" si="1"/>
        <v>1</v>
      </c>
      <c r="U5" s="19" t="b">
        <v>0</v>
      </c>
      <c r="V5" s="13"/>
      <c r="W5" s="13"/>
    </row>
    <row r="6" spans="1:23" ht="52.8" x14ac:dyDescent="0.25">
      <c r="A6" s="11">
        <v>5</v>
      </c>
      <c r="B6" s="12" t="b">
        <v>1</v>
      </c>
      <c r="C6" s="12" t="s">
        <v>247</v>
      </c>
      <c r="D6" s="13" t="str">
        <f ca="1">IFERROR(__xludf.DUMMYFUNCTION("IF(NOT(ISBLANK(G6)), REGEXEXTRACT(G6, ""\)\. (.*?)\.""), """")"),"Constraint-aware dynamic truth discovery in big data social media sensing")</f>
        <v>Constraint-aware dynamic truth discovery in big data social media sensing</v>
      </c>
      <c r="E6" s="12" t="str">
        <f t="shared" si="0"/>
        <v>Zhang</v>
      </c>
      <c r="F6" s="14" t="str">
        <f ca="1">IFERROR(__xludf.DUMMYFUNCTION("IF(NOT(ISBLANK(G6)), REGEXEXTRACT(G6, ""\((\d{4})""), """")"),"2017")</f>
        <v>2017</v>
      </c>
      <c r="G6" s="36" t="s">
        <v>29</v>
      </c>
      <c r="H6" s="15">
        <v>48</v>
      </c>
      <c r="I6" s="13" t="s">
        <v>25</v>
      </c>
      <c r="J6" s="13" t="s">
        <v>30</v>
      </c>
      <c r="K6" s="16" t="b">
        <v>0</v>
      </c>
      <c r="L6" s="13" t="b">
        <v>0</v>
      </c>
      <c r="M6" s="13" t="b">
        <v>0</v>
      </c>
      <c r="N6" s="13" t="b">
        <v>0</v>
      </c>
      <c r="O6" s="13" t="b">
        <v>0</v>
      </c>
      <c r="P6" s="17" t="b">
        <v>0</v>
      </c>
      <c r="Q6" s="13" t="b">
        <v>0</v>
      </c>
      <c r="R6" s="13" t="b">
        <v>0</v>
      </c>
      <c r="S6" s="13" t="b">
        <v>0</v>
      </c>
      <c r="T6" s="18" t="b">
        <f t="shared" si="1"/>
        <v>0</v>
      </c>
      <c r="U6" s="19" t="b">
        <v>0</v>
      </c>
      <c r="V6" s="13"/>
      <c r="W6" s="13"/>
    </row>
    <row r="7" spans="1:23" ht="52.8" x14ac:dyDescent="0.25">
      <c r="A7" s="11">
        <v>6</v>
      </c>
      <c r="B7" s="12" t="b">
        <v>1</v>
      </c>
      <c r="C7" s="12" t="s">
        <v>248</v>
      </c>
      <c r="D7" s="13" t="str">
        <f ca="1">IFERROR(__xludf.DUMMYFUNCTION("IF(NOT(ISBLANK(G7)), REGEXEXTRACT(G7, ""\)\. (.*?)\.""), """")"),"Impact of the conceptual model's representation format on identifying and understanding user stories")</f>
        <v>Impact of the conceptual model's representation format on identifying and understanding user stories</v>
      </c>
      <c r="E7" s="12" t="str">
        <f t="shared" si="0"/>
        <v>Trkman</v>
      </c>
      <c r="F7" s="14" t="str">
        <f ca="1">IFERROR(__xludf.DUMMYFUNCTION("IF(NOT(ISBLANK(G7)), REGEXEXTRACT(G7, ""\((\d{4})""), """")"),"2019")</f>
        <v>2019</v>
      </c>
      <c r="G7" s="36" t="s">
        <v>31</v>
      </c>
      <c r="H7" s="15">
        <v>26</v>
      </c>
      <c r="I7" s="13" t="s">
        <v>25</v>
      </c>
      <c r="J7" s="13" t="s">
        <v>32</v>
      </c>
      <c r="K7" s="16" t="b">
        <v>1</v>
      </c>
      <c r="L7" s="13" t="b">
        <v>1</v>
      </c>
      <c r="M7" s="13" t="b">
        <v>1</v>
      </c>
      <c r="N7" s="13" t="b">
        <v>1</v>
      </c>
      <c r="O7" s="13" t="b">
        <v>1</v>
      </c>
      <c r="P7" s="17" t="b">
        <v>0</v>
      </c>
      <c r="Q7" s="13" t="b">
        <v>0</v>
      </c>
      <c r="R7" s="13" t="b">
        <v>0</v>
      </c>
      <c r="S7" s="13" t="b">
        <v>0</v>
      </c>
      <c r="T7" s="18" t="b">
        <f t="shared" si="1"/>
        <v>1</v>
      </c>
      <c r="U7" s="19" t="b">
        <v>0</v>
      </c>
      <c r="V7" s="13"/>
      <c r="W7" s="13"/>
    </row>
    <row r="8" spans="1:23" ht="52.8" x14ac:dyDescent="0.25">
      <c r="A8" s="11">
        <v>7</v>
      </c>
      <c r="B8" s="12" t="b">
        <v>1</v>
      </c>
      <c r="C8" s="12" t="s">
        <v>247</v>
      </c>
      <c r="D8" s="13" t="str">
        <f ca="1">IFERROR(__xludf.DUMMYFUNCTION("IF(NOT(ISBLANK(G8)), REGEXEXTRACT(G8, ""\)\. (.*?)\.""), """")"),"Believe in Artificial Intelligence? A User Study on the ChatGPT’s Fake Information Impact")</f>
        <v>Believe in Artificial Intelligence? A User Study on the ChatGPT’s Fake Information Impact</v>
      </c>
      <c r="E8" s="12" t="str">
        <f t="shared" si="0"/>
        <v>Amaro</v>
      </c>
      <c r="F8" s="14" t="str">
        <f ca="1">IFERROR(__xludf.DUMMYFUNCTION("IF(NOT(ISBLANK(G8)), REGEXEXTRACT(G8, ""\((\d{4})""), """")"),"2023")</f>
        <v>2023</v>
      </c>
      <c r="G8" s="36" t="s">
        <v>33</v>
      </c>
      <c r="H8" s="15">
        <v>4</v>
      </c>
      <c r="I8" s="13" t="s">
        <v>25</v>
      </c>
      <c r="J8" s="13" t="s">
        <v>32</v>
      </c>
      <c r="K8" s="16" t="b">
        <v>1</v>
      </c>
      <c r="L8" s="13" t="b">
        <v>1</v>
      </c>
      <c r="M8" s="13" t="b">
        <v>1</v>
      </c>
      <c r="N8" s="13" t="b">
        <v>1</v>
      </c>
      <c r="O8" s="13" t="b">
        <v>1</v>
      </c>
      <c r="P8" s="17" t="b">
        <v>0</v>
      </c>
      <c r="Q8" s="13" t="b">
        <v>0</v>
      </c>
      <c r="R8" s="13" t="b">
        <v>0</v>
      </c>
      <c r="S8" s="13" t="b">
        <v>0</v>
      </c>
      <c r="T8" s="18" t="b">
        <f t="shared" si="1"/>
        <v>1</v>
      </c>
      <c r="U8" s="19" t="b">
        <v>0</v>
      </c>
      <c r="V8" s="13"/>
      <c r="W8" s="13"/>
    </row>
    <row r="9" spans="1:23" ht="52.8" x14ac:dyDescent="0.25">
      <c r="A9" s="11">
        <v>8</v>
      </c>
      <c r="B9" s="12" t="b">
        <v>1</v>
      </c>
      <c r="C9" s="12" t="s">
        <v>248</v>
      </c>
      <c r="D9" s="13" t="str">
        <f ca="1">IFERROR(__xludf.DUMMYFUNCTION("IF(NOT(ISBLANK(G9)), REGEXEXTRACT(G9, ""\)\. (.*?)\.""), """")"),"The effect of risk representation using colors and symbols in business process models on operational risk management performance")</f>
        <v>The effect of risk representation using colors and symbols in business process models on operational risk management performance</v>
      </c>
      <c r="E9" s="12" t="str">
        <f t="shared" si="0"/>
        <v>Kummer</v>
      </c>
      <c r="F9" s="14" t="str">
        <f ca="1">IFERROR(__xludf.DUMMYFUNCTION("IF(NOT(ISBLANK(G9)), REGEXEXTRACT(G9, ""\((\d{4})""), """")"),"2021")</f>
        <v>2021</v>
      </c>
      <c r="G9" s="36" t="s">
        <v>34</v>
      </c>
      <c r="H9" s="15">
        <v>13</v>
      </c>
      <c r="I9" s="13" t="s">
        <v>25</v>
      </c>
      <c r="J9" s="13" t="s">
        <v>28</v>
      </c>
      <c r="K9" s="16" t="b">
        <v>0</v>
      </c>
      <c r="L9" s="13" t="b">
        <v>1</v>
      </c>
      <c r="M9" s="13" t="b">
        <v>1</v>
      </c>
      <c r="N9" s="13" t="b">
        <v>1</v>
      </c>
      <c r="O9" s="13" t="b">
        <v>1</v>
      </c>
      <c r="P9" s="17" t="b">
        <v>0</v>
      </c>
      <c r="Q9" s="13" t="b">
        <v>0</v>
      </c>
      <c r="R9" s="13" t="b">
        <v>0</v>
      </c>
      <c r="S9" s="13" t="b">
        <v>0</v>
      </c>
      <c r="T9" s="18" t="b">
        <f t="shared" si="1"/>
        <v>0</v>
      </c>
      <c r="U9" s="19" t="b">
        <v>0</v>
      </c>
      <c r="V9" s="13"/>
      <c r="W9" s="13"/>
    </row>
    <row r="10" spans="1:23" ht="92.4" x14ac:dyDescent="0.25">
      <c r="A10" s="11">
        <v>9</v>
      </c>
      <c r="B10" s="12" t="b">
        <v>1</v>
      </c>
      <c r="C10" s="12" t="s">
        <v>247</v>
      </c>
      <c r="D10" s="13" t="str">
        <f ca="1">IFERROR(__xludf.DUMMYFUNCTION("IF(NOT(ISBLANK(G10)), REGEXEXTRACT(G10, ""\)\. (.*?)\.""), """")"),"Do RESTful API design rules have an impact on the understandability of Web APIs?")</f>
        <v>Do RESTful API design rules have an impact on the understandability of Web APIs?</v>
      </c>
      <c r="E10" s="12" t="str">
        <f t="shared" si="0"/>
        <v>Bogner</v>
      </c>
      <c r="F10" s="14" t="str">
        <f ca="1">IFERROR(__xludf.DUMMYFUNCTION("IF(NOT(ISBLANK(G10)), REGEXEXTRACT(G10, ""\((\d{4})""), """")"),"2023")</f>
        <v>2023</v>
      </c>
      <c r="G10" s="36" t="s">
        <v>35</v>
      </c>
      <c r="H10" s="15">
        <v>2</v>
      </c>
      <c r="I10" s="13" t="s">
        <v>25</v>
      </c>
      <c r="J10" s="13" t="s">
        <v>32</v>
      </c>
      <c r="K10" s="16" t="b">
        <v>1</v>
      </c>
      <c r="L10" s="13" t="b">
        <v>1</v>
      </c>
      <c r="M10" s="13" t="b">
        <v>1</v>
      </c>
      <c r="N10" s="13" t="b">
        <v>1</v>
      </c>
      <c r="O10" s="13" t="b">
        <v>1</v>
      </c>
      <c r="P10" s="17" t="b">
        <v>0</v>
      </c>
      <c r="Q10" s="13" t="b">
        <v>0</v>
      </c>
      <c r="R10" s="13" t="b">
        <v>0</v>
      </c>
      <c r="S10" s="13" t="b">
        <v>0</v>
      </c>
      <c r="T10" s="18" t="b">
        <f t="shared" si="1"/>
        <v>1</v>
      </c>
      <c r="U10" s="19" t="b">
        <v>1</v>
      </c>
      <c r="V10" s="13" t="s">
        <v>36</v>
      </c>
      <c r="W10" s="13" t="s">
        <v>37</v>
      </c>
    </row>
    <row r="11" spans="1:23" ht="66" x14ac:dyDescent="0.25">
      <c r="A11" s="11">
        <v>10</v>
      </c>
      <c r="B11" s="12" t="b">
        <v>1</v>
      </c>
      <c r="C11" s="12" t="s">
        <v>248</v>
      </c>
      <c r="D11" s="13" t="str">
        <f ca="1">IFERROR(__xludf.DUMMYFUNCTION("IF(NOT(ISBLANK(G11)), REGEXEXTRACT(G11, ""\)\. (.*?)\.""), """")"),"A large scale empirical study of the impact of spaghetti code and blob anti-patterns on program comprehension")</f>
        <v>A large scale empirical study of the impact of spaghetti code and blob anti-patterns on program comprehension</v>
      </c>
      <c r="E11" s="12" t="str">
        <f t="shared" si="0"/>
        <v>Politowski</v>
      </c>
      <c r="F11" s="14" t="str">
        <f ca="1">IFERROR(__xludf.DUMMYFUNCTION("IF(NOT(ISBLANK(G11)), REGEXEXTRACT(G11, ""\((\d{4})""), """")"),"2020")</f>
        <v>2020</v>
      </c>
      <c r="G11" s="36" t="s">
        <v>38</v>
      </c>
      <c r="H11" s="15">
        <v>21</v>
      </c>
      <c r="I11" s="13" t="s">
        <v>25</v>
      </c>
      <c r="J11" s="13"/>
      <c r="K11" s="16" t="b">
        <v>1</v>
      </c>
      <c r="L11" s="13" t="b">
        <v>1</v>
      </c>
      <c r="M11" s="13" t="b">
        <v>1</v>
      </c>
      <c r="N11" s="13" t="b">
        <v>1</v>
      </c>
      <c r="O11" s="13" t="b">
        <v>1</v>
      </c>
      <c r="P11" s="17" t="b">
        <v>0</v>
      </c>
      <c r="Q11" s="13" t="b">
        <v>0</v>
      </c>
      <c r="R11" s="13" t="b">
        <v>0</v>
      </c>
      <c r="S11" s="13" t="b">
        <v>0</v>
      </c>
      <c r="T11" s="18" t="b">
        <f t="shared" si="1"/>
        <v>1</v>
      </c>
      <c r="U11" s="19" t="b">
        <v>0</v>
      </c>
      <c r="V11" s="13"/>
      <c r="W11" s="13"/>
    </row>
    <row r="12" spans="1:23" ht="52.8" x14ac:dyDescent="0.25">
      <c r="A12" s="11">
        <v>11</v>
      </c>
      <c r="B12" s="12" t="b">
        <v>1</v>
      </c>
      <c r="C12" s="12" t="s">
        <v>247</v>
      </c>
      <c r="D12" s="13" t="str">
        <f ca="1">IFERROR(__xludf.DUMMYFUNCTION("IF(NOT(ISBLANK(G12)), REGEXEXTRACT(G12, ""\)\. (.*?)\.""), """")"),"An empirical evaluation of the use of models to improve the understanding of safety compliance needs")</f>
        <v>An empirical evaluation of the use of models to improve the understanding of safety compliance needs</v>
      </c>
      <c r="E12" s="12" t="str">
        <f t="shared" si="0"/>
        <v>de la Vara</v>
      </c>
      <c r="F12" s="14" t="str">
        <f ca="1">IFERROR(__xludf.DUMMYFUNCTION("IF(NOT(ISBLANK(G12)), REGEXEXTRACT(G12, ""\((\d{4})""), """")"),"2020")</f>
        <v>2020</v>
      </c>
      <c r="G12" s="36" t="s">
        <v>39</v>
      </c>
      <c r="H12" s="15">
        <v>18</v>
      </c>
      <c r="I12" s="13" t="s">
        <v>25</v>
      </c>
      <c r="J12" s="13" t="s">
        <v>32</v>
      </c>
      <c r="K12" s="16" t="b">
        <v>1</v>
      </c>
      <c r="L12" s="13" t="b">
        <v>1</v>
      </c>
      <c r="M12" s="13" t="b">
        <v>1</v>
      </c>
      <c r="N12" s="13" t="b">
        <v>1</v>
      </c>
      <c r="O12" s="13" t="b">
        <v>1</v>
      </c>
      <c r="P12" s="17" t="b">
        <v>0</v>
      </c>
      <c r="Q12" s="13" t="b">
        <v>0</v>
      </c>
      <c r="R12" s="13" t="b">
        <v>0</v>
      </c>
      <c r="S12" s="13" t="b">
        <v>0</v>
      </c>
      <c r="T12" s="18" t="b">
        <f t="shared" si="1"/>
        <v>1</v>
      </c>
      <c r="U12" s="19" t="b">
        <v>0</v>
      </c>
      <c r="V12" s="13"/>
      <c r="W12" s="13"/>
    </row>
    <row r="13" spans="1:23" ht="39.6" x14ac:dyDescent="0.25">
      <c r="A13" s="11">
        <v>12</v>
      </c>
      <c r="B13" s="12" t="b">
        <v>1</v>
      </c>
      <c r="C13" s="12" t="s">
        <v>247</v>
      </c>
      <c r="D13" s="13" t="str">
        <f ca="1">IFERROR(__xludf.DUMMYFUNCTION("IF(NOT(ISBLANK(G13)), REGEXEXTRACT(G13, ""\)\. (.*?)\.""), """")"),"ACM SIGSOFT empirical standards")</f>
        <v>ACM SIGSOFT empirical standards</v>
      </c>
      <c r="E13" s="12" t="str">
        <f t="shared" si="0"/>
        <v>Ralph</v>
      </c>
      <c r="F13" s="14" t="str">
        <f ca="1">IFERROR(__xludf.DUMMYFUNCTION("IF(NOT(ISBLANK(G13)), REGEXEXTRACT(G13, ""\((\d{4})""), """")"),"2020")</f>
        <v>2020</v>
      </c>
      <c r="G13" s="36" t="s">
        <v>40</v>
      </c>
      <c r="H13" s="15">
        <v>37</v>
      </c>
      <c r="I13" s="13" t="s">
        <v>41</v>
      </c>
      <c r="J13" s="13"/>
      <c r="K13" s="16" t="b">
        <v>1</v>
      </c>
      <c r="L13" s="13" t="b">
        <v>0</v>
      </c>
      <c r="M13" s="13" t="b">
        <v>0</v>
      </c>
      <c r="N13" s="13" t="b">
        <v>0</v>
      </c>
      <c r="O13" s="13" t="b">
        <v>0</v>
      </c>
      <c r="P13" s="17" t="b">
        <v>0</v>
      </c>
      <c r="Q13" s="13" t="b">
        <v>0</v>
      </c>
      <c r="R13" s="13" t="b">
        <v>0</v>
      </c>
      <c r="S13" s="13" t="b">
        <v>0</v>
      </c>
      <c r="T13" s="18" t="b">
        <f t="shared" si="1"/>
        <v>0</v>
      </c>
      <c r="U13" s="19" t="b">
        <v>0</v>
      </c>
      <c r="V13" s="13"/>
      <c r="W13" s="13"/>
    </row>
    <row r="14" spans="1:23" ht="52.8" x14ac:dyDescent="0.25">
      <c r="A14" s="11">
        <v>13</v>
      </c>
      <c r="B14" s="12" t="b">
        <v>1</v>
      </c>
      <c r="C14" s="12" t="s">
        <v>248</v>
      </c>
      <c r="D14" s="13" t="str">
        <f ca="1">IFERROR(__xludf.DUMMYFUNCTION("IF(NOT(ISBLANK(G14)), REGEXEXTRACT(G14, ""\)\. (.*?)\.""), """")"),"Would wider adoption of reproducible research be beneficial for empirical software engineering research?")</f>
        <v>Would wider adoption of reproducible research be beneficial for empirical software engineering research?</v>
      </c>
      <c r="E14" s="12" t="str">
        <f t="shared" si="0"/>
        <v>Madeyski</v>
      </c>
      <c r="F14" s="14" t="str">
        <f ca="1">IFERROR(__xludf.DUMMYFUNCTION("IF(NOT(ISBLANK(G14)), REGEXEXTRACT(G14, ""\((\d{4})""), """")"),"2017")</f>
        <v>2017</v>
      </c>
      <c r="G14" s="36" t="s">
        <v>42</v>
      </c>
      <c r="H14" s="15">
        <v>45</v>
      </c>
      <c r="I14" s="13" t="s">
        <v>41</v>
      </c>
      <c r="J14" s="13"/>
      <c r="K14" s="16" t="b">
        <v>1</v>
      </c>
      <c r="L14" s="13" t="b">
        <v>0</v>
      </c>
      <c r="M14" s="13" t="b">
        <v>0</v>
      </c>
      <c r="N14" s="13" t="b">
        <v>0</v>
      </c>
      <c r="O14" s="13" t="b">
        <v>0</v>
      </c>
      <c r="P14" s="17" t="b">
        <v>0</v>
      </c>
      <c r="Q14" s="13" t="b">
        <v>0</v>
      </c>
      <c r="R14" s="13" t="b">
        <v>0</v>
      </c>
      <c r="S14" s="13" t="b">
        <v>0</v>
      </c>
      <c r="T14" s="18" t="b">
        <f t="shared" si="1"/>
        <v>0</v>
      </c>
      <c r="U14" s="19" t="b">
        <v>0</v>
      </c>
      <c r="V14" s="13"/>
      <c r="W14" s="13"/>
    </row>
    <row r="15" spans="1:23" ht="79.2" x14ac:dyDescent="0.25">
      <c r="A15" s="11">
        <v>14</v>
      </c>
      <c r="B15" s="12" t="b">
        <v>1</v>
      </c>
      <c r="C15" s="12" t="s">
        <v>248</v>
      </c>
      <c r="D15" s="13" t="str">
        <f ca="1">IFERROR(__xludf.DUMMYFUNCTION("IF(NOT(ISBLANK(G15)), REGEXEXTRACT(G15, ""\)\. (.*?)\.""), """")"),"An external replication on the effects of test-driven development using a multi-site blind analysis approach")</f>
        <v>An external replication on the effects of test-driven development using a multi-site blind analysis approach</v>
      </c>
      <c r="E15" s="12" t="str">
        <f t="shared" si="0"/>
        <v>Fucci</v>
      </c>
      <c r="F15" s="14" t="str">
        <f ca="1">IFERROR(__xludf.DUMMYFUNCTION("IF(NOT(ISBLANK(G15)), REGEXEXTRACT(G15, ""\((\d{4})""), """")"),"2016")</f>
        <v>2016</v>
      </c>
      <c r="G15" s="36" t="s">
        <v>43</v>
      </c>
      <c r="H15" s="15">
        <v>43</v>
      </c>
      <c r="I15" s="13" t="s">
        <v>25</v>
      </c>
      <c r="J15" s="13" t="s">
        <v>44</v>
      </c>
      <c r="K15" s="16" t="b">
        <v>1</v>
      </c>
      <c r="L15" s="13" t="b">
        <v>1</v>
      </c>
      <c r="M15" s="13" t="b">
        <v>1</v>
      </c>
      <c r="N15" s="13" t="b">
        <v>1</v>
      </c>
      <c r="O15" s="13" t="b">
        <v>1</v>
      </c>
      <c r="P15" s="17" t="b">
        <v>0</v>
      </c>
      <c r="Q15" s="13" t="b">
        <v>0</v>
      </c>
      <c r="R15" s="13" t="b">
        <v>0</v>
      </c>
      <c r="S15" s="13" t="b">
        <v>0</v>
      </c>
      <c r="T15" s="18" t="b">
        <f t="shared" si="1"/>
        <v>1</v>
      </c>
      <c r="U15" s="19" t="b">
        <v>0</v>
      </c>
      <c r="V15" s="13"/>
      <c r="W15" s="13"/>
    </row>
    <row r="16" spans="1:23" ht="39.6" x14ac:dyDescent="0.25">
      <c r="A16" s="11">
        <v>15</v>
      </c>
      <c r="B16" s="12" t="b">
        <v>1</v>
      </c>
      <c r="C16" s="12" t="s">
        <v>248</v>
      </c>
      <c r="D16" s="13" t="str">
        <f ca="1">IFERROR(__xludf.DUMMYFUNCTION("IF(NOT(ISBLANK(G16)), REGEXEXTRACT(G16, ""\)\. (.*?)\.""), """")"),"A multi-study investigation into dead code")</f>
        <v>A multi-study investigation into dead code</v>
      </c>
      <c r="E16" s="12" t="str">
        <f t="shared" si="0"/>
        <v>Romano</v>
      </c>
      <c r="F16" s="14" t="str">
        <f ca="1">IFERROR(__xludf.DUMMYFUNCTION("IF(NOT(ISBLANK(G16)), REGEXEXTRACT(G16, ""\((\d{4})""), """")"),"2018")</f>
        <v>2018</v>
      </c>
      <c r="G16" s="36" t="s">
        <v>45</v>
      </c>
      <c r="H16" s="15">
        <v>33</v>
      </c>
      <c r="I16" s="13" t="s">
        <v>25</v>
      </c>
      <c r="J16" s="13" t="s">
        <v>46</v>
      </c>
      <c r="K16" s="16" t="b">
        <v>1</v>
      </c>
      <c r="L16" s="13" t="b">
        <v>1</v>
      </c>
      <c r="M16" s="13" t="b">
        <v>1</v>
      </c>
      <c r="N16" s="13" t="b">
        <v>0</v>
      </c>
      <c r="O16" s="13" t="b">
        <v>1</v>
      </c>
      <c r="P16" s="17" t="b">
        <v>0</v>
      </c>
      <c r="Q16" s="13" t="b">
        <v>0</v>
      </c>
      <c r="R16" s="13" t="b">
        <v>0</v>
      </c>
      <c r="S16" s="13" t="b">
        <v>0</v>
      </c>
      <c r="T16" s="18" t="b">
        <f t="shared" si="1"/>
        <v>0</v>
      </c>
      <c r="U16" s="19" t="b">
        <v>0</v>
      </c>
      <c r="V16" s="13"/>
      <c r="W16" s="13"/>
    </row>
    <row r="17" spans="1:23" ht="52.8" x14ac:dyDescent="0.25">
      <c r="A17" s="11">
        <v>16</v>
      </c>
      <c r="B17" s="12" t="b">
        <v>1</v>
      </c>
      <c r="C17" s="12" t="s">
        <v>247</v>
      </c>
      <c r="D17" s="13" t="str">
        <f ca="1">IFERROR(__xludf.DUMMYFUNCTION("IF(NOT(ISBLANK(G17)), REGEXEXTRACT(G17, ""\)\. (.*?)\.""), """")"),"Effect sizes and their variance for AB/BA crossover design studies")</f>
        <v>Effect sizes and their variance for AB/BA crossover design studies</v>
      </c>
      <c r="E17" s="12" t="str">
        <f t="shared" si="0"/>
        <v>Madeyski</v>
      </c>
      <c r="F17" s="14" t="str">
        <f ca="1">IFERROR(__xludf.DUMMYFUNCTION("IF(NOT(ISBLANK(G17)), REGEXEXTRACT(G17, ""\((\d{4})""), """")"),"2018")</f>
        <v>2018</v>
      </c>
      <c r="G17" s="36" t="s">
        <v>47</v>
      </c>
      <c r="H17" s="15">
        <v>35</v>
      </c>
      <c r="I17" s="13" t="s">
        <v>41</v>
      </c>
      <c r="J17" s="13"/>
      <c r="K17" s="16" t="b">
        <v>1</v>
      </c>
      <c r="L17" s="13" t="b">
        <v>0</v>
      </c>
      <c r="M17" s="13" t="b">
        <v>0</v>
      </c>
      <c r="N17" s="13" t="b">
        <v>0</v>
      </c>
      <c r="O17" s="13" t="b">
        <v>0</v>
      </c>
      <c r="P17" s="17" t="b">
        <v>0</v>
      </c>
      <c r="Q17" s="13" t="b">
        <v>0</v>
      </c>
      <c r="R17" s="13" t="b">
        <v>0</v>
      </c>
      <c r="S17" s="13" t="b">
        <v>0</v>
      </c>
      <c r="T17" s="18" t="b">
        <f t="shared" si="1"/>
        <v>0</v>
      </c>
      <c r="U17" s="19" t="b">
        <v>0</v>
      </c>
      <c r="V17" s="13"/>
      <c r="W17" s="13"/>
    </row>
    <row r="18" spans="1:23" ht="52.8" x14ac:dyDescent="0.25">
      <c r="A18" s="11">
        <v>17</v>
      </c>
      <c r="B18" s="12" t="b">
        <v>1</v>
      </c>
      <c r="C18" s="12" t="s">
        <v>248</v>
      </c>
      <c r="D18" s="13" t="str">
        <f ca="1">IFERROR(__xludf.DUMMYFUNCTION("IF(NOT(ISBLANK(G18)), REGEXEXTRACT(G18, ""\)\. (.*?)\.""), """")"),"Need for sleep: the impact of a night of sleep deprivation on novice developers’ performance")</f>
        <v>Need for sleep: the impact of a night of sleep deprivation on novice developers’ performance</v>
      </c>
      <c r="E18" s="12" t="str">
        <f t="shared" si="0"/>
        <v>Fucci</v>
      </c>
      <c r="F18" s="14" t="str">
        <f ca="1">IFERROR(__xludf.DUMMYFUNCTION("IF(NOT(ISBLANK(G18)), REGEXEXTRACT(G18, ""\((\d{4})""), """")"),"2018")</f>
        <v>2018</v>
      </c>
      <c r="G18" s="36" t="s">
        <v>48</v>
      </c>
      <c r="H18" s="15">
        <v>31</v>
      </c>
      <c r="I18" s="13" t="s">
        <v>25</v>
      </c>
      <c r="J18" s="13" t="s">
        <v>46</v>
      </c>
      <c r="K18" s="16" t="b">
        <v>1</v>
      </c>
      <c r="L18" s="13" t="b">
        <v>1</v>
      </c>
      <c r="M18" s="13" t="b">
        <v>1</v>
      </c>
      <c r="N18" s="13" t="b">
        <v>0</v>
      </c>
      <c r="O18" s="13" t="b">
        <v>1</v>
      </c>
      <c r="P18" s="17" t="b">
        <v>0</v>
      </c>
      <c r="Q18" s="13" t="b">
        <v>0</v>
      </c>
      <c r="R18" s="13" t="b">
        <v>0</v>
      </c>
      <c r="S18" s="13" t="b">
        <v>0</v>
      </c>
      <c r="T18" s="18" t="b">
        <f t="shared" si="1"/>
        <v>0</v>
      </c>
      <c r="U18" s="19" t="b">
        <v>0</v>
      </c>
      <c r="V18" s="13"/>
      <c r="W18" s="13"/>
    </row>
    <row r="19" spans="1:23" ht="66" x14ac:dyDescent="0.25">
      <c r="A19" s="11">
        <v>18</v>
      </c>
      <c r="B19" s="12" t="b">
        <v>1</v>
      </c>
      <c r="C19" s="12" t="s">
        <v>247</v>
      </c>
      <c r="D19" s="13" t="str">
        <f ca="1">IFERROR(__xludf.DUMMYFUNCTION("IF(NOT(ISBLANK(G19)), REGEXEXTRACT(G19, ""\)\. (.*?)\.""), """")"),"Problems with statistical practice in human-centric software engineering experiments")</f>
        <v>Problems with statistical practice in human-centric software engineering experiments</v>
      </c>
      <c r="E19" s="12" t="str">
        <f t="shared" si="0"/>
        <v>Kitchenham</v>
      </c>
      <c r="F19" s="14" t="str">
        <f ca="1">IFERROR(__xludf.DUMMYFUNCTION("IF(NOT(ISBLANK(G19)), REGEXEXTRACT(G19, ""\((\d{4})""), """")"),"2019")</f>
        <v>2019</v>
      </c>
      <c r="G19" s="36" t="s">
        <v>49</v>
      </c>
      <c r="H19" s="15">
        <v>22</v>
      </c>
      <c r="I19" s="13" t="s">
        <v>41</v>
      </c>
      <c r="J19" s="13" t="s">
        <v>50</v>
      </c>
      <c r="K19" s="16" t="b">
        <v>1</v>
      </c>
      <c r="L19" s="13" t="b">
        <v>0</v>
      </c>
      <c r="M19" s="13" t="b">
        <v>0</v>
      </c>
      <c r="N19" s="13" t="b">
        <v>0</v>
      </c>
      <c r="O19" s="13" t="b">
        <v>0</v>
      </c>
      <c r="P19" s="17" t="b">
        <v>0</v>
      </c>
      <c r="Q19" s="13" t="b">
        <v>0</v>
      </c>
      <c r="R19" s="13" t="b">
        <v>0</v>
      </c>
      <c r="S19" s="13" t="b">
        <v>0</v>
      </c>
      <c r="T19" s="18" t="b">
        <f t="shared" si="1"/>
        <v>0</v>
      </c>
      <c r="U19" s="19" t="b">
        <v>0</v>
      </c>
      <c r="V19" s="13"/>
      <c r="W19" s="13"/>
    </row>
    <row r="20" spans="1:23" ht="66" x14ac:dyDescent="0.25">
      <c r="A20" s="11">
        <v>19</v>
      </c>
      <c r="B20" s="12" t="b">
        <v>1</v>
      </c>
      <c r="C20" s="12" t="s">
        <v>248</v>
      </c>
      <c r="D20" s="13" t="str">
        <f ca="1">IFERROR(__xludf.DUMMYFUNCTION("IF(NOT(ISBLANK(G20)), REGEXEXTRACT(G20, ""\)\. (.*?)\.""), """")"),"Do static analysis tools affect software quality when using test-driven development?")</f>
        <v>Do static analysis tools affect software quality when using test-driven development?</v>
      </c>
      <c r="E20" s="12" t="str">
        <f t="shared" si="0"/>
        <v>Romano</v>
      </c>
      <c r="F20" s="14" t="str">
        <f ca="1">IFERROR(__xludf.DUMMYFUNCTION("IF(NOT(ISBLANK(G20)), REGEXEXTRACT(G20, ""\((\d{4})""), """")"),"2022")</f>
        <v>2022</v>
      </c>
      <c r="G20" s="36" t="s">
        <v>51</v>
      </c>
      <c r="H20" s="15">
        <v>6</v>
      </c>
      <c r="I20" s="13" t="s">
        <v>25</v>
      </c>
      <c r="J20" s="13" t="s">
        <v>46</v>
      </c>
      <c r="K20" s="16" t="b">
        <v>1</v>
      </c>
      <c r="L20" s="13" t="b">
        <v>1</v>
      </c>
      <c r="M20" s="13" t="b">
        <v>1</v>
      </c>
      <c r="N20" s="13" t="b">
        <v>0</v>
      </c>
      <c r="O20" s="13" t="b">
        <v>1</v>
      </c>
      <c r="P20" s="17" t="b">
        <v>0</v>
      </c>
      <c r="Q20" s="13" t="b">
        <v>0</v>
      </c>
      <c r="R20" s="13" t="b">
        <v>0</v>
      </c>
      <c r="S20" s="13" t="b">
        <v>0</v>
      </c>
      <c r="T20" s="18" t="b">
        <f t="shared" si="1"/>
        <v>0</v>
      </c>
      <c r="U20" s="19" t="b">
        <v>0</v>
      </c>
      <c r="V20" s="13"/>
      <c r="W20" s="13"/>
    </row>
    <row r="21" spans="1:23" ht="66" x14ac:dyDescent="0.25">
      <c r="A21" s="11">
        <v>20</v>
      </c>
      <c r="B21" s="12" t="b">
        <v>1</v>
      </c>
      <c r="C21" s="12" t="s">
        <v>247</v>
      </c>
      <c r="D21" s="13" t="str">
        <f ca="1">IFERROR(__xludf.DUMMYFUNCTION("IF(NOT(ISBLANK(G21)), REGEXEXTRACT(G21, ""\)\. (.*?)\.""), """")"),"Collaborative modelling: chatbots or on-line tools? an experimental study")</f>
        <v>Collaborative modelling: chatbots or on-line tools? an experimental study</v>
      </c>
      <c r="E21" s="12" t="str">
        <f t="shared" si="0"/>
        <v>Ren</v>
      </c>
      <c r="F21" s="14" t="str">
        <f ca="1">IFERROR(__xludf.DUMMYFUNCTION("IF(NOT(ISBLANK(G21)), REGEXEXTRACT(G21, ""\((\d{4})""), """")"),"2020")</f>
        <v>2020</v>
      </c>
      <c r="G21" s="36" t="s">
        <v>52</v>
      </c>
      <c r="H21" s="15">
        <v>17</v>
      </c>
      <c r="I21" s="13" t="s">
        <v>25</v>
      </c>
      <c r="J21" s="13" t="s">
        <v>53</v>
      </c>
      <c r="K21" s="16" t="b">
        <v>1</v>
      </c>
      <c r="L21" s="13" t="b">
        <v>1</v>
      </c>
      <c r="M21" s="13" t="b">
        <v>1</v>
      </c>
      <c r="N21" s="13" t="b">
        <v>1</v>
      </c>
      <c r="O21" s="13" t="b">
        <v>1</v>
      </c>
      <c r="P21" s="17" t="b">
        <v>0</v>
      </c>
      <c r="Q21" s="13" t="b">
        <v>0</v>
      </c>
      <c r="R21" s="13" t="b">
        <v>1</v>
      </c>
      <c r="S21" s="13" t="b">
        <v>0</v>
      </c>
      <c r="T21" s="18" t="b">
        <f t="shared" si="1"/>
        <v>0</v>
      </c>
      <c r="U21" s="19" t="b">
        <v>0</v>
      </c>
      <c r="V21" s="13" t="s">
        <v>54</v>
      </c>
      <c r="W21" s="13"/>
    </row>
    <row r="22" spans="1:23" ht="66" x14ac:dyDescent="0.25">
      <c r="A22" s="11">
        <v>21</v>
      </c>
      <c r="B22" s="12" t="b">
        <v>1</v>
      </c>
      <c r="C22" s="12" t="s">
        <v>248</v>
      </c>
      <c r="D22" s="13" t="str">
        <f ca="1">IFERROR(__xludf.DUMMYFUNCTION("IF(NOT(ISBLANK(G22)), REGEXEXTRACT(G22, ""\)\. (.*?)\.""), """")"),"Comparative Study on 2D and 3D User Interface for Eliminating Cognitive Loads in Augmented Reality Repetitive Tasks")</f>
        <v>Comparative Study on 2D and 3D User Interface for Eliminating Cognitive Loads in Augmented Reality Repetitive Tasks</v>
      </c>
      <c r="E22" s="12" t="str">
        <f t="shared" si="0"/>
        <v>Li</v>
      </c>
      <c r="F22" s="14" t="str">
        <f ca="1">IFERROR(__xludf.DUMMYFUNCTION("IF(NOT(ISBLANK(G22)), REGEXEXTRACT(G22, ""\((\d{4})""), """")"),"2023")</f>
        <v>2023</v>
      </c>
      <c r="G22" s="36" t="s">
        <v>55</v>
      </c>
      <c r="H22" s="15">
        <v>1</v>
      </c>
      <c r="I22" s="13" t="s">
        <v>25</v>
      </c>
      <c r="J22" s="13" t="s">
        <v>46</v>
      </c>
      <c r="K22" s="16" t="b">
        <v>1</v>
      </c>
      <c r="L22" s="13" t="b">
        <v>1</v>
      </c>
      <c r="M22" s="13" t="b">
        <v>1</v>
      </c>
      <c r="N22" s="13" t="b">
        <v>0</v>
      </c>
      <c r="O22" s="13" t="b">
        <v>1</v>
      </c>
      <c r="P22" s="17" t="b">
        <v>0</v>
      </c>
      <c r="Q22" s="13" t="b">
        <v>0</v>
      </c>
      <c r="R22" s="13" t="b">
        <v>0</v>
      </c>
      <c r="S22" s="13" t="b">
        <v>0</v>
      </c>
      <c r="T22" s="18" t="b">
        <f t="shared" si="1"/>
        <v>0</v>
      </c>
      <c r="U22" s="19" t="b">
        <v>0</v>
      </c>
      <c r="V22" s="13"/>
      <c r="W22" s="13"/>
    </row>
    <row r="23" spans="1:23" ht="79.2" x14ac:dyDescent="0.25">
      <c r="A23" s="11">
        <v>22</v>
      </c>
      <c r="B23" s="12" t="b">
        <v>1</v>
      </c>
      <c r="C23" s="12" t="s">
        <v>247</v>
      </c>
      <c r="D23" s="13" t="str">
        <f ca="1">IFERROR(__xludf.DUMMYFUNCTION("IF(NOT(ISBLANK(G23)), REGEXEXTRACT(G23, ""\)\. (.*?)\.""), """")"),"An empirical evaluation of the energy and performance overhead of monitoring tools on docker-based systems")</f>
        <v>An empirical evaluation of the energy and performance overhead of monitoring tools on docker-based systems</v>
      </c>
      <c r="E23" s="12" t="str">
        <f t="shared" si="0"/>
        <v>Dinga</v>
      </c>
      <c r="F23" s="14" t="str">
        <f ca="1">IFERROR(__xludf.DUMMYFUNCTION("IF(NOT(ISBLANK(G23)), REGEXEXTRACT(G23, ""\((\d{4})""), """")"),"2023")</f>
        <v>2023</v>
      </c>
      <c r="G23" s="36" t="s">
        <v>56</v>
      </c>
      <c r="H23" s="15">
        <v>4</v>
      </c>
      <c r="I23" s="13" t="s">
        <v>25</v>
      </c>
      <c r="J23" s="13" t="s">
        <v>57</v>
      </c>
      <c r="K23" s="16" t="b">
        <v>1</v>
      </c>
      <c r="L23" s="13" t="b">
        <v>1</v>
      </c>
      <c r="M23" s="13" t="b">
        <v>1</v>
      </c>
      <c r="N23" s="13" t="b">
        <v>1</v>
      </c>
      <c r="O23" s="13" t="b">
        <v>0</v>
      </c>
      <c r="P23" s="17" t="b">
        <v>0</v>
      </c>
      <c r="Q23" s="13" t="b">
        <v>0</v>
      </c>
      <c r="R23" s="13" t="b">
        <v>0</v>
      </c>
      <c r="S23" s="13" t="b">
        <v>0</v>
      </c>
      <c r="T23" s="18" t="b">
        <f t="shared" si="1"/>
        <v>0</v>
      </c>
      <c r="U23" s="19" t="b">
        <v>0</v>
      </c>
      <c r="V23" s="13"/>
      <c r="W23" s="13"/>
    </row>
    <row r="24" spans="1:23" ht="52.8" x14ac:dyDescent="0.25">
      <c r="A24" s="11">
        <v>23</v>
      </c>
      <c r="B24" s="12" t="b">
        <v>1</v>
      </c>
      <c r="C24" s="12" t="s">
        <v>248</v>
      </c>
      <c r="D24" s="13" t="str">
        <f ca="1">IFERROR(__xludf.DUMMYFUNCTION("IF(NOT(ISBLANK(G24)), REGEXEXTRACT(G24, ""\)\. (.*?)\.""), """")"),"Studying test-driven development and its retainment over a six-month time span")</f>
        <v>Studying test-driven development and its retainment over a six-month time span</v>
      </c>
      <c r="E24" s="12" t="str">
        <f t="shared" si="0"/>
        <v>Baldassarre</v>
      </c>
      <c r="F24" s="14" t="str">
        <f ca="1">IFERROR(__xludf.DUMMYFUNCTION("IF(NOT(ISBLANK(G24)), REGEXEXTRACT(G24, ""\((\d{4})""), """")"),"2021")</f>
        <v>2021</v>
      </c>
      <c r="G24" s="36" t="s">
        <v>58</v>
      </c>
      <c r="H24" s="15">
        <v>12</v>
      </c>
      <c r="I24" s="13" t="s">
        <v>25</v>
      </c>
      <c r="J24" s="13" t="s">
        <v>59</v>
      </c>
      <c r="K24" s="16" t="b">
        <v>1</v>
      </c>
      <c r="L24" s="13" t="b">
        <v>1</v>
      </c>
      <c r="M24" s="13" t="b">
        <v>1</v>
      </c>
      <c r="N24" s="13" t="b">
        <v>0</v>
      </c>
      <c r="O24" s="13" t="b">
        <v>1</v>
      </c>
      <c r="P24" s="17" t="b">
        <v>0</v>
      </c>
      <c r="Q24" s="13" t="b">
        <v>0</v>
      </c>
      <c r="R24" s="13" t="b">
        <v>0</v>
      </c>
      <c r="S24" s="13" t="b">
        <v>0</v>
      </c>
      <c r="T24" s="18" t="b">
        <f t="shared" si="1"/>
        <v>0</v>
      </c>
      <c r="U24" s="19" t="b">
        <v>0</v>
      </c>
      <c r="V24" s="13"/>
      <c r="W24" s="13"/>
    </row>
    <row r="25" spans="1:23" ht="66" x14ac:dyDescent="0.25">
      <c r="A25" s="11">
        <v>24</v>
      </c>
      <c r="B25" s="12" t="b">
        <v>1</v>
      </c>
      <c r="C25" s="12" t="s">
        <v>247</v>
      </c>
      <c r="D25" s="13" t="str">
        <f ca="1">IFERROR(__xludf.DUMMYFUNCTION("IF(NOT(ISBLANK(G25)), REGEXEXTRACT(G25, ""\)\. (.*?)\.""), """")"),"What is the impact of bad layout in the understandability of social goal models?")</f>
        <v>What is the impact of bad layout in the understandability of social goal models?</v>
      </c>
      <c r="E25" s="12" t="str">
        <f t="shared" si="0"/>
        <v>Santos</v>
      </c>
      <c r="F25" s="14" t="str">
        <f ca="1">IFERROR(__xludf.DUMMYFUNCTION("IF(NOT(ISBLANK(G25)), REGEXEXTRACT(G25, ""\((\d{4})""), """")"),"2016")</f>
        <v>2016</v>
      </c>
      <c r="G25" s="36" t="s">
        <v>60</v>
      </c>
      <c r="H25" s="15">
        <v>31</v>
      </c>
      <c r="I25" s="13" t="s">
        <v>25</v>
      </c>
      <c r="J25" s="13" t="s">
        <v>53</v>
      </c>
      <c r="K25" s="16" t="b">
        <v>1</v>
      </c>
      <c r="L25" s="13" t="b">
        <v>1</v>
      </c>
      <c r="M25" s="13" t="b">
        <v>1</v>
      </c>
      <c r="N25" s="13" t="b">
        <v>1</v>
      </c>
      <c r="O25" s="13" t="b">
        <v>1</v>
      </c>
      <c r="P25" s="17" t="b">
        <v>0</v>
      </c>
      <c r="Q25" s="13" t="b">
        <v>0</v>
      </c>
      <c r="R25" s="13" t="b">
        <v>0</v>
      </c>
      <c r="S25" s="13" t="b">
        <v>0</v>
      </c>
      <c r="T25" s="18" t="b">
        <f t="shared" si="1"/>
        <v>1</v>
      </c>
      <c r="U25" s="19" t="b">
        <v>0</v>
      </c>
      <c r="V25" s="13"/>
      <c r="W25" s="13"/>
    </row>
    <row r="26" spans="1:23" ht="52.8" x14ac:dyDescent="0.25">
      <c r="A26" s="11">
        <v>25</v>
      </c>
      <c r="B26" s="12" t="b">
        <v>1</v>
      </c>
      <c r="C26" s="12" t="s">
        <v>248</v>
      </c>
      <c r="D26" s="13" t="str">
        <f ca="1">IFERROR(__xludf.DUMMYFUNCTION("IF(NOT(ISBLANK(G26)), REGEXEXTRACT(G26, ""\)\. (.*?)\.""), """")"),"An Experiment on the Effects of Using Color to Visualize Requirements Analysis Tasks")</f>
        <v>An Experiment on the Effects of Using Color to Visualize Requirements Analysis Tasks</v>
      </c>
      <c r="E26" s="12" t="str">
        <f t="shared" si="0"/>
        <v>Baatartogtokh</v>
      </c>
      <c r="F26" s="14" t="str">
        <f ca="1">IFERROR(__xludf.DUMMYFUNCTION("IF(NOT(ISBLANK(G26)), REGEXEXTRACT(G26, ""\((\d{4})""), """")"),"2023")</f>
        <v>2023</v>
      </c>
      <c r="G26" s="36" t="s">
        <v>61</v>
      </c>
      <c r="H26" s="15">
        <v>2</v>
      </c>
      <c r="I26" s="13" t="s">
        <v>25</v>
      </c>
      <c r="J26" s="13" t="s">
        <v>62</v>
      </c>
      <c r="K26" s="16" t="b">
        <v>1</v>
      </c>
      <c r="L26" s="13" t="b">
        <v>1</v>
      </c>
      <c r="M26" s="13" t="b">
        <v>1</v>
      </c>
      <c r="N26" s="13" t="b">
        <v>0</v>
      </c>
      <c r="O26" s="13" t="b">
        <v>1</v>
      </c>
      <c r="P26" s="17" t="b">
        <v>0</v>
      </c>
      <c r="Q26" s="13" t="b">
        <v>0</v>
      </c>
      <c r="R26" s="13" t="b">
        <v>0</v>
      </c>
      <c r="S26" s="13" t="b">
        <v>0</v>
      </c>
      <c r="T26" s="18" t="b">
        <f t="shared" si="1"/>
        <v>0</v>
      </c>
      <c r="U26" s="19" t="b">
        <v>0</v>
      </c>
      <c r="V26" s="13" t="s">
        <v>63</v>
      </c>
      <c r="W26" s="13"/>
    </row>
    <row r="27" spans="1:23" ht="52.8" x14ac:dyDescent="0.25">
      <c r="A27" s="11">
        <v>26</v>
      </c>
      <c r="B27" s="12" t="b">
        <v>1</v>
      </c>
      <c r="C27" s="12" t="s">
        <v>247</v>
      </c>
      <c r="D27" s="13" t="str">
        <f ca="1">IFERROR(__xludf.DUMMYFUNCTION("IF(NOT(ISBLANK(G27)), REGEXEXTRACT(G27, ""\)\. (.*?)\.""), """")"),"On the Assessment of Interactive Detection of Code Smells in Practice: A Controlled Experiment")</f>
        <v>On the Assessment of Interactive Detection of Code Smells in Practice: A Controlled Experiment</v>
      </c>
      <c r="E27" s="12" t="str">
        <f t="shared" si="0"/>
        <v>Albuquerque</v>
      </c>
      <c r="F27" s="14" t="str">
        <f ca="1">IFERROR(__xludf.DUMMYFUNCTION("IF(NOT(ISBLANK(G27)), REGEXEXTRACT(G27, ""\((\d{4})""), """")"),"2023")</f>
        <v>2023</v>
      </c>
      <c r="G27" s="36" t="s">
        <v>64</v>
      </c>
      <c r="H27" s="15">
        <v>1</v>
      </c>
      <c r="I27" s="13" t="s">
        <v>25</v>
      </c>
      <c r="J27" s="13"/>
      <c r="K27" s="16" t="b">
        <v>1</v>
      </c>
      <c r="L27" s="13" t="b">
        <v>1</v>
      </c>
      <c r="M27" s="13" t="b">
        <v>1</v>
      </c>
      <c r="N27" s="13" t="b">
        <v>1</v>
      </c>
      <c r="O27" s="13" t="b">
        <v>1</v>
      </c>
      <c r="P27" s="17" t="b">
        <v>0</v>
      </c>
      <c r="Q27" s="13" t="b">
        <v>0</v>
      </c>
      <c r="R27" s="13" t="b">
        <v>0</v>
      </c>
      <c r="S27" s="13" t="b">
        <v>0</v>
      </c>
      <c r="T27" s="18" t="b">
        <f t="shared" si="1"/>
        <v>1</v>
      </c>
      <c r="U27" s="19" t="b">
        <v>0</v>
      </c>
      <c r="V27" s="13"/>
      <c r="W27" s="13"/>
    </row>
    <row r="28" spans="1:23" ht="79.2" x14ac:dyDescent="0.25">
      <c r="A28" s="11">
        <v>27</v>
      </c>
      <c r="B28" s="12" t="b">
        <v>1</v>
      </c>
      <c r="C28" s="12" t="s">
        <v>248</v>
      </c>
      <c r="D28" s="13" t="str">
        <f ca="1">IFERROR(__xludf.DUMMYFUNCTION("IF(NOT(ISBLANK(G28)), REGEXEXTRACT(G28, ""\)\. (.*?)\.""), """")"),"Pinpoint: A Record, Replay, and Extract System to Support Code Comprehension and Reuse")</f>
        <v>Pinpoint: A Record, Replay, and Extract System to Support Code Comprehension and Reuse</v>
      </c>
      <c r="E28" s="12" t="str">
        <f t="shared" si="0"/>
        <v>Wang</v>
      </c>
      <c r="F28" s="14" t="str">
        <f ca="1">IFERROR(__xludf.DUMMYFUNCTION("IF(NOT(ISBLANK(G28)), REGEXEXTRACT(G28, ""\((\d{4})""), """")"),"2022")</f>
        <v>2022</v>
      </c>
      <c r="G28" s="36" t="s">
        <v>65</v>
      </c>
      <c r="H28" s="15">
        <v>7</v>
      </c>
      <c r="I28" s="13" t="s">
        <v>25</v>
      </c>
      <c r="J28" s="13"/>
      <c r="K28" s="16" t="b">
        <v>1</v>
      </c>
      <c r="L28" s="13" t="b">
        <v>1</v>
      </c>
      <c r="M28" s="13" t="b">
        <v>1</v>
      </c>
      <c r="N28" s="13" t="b">
        <v>1</v>
      </c>
      <c r="O28" s="13" t="b">
        <v>1</v>
      </c>
      <c r="P28" s="17" t="b">
        <v>0</v>
      </c>
      <c r="Q28" s="13" t="b">
        <v>0</v>
      </c>
      <c r="R28" s="13" t="b">
        <v>0</v>
      </c>
      <c r="S28" s="13" t="b">
        <v>0</v>
      </c>
      <c r="T28" s="18" t="b">
        <f t="shared" si="1"/>
        <v>1</v>
      </c>
      <c r="U28" s="19" t="b">
        <v>0</v>
      </c>
      <c r="V28" s="13"/>
      <c r="W28" s="13"/>
    </row>
    <row r="29" spans="1:23" ht="92.4" x14ac:dyDescent="0.25">
      <c r="A29" s="11">
        <v>28</v>
      </c>
      <c r="B29" s="12" t="b">
        <v>1</v>
      </c>
      <c r="C29" s="12" t="s">
        <v>247</v>
      </c>
      <c r="D29" s="13" t="str">
        <f ca="1">IFERROR(__xludf.DUMMYFUNCTION("IF(NOT(ISBLANK(G29)), REGEXEXTRACT(G29, ""\)\. (.*?)\.""), """")"),"A correlation structure for the analysis of Gaussian and non-Gaussian responses in crossover experimental designs with repeated measures")</f>
        <v>A correlation structure for the analysis of Gaussian and non-Gaussian responses in crossover experimental designs with repeated measures</v>
      </c>
      <c r="E29" s="12" t="str">
        <f t="shared" si="0"/>
        <v>Cruz</v>
      </c>
      <c r="F29" s="14" t="str">
        <f ca="1">IFERROR(__xludf.DUMMYFUNCTION("IF(NOT(ISBLANK(G29)), REGEXEXTRACT(G29, ""\((\d{4})""), """")"),"2024")</f>
        <v>2024</v>
      </c>
      <c r="G29" s="36" t="s">
        <v>66</v>
      </c>
      <c r="H29" s="15">
        <v>5</v>
      </c>
      <c r="I29" s="13" t="s">
        <v>41</v>
      </c>
      <c r="J29" s="13" t="s">
        <v>67</v>
      </c>
      <c r="K29" s="16" t="b">
        <v>0</v>
      </c>
      <c r="L29" s="13" t="b">
        <v>0</v>
      </c>
      <c r="M29" s="13" t="b">
        <v>0</v>
      </c>
      <c r="N29" s="13" t="b">
        <v>0</v>
      </c>
      <c r="O29" s="13" t="b">
        <v>0</v>
      </c>
      <c r="P29" s="17" t="b">
        <v>0</v>
      </c>
      <c r="Q29" s="13" t="b">
        <v>0</v>
      </c>
      <c r="R29" s="13" t="b">
        <v>0</v>
      </c>
      <c r="S29" s="13" t="b">
        <v>0</v>
      </c>
      <c r="T29" s="18" t="b">
        <f t="shared" si="1"/>
        <v>0</v>
      </c>
      <c r="U29" s="19" t="b">
        <v>0</v>
      </c>
      <c r="V29" s="13"/>
      <c r="W29" s="13"/>
    </row>
    <row r="30" spans="1:23" ht="79.2" x14ac:dyDescent="0.25">
      <c r="A30" s="11">
        <v>29</v>
      </c>
      <c r="B30" s="12" t="b">
        <v>1</v>
      </c>
      <c r="C30" s="12" t="s">
        <v>248</v>
      </c>
      <c r="D30" s="13" t="str">
        <f ca="1">IFERROR(__xludf.DUMMYFUNCTION("IF(NOT(ISBLANK(G30)), REGEXEXTRACT(G30, ""\)\. (.*?)\.""), """")"),"A longitudinal cohort study on the retainment of test-driven development")</f>
        <v>A longitudinal cohort study on the retainment of test-driven development</v>
      </c>
      <c r="E30" s="12" t="str">
        <f t="shared" si="0"/>
        <v>Fucci</v>
      </c>
      <c r="F30" s="14" t="str">
        <f ca="1">IFERROR(__xludf.DUMMYFUNCTION("IF(NOT(ISBLANK(G30)), REGEXEXTRACT(G30, ""\((\d{4})""), """")"),"2018")</f>
        <v>2018</v>
      </c>
      <c r="G30" s="36" t="s">
        <v>68</v>
      </c>
      <c r="H30" s="15">
        <v>21</v>
      </c>
      <c r="I30" s="13" t="s">
        <v>25</v>
      </c>
      <c r="J30" s="13"/>
      <c r="K30" s="16" t="b">
        <v>1</v>
      </c>
      <c r="L30" s="13" t="b">
        <v>1</v>
      </c>
      <c r="M30" s="13" t="b">
        <v>1</v>
      </c>
      <c r="N30" s="13" t="b">
        <v>1</v>
      </c>
      <c r="O30" s="13" t="b">
        <v>1</v>
      </c>
      <c r="P30" s="17" t="b">
        <v>0</v>
      </c>
      <c r="Q30" s="13" t="b">
        <v>0</v>
      </c>
      <c r="R30" s="13" t="b">
        <v>0</v>
      </c>
      <c r="S30" s="13" t="b">
        <v>0</v>
      </c>
      <c r="T30" s="18" t="b">
        <f t="shared" si="1"/>
        <v>1</v>
      </c>
      <c r="U30" s="19" t="b">
        <v>0</v>
      </c>
      <c r="V30" s="13" t="s">
        <v>69</v>
      </c>
      <c r="W30" s="13"/>
    </row>
    <row r="31" spans="1:23" ht="66" x14ac:dyDescent="0.25">
      <c r="A31" s="11">
        <v>30</v>
      </c>
      <c r="B31" s="12" t="b">
        <v>1</v>
      </c>
      <c r="C31" s="12" t="s">
        <v>248</v>
      </c>
      <c r="D31" s="13" t="str">
        <f ca="1">IFERROR(__xludf.DUMMYFUNCTION("IF(NOT(ISBLANK(G31)), REGEXEXTRACT(G31, ""\)\. (.*?)\.""), """")"),"Comparing UML-based and DSL-based Modeling from Subjective and Objective Perspectives")</f>
        <v>Comparing UML-based and DSL-based Modeling from Subjective and Objective Perspectives</v>
      </c>
      <c r="E31" s="12" t="str">
        <f t="shared" si="0"/>
        <v>Domingo</v>
      </c>
      <c r="F31" s="14" t="str">
        <f ca="1">IFERROR(__xludf.DUMMYFUNCTION("IF(NOT(ISBLANK(G31)), REGEXEXTRACT(G31, ""\((\d{4})""), """")"),"2021")</f>
        <v>2021</v>
      </c>
      <c r="G31" s="36" t="s">
        <v>70</v>
      </c>
      <c r="H31" s="15">
        <v>10</v>
      </c>
      <c r="I31" s="13" t="s">
        <v>25</v>
      </c>
      <c r="J31" s="13"/>
      <c r="K31" s="16" t="b">
        <v>1</v>
      </c>
      <c r="L31" s="13" t="b">
        <v>1</v>
      </c>
      <c r="M31" s="13" t="b">
        <v>1</v>
      </c>
      <c r="N31" s="13" t="b">
        <v>1</v>
      </c>
      <c r="O31" s="13" t="b">
        <v>1</v>
      </c>
      <c r="P31" s="17" t="b">
        <v>0</v>
      </c>
      <c r="Q31" s="13" t="b">
        <v>0</v>
      </c>
      <c r="R31" s="13" t="b">
        <v>0</v>
      </c>
      <c r="S31" s="13" t="b">
        <v>0</v>
      </c>
      <c r="T31" s="18" t="b">
        <f t="shared" si="1"/>
        <v>1</v>
      </c>
      <c r="U31" s="19" t="b">
        <v>0</v>
      </c>
      <c r="V31" s="13"/>
      <c r="W31" s="13"/>
    </row>
    <row r="32" spans="1:23" ht="52.8" x14ac:dyDescent="0.25">
      <c r="A32" s="11">
        <v>31</v>
      </c>
      <c r="B32" s="12" t="b">
        <v>1</v>
      </c>
      <c r="C32" s="12" t="s">
        <v>247</v>
      </c>
      <c r="D32" s="13" t="str">
        <f ca="1">IFERROR(__xludf.DUMMYFUNCTION("IF(NOT(ISBLANK(G32)), REGEXEXTRACT(G32, ""\)\. (.*?)\.""), """")"),"Fixing faults in c and java source code: Abbreviated vs")</f>
        <v>Fixing faults in c and java source code: Abbreviated vs</v>
      </c>
      <c r="E32" s="12" t="str">
        <f t="shared" si="0"/>
        <v>Scanniello</v>
      </c>
      <c r="F32" s="14" t="str">
        <f ca="1">IFERROR(__xludf.DUMMYFUNCTION("IF(NOT(ISBLANK(G32)), REGEXEXTRACT(G32, ""\((\d{4})""), """")"),"2017")</f>
        <v>2017</v>
      </c>
      <c r="G32" s="36" t="s">
        <v>71</v>
      </c>
      <c r="H32" s="15">
        <v>30</v>
      </c>
      <c r="I32" s="13" t="s">
        <v>25</v>
      </c>
      <c r="J32" s="13"/>
      <c r="K32" s="16" t="b">
        <v>1</v>
      </c>
      <c r="L32" s="13" t="b">
        <v>1</v>
      </c>
      <c r="M32" s="13" t="b">
        <v>1</v>
      </c>
      <c r="N32" s="13" t="b">
        <v>1</v>
      </c>
      <c r="O32" s="13" t="b">
        <v>1</v>
      </c>
      <c r="P32" s="17" t="b">
        <v>0</v>
      </c>
      <c r="Q32" s="13" t="b">
        <v>0</v>
      </c>
      <c r="R32" s="13" t="b">
        <v>0</v>
      </c>
      <c r="S32" s="13" t="b">
        <v>0</v>
      </c>
      <c r="T32" s="18" t="b">
        <f t="shared" si="1"/>
        <v>1</v>
      </c>
      <c r="U32" s="19" t="b">
        <v>0</v>
      </c>
      <c r="V32" s="13"/>
      <c r="W32" s="13"/>
    </row>
    <row r="33" spans="1:23" ht="66" x14ac:dyDescent="0.25">
      <c r="A33" s="11">
        <v>32</v>
      </c>
      <c r="B33" s="12" t="b">
        <v>1</v>
      </c>
      <c r="C33" s="12" t="s">
        <v>248</v>
      </c>
      <c r="D33" s="13" t="str">
        <f ca="1">IFERROR(__xludf.DUMMYFUNCTION("IF(NOT(ISBLANK(G33)), REGEXEXTRACT(G33, ""\)\. (.*?)\.""), """")"),"A controlled experiment with novice developers on the impact of task description granularity on software quality in test-driven development")</f>
        <v>A controlled experiment with novice developers on the impact of task description granularity on software quality in test-driven development</v>
      </c>
      <c r="E33" s="12" t="str">
        <f t="shared" si="0"/>
        <v>Karac</v>
      </c>
      <c r="F33" s="14" t="str">
        <f ca="1">IFERROR(__xludf.DUMMYFUNCTION("IF(NOT(ISBLANK(G33)), REGEXEXTRACT(G33, ""\((\d{4})""), """")"),"2019")</f>
        <v>2019</v>
      </c>
      <c r="G33" s="36" t="s">
        <v>72</v>
      </c>
      <c r="H33" s="15">
        <v>23</v>
      </c>
      <c r="I33" s="13" t="s">
        <v>25</v>
      </c>
      <c r="J33" s="13"/>
      <c r="K33" s="16" t="b">
        <v>1</v>
      </c>
      <c r="L33" s="13" t="b">
        <v>1</v>
      </c>
      <c r="M33" s="13" t="b">
        <v>1</v>
      </c>
      <c r="N33" s="13" t="b">
        <v>1</v>
      </c>
      <c r="O33" s="13" t="b">
        <v>1</v>
      </c>
      <c r="P33" s="17" t="b">
        <v>0</v>
      </c>
      <c r="Q33" s="13" t="b">
        <v>0</v>
      </c>
      <c r="R33" s="13" t="b">
        <v>0</v>
      </c>
      <c r="S33" s="13" t="b">
        <v>0</v>
      </c>
      <c r="T33" s="18" t="b">
        <f t="shared" si="1"/>
        <v>1</v>
      </c>
      <c r="U33" s="19" t="b">
        <v>0</v>
      </c>
      <c r="V33" s="13"/>
      <c r="W33" s="13"/>
    </row>
    <row r="34" spans="1:23" ht="52.8" x14ac:dyDescent="0.25">
      <c r="A34" s="11">
        <v>33</v>
      </c>
      <c r="B34" s="12" t="b">
        <v>1</v>
      </c>
      <c r="C34" s="12" t="s">
        <v>247</v>
      </c>
      <c r="D34" s="13" t="str">
        <f ca="1">IFERROR(__xludf.DUMMYFUNCTION("IF(NOT(ISBLANK(G34)), REGEXEXTRACT(G34, ""\)\. (.*?)\.""), """")"),"The city metaphor in software visualization: feelings, emotions, and thinking")</f>
        <v>The city metaphor in software visualization: feelings, emotions, and thinking</v>
      </c>
      <c r="E34" s="12" t="str">
        <f t="shared" si="0"/>
        <v>Romano</v>
      </c>
      <c r="F34" s="14" t="str">
        <f ca="1">IFERROR(__xludf.DUMMYFUNCTION("IF(NOT(ISBLANK(G34)), REGEXEXTRACT(G34, ""\((\d{4})""), """")"),"2019")</f>
        <v>2019</v>
      </c>
      <c r="G34" s="36" t="s">
        <v>73</v>
      </c>
      <c r="H34" s="15">
        <v>15</v>
      </c>
      <c r="I34" s="13" t="s">
        <v>25</v>
      </c>
      <c r="J34" s="13"/>
      <c r="K34" s="16" t="b">
        <v>1</v>
      </c>
      <c r="L34" s="13" t="b">
        <v>1</v>
      </c>
      <c r="M34" s="13" t="b">
        <v>1</v>
      </c>
      <c r="N34" s="13" t="b">
        <v>0</v>
      </c>
      <c r="O34" s="13" t="b">
        <v>1</v>
      </c>
      <c r="P34" s="17" t="b">
        <v>0</v>
      </c>
      <c r="Q34" s="13" t="b">
        <v>0</v>
      </c>
      <c r="R34" s="13" t="b">
        <v>0</v>
      </c>
      <c r="S34" s="13" t="b">
        <v>0</v>
      </c>
      <c r="T34" s="18" t="b">
        <f t="shared" si="1"/>
        <v>0</v>
      </c>
      <c r="U34" s="19" t="b">
        <v>0</v>
      </c>
      <c r="V34" s="13"/>
      <c r="W34" s="13"/>
    </row>
    <row r="35" spans="1:23" ht="52.8" x14ac:dyDescent="0.25">
      <c r="A35" s="11">
        <v>34</v>
      </c>
      <c r="B35" s="12" t="b">
        <v>1</v>
      </c>
      <c r="C35" s="12" t="s">
        <v>247</v>
      </c>
      <c r="D35" s="13" t="str">
        <f ca="1">IFERROR(__xludf.DUMMYFUNCTION("IF(NOT(ISBLANK(G35)), REGEXEXTRACT(G35, ""\)\. (.*?)\.""), """")"),"Semiparametric generalized estimating equations for repeated measurements in cross-over designs")</f>
        <v>Semiparametric generalized estimating equations for repeated measurements in cross-over designs</v>
      </c>
      <c r="E35" s="12" t="str">
        <f t="shared" si="0"/>
        <v>Cruz Gutierrez</v>
      </c>
      <c r="F35" s="14" t="str">
        <f ca="1">IFERROR(__xludf.DUMMYFUNCTION("IF(NOT(ISBLANK(G35)), REGEXEXTRACT(G35, ""\((\d{4})""), """")"),"2023")</f>
        <v>2023</v>
      </c>
      <c r="G35" s="36" t="s">
        <v>74</v>
      </c>
      <c r="H35" s="15">
        <v>3</v>
      </c>
      <c r="I35" s="13" t="s">
        <v>41</v>
      </c>
      <c r="J35" s="13" t="s">
        <v>75</v>
      </c>
      <c r="K35" s="16" t="b">
        <v>0</v>
      </c>
      <c r="L35" s="13" t="b">
        <v>0</v>
      </c>
      <c r="M35" s="13" t="b">
        <v>0</v>
      </c>
      <c r="N35" s="13" t="b">
        <v>0</v>
      </c>
      <c r="O35" s="13" t="b">
        <v>0</v>
      </c>
      <c r="P35" s="17" t="b">
        <v>0</v>
      </c>
      <c r="Q35" s="13" t="b">
        <v>0</v>
      </c>
      <c r="R35" s="13" t="b">
        <v>0</v>
      </c>
      <c r="S35" s="13" t="b">
        <v>0</v>
      </c>
      <c r="T35" s="18" t="b">
        <f t="shared" si="1"/>
        <v>0</v>
      </c>
      <c r="U35" s="19" t="b">
        <v>0</v>
      </c>
      <c r="V35" s="13"/>
      <c r="W35" s="13"/>
    </row>
    <row r="36" spans="1:23" ht="39.6" x14ac:dyDescent="0.25">
      <c r="A36" s="11">
        <v>35</v>
      </c>
      <c r="B36" s="12" t="b">
        <v>1</v>
      </c>
      <c r="C36" s="12" t="s">
        <v>248</v>
      </c>
      <c r="D36" s="13" t="str">
        <f ca="1">IFERROR(__xludf.DUMMYFUNCTION("IF(NOT(ISBLANK(G36)), REGEXEXTRACT(G36, ""\)\. (.*?)\.""), """")"),"Software development metrics: to VR or not to VR")</f>
        <v>Software development metrics: to VR or not to VR</v>
      </c>
      <c r="E36" s="12" t="str">
        <f t="shared" si="0"/>
        <v>Moreno-Lumbreras</v>
      </c>
      <c r="F36" s="14" t="str">
        <f ca="1">IFERROR(__xludf.DUMMYFUNCTION("IF(NOT(ISBLANK(G36)), REGEXEXTRACT(G36, ""\((\d{4})""), """")"),"2024")</f>
        <v>2024</v>
      </c>
      <c r="G36" s="36" t="s">
        <v>76</v>
      </c>
      <c r="H36" s="15">
        <v>0</v>
      </c>
      <c r="I36" s="13" t="s">
        <v>25</v>
      </c>
      <c r="J36" s="13"/>
      <c r="K36" s="16" t="b">
        <v>1</v>
      </c>
      <c r="L36" s="13" t="b">
        <v>1</v>
      </c>
      <c r="M36" s="13" t="b">
        <v>1</v>
      </c>
      <c r="N36" s="13" t="b">
        <v>1</v>
      </c>
      <c r="O36" s="13" t="b">
        <v>1</v>
      </c>
      <c r="P36" s="17" t="b">
        <v>0</v>
      </c>
      <c r="Q36" s="13" t="b">
        <v>0</v>
      </c>
      <c r="R36" s="13" t="b">
        <v>0</v>
      </c>
      <c r="S36" s="13" t="b">
        <v>0</v>
      </c>
      <c r="T36" s="18" t="b">
        <f t="shared" si="1"/>
        <v>1</v>
      </c>
      <c r="U36" s="19" t="b">
        <v>0</v>
      </c>
      <c r="V36" s="13"/>
      <c r="W36" s="13"/>
    </row>
    <row r="37" spans="1:23" ht="66" x14ac:dyDescent="0.25">
      <c r="A37" s="11">
        <v>36</v>
      </c>
      <c r="B37" s="12" t="b">
        <v>1</v>
      </c>
      <c r="C37" s="12" t="s">
        <v>248</v>
      </c>
      <c r="D37" s="13" t="str">
        <f ca="1">IFERROR(__xludf.DUMMYFUNCTION("IF(NOT(ISBLANK(G37)), REGEXEXTRACT(G37, ""\)\. (.*?)\.""), """")"),"Imperative versus declarative collection processing: an RCT on the understandability of traditional loops versus the stream API in Java")</f>
        <v>Imperative versus declarative collection processing: an RCT on the understandability of traditional loops versus the stream API in Java</v>
      </c>
      <c r="E37" s="12" t="str">
        <f t="shared" si="0"/>
        <v>Mehlhorn</v>
      </c>
      <c r="F37" s="14" t="str">
        <f ca="1">IFERROR(__xludf.DUMMYFUNCTION("IF(NOT(ISBLANK(G37)), REGEXEXTRACT(G37, ""\((\d{4})""), """")"),"2022")</f>
        <v>2022</v>
      </c>
      <c r="G37" s="36" t="s">
        <v>77</v>
      </c>
      <c r="H37" s="15">
        <v>3</v>
      </c>
      <c r="I37" s="13" t="s">
        <v>25</v>
      </c>
      <c r="J37" s="13"/>
      <c r="K37" s="16" t="b">
        <v>1</v>
      </c>
      <c r="L37" s="13" t="b">
        <v>1</v>
      </c>
      <c r="M37" s="13" t="b">
        <v>1</v>
      </c>
      <c r="N37" s="13" t="b">
        <v>1</v>
      </c>
      <c r="O37" s="13" t="b">
        <v>1</v>
      </c>
      <c r="P37" s="17" t="b">
        <v>0</v>
      </c>
      <c r="Q37" s="13" t="b">
        <v>0</v>
      </c>
      <c r="R37" s="13" t="b">
        <v>0</v>
      </c>
      <c r="S37" s="13" t="b">
        <v>0</v>
      </c>
      <c r="T37" s="18" t="b">
        <f t="shared" si="1"/>
        <v>1</v>
      </c>
      <c r="U37" s="19" t="b">
        <v>0</v>
      </c>
      <c r="V37" s="13"/>
      <c r="W37" s="13"/>
    </row>
    <row r="38" spans="1:23" ht="92.4" x14ac:dyDescent="0.25">
      <c r="A38" s="11">
        <v>37</v>
      </c>
      <c r="B38" s="12" t="b">
        <v>1</v>
      </c>
      <c r="C38" s="12" t="s">
        <v>247</v>
      </c>
      <c r="D38" s="13" t="str">
        <f ca="1">IFERROR(__xludf.DUMMYFUNCTION("IF(NOT(ISBLANK(G38)), REGEXEXTRACT(G38, ""\)\. (.*?)\.""), """")"),"Do instance-level review diagrams support validation processes of cyber-physical system specifications: results from a controlled experiment")</f>
        <v>Do instance-level review diagrams support validation processes of cyber-physical system specifications: results from a controlled experiment</v>
      </c>
      <c r="E38" s="12" t="str">
        <f t="shared" si="0"/>
        <v>Daun</v>
      </c>
      <c r="F38" s="14" t="str">
        <f ca="1">IFERROR(__xludf.DUMMYFUNCTION("IF(NOT(ISBLANK(G38)), REGEXEXTRACT(G38, ""\((\d{4})""), """")"),"2020")</f>
        <v>2020</v>
      </c>
      <c r="G38" s="36" t="s">
        <v>78</v>
      </c>
      <c r="H38" s="15">
        <v>9</v>
      </c>
      <c r="I38" s="13" t="s">
        <v>25</v>
      </c>
      <c r="J38" s="13"/>
      <c r="K38" s="16" t="b">
        <v>1</v>
      </c>
      <c r="L38" s="13" t="b">
        <v>1</v>
      </c>
      <c r="M38" s="13" t="b">
        <v>1</v>
      </c>
      <c r="N38" s="13" t="b">
        <v>0</v>
      </c>
      <c r="O38" s="13" t="b">
        <v>1</v>
      </c>
      <c r="P38" s="17" t="b">
        <v>0</v>
      </c>
      <c r="Q38" s="13" t="b">
        <v>0</v>
      </c>
      <c r="R38" s="13" t="b">
        <v>1</v>
      </c>
      <c r="S38" s="13" t="b">
        <v>0</v>
      </c>
      <c r="T38" s="18" t="b">
        <f t="shared" si="1"/>
        <v>0</v>
      </c>
      <c r="U38" s="19" t="b">
        <v>1</v>
      </c>
      <c r="V38" s="13" t="s">
        <v>79</v>
      </c>
      <c r="W38" s="13" t="s">
        <v>80</v>
      </c>
    </row>
    <row r="39" spans="1:23" ht="52.8" x14ac:dyDescent="0.25">
      <c r="A39" s="11">
        <v>38</v>
      </c>
      <c r="B39" s="12" t="b">
        <v>1</v>
      </c>
      <c r="C39" s="12" t="s">
        <v>248</v>
      </c>
      <c r="D39" s="13" t="str">
        <f ca="1">IFERROR(__xludf.DUMMYFUNCTION("IF(NOT(ISBLANK(G39)), REGEXEXTRACT(G39, ""\)\. (.*?)\.""), """")"),"Using the socio chatbot for uml modeling: A second family of experiments on usability in academic settings")</f>
        <v>Using the socio chatbot for uml modeling: A second family of experiments on usability in academic settings</v>
      </c>
      <c r="E39" s="12" t="str">
        <f t="shared" si="0"/>
        <v>Ren</v>
      </c>
      <c r="F39" s="14" t="str">
        <f ca="1">IFERROR(__xludf.DUMMYFUNCTION("IF(NOT(ISBLANK(G39)), REGEXEXTRACT(G39, ""\((\d{4})""), """")"),"2022")</f>
        <v>2022</v>
      </c>
      <c r="G39" s="36" t="s">
        <v>81</v>
      </c>
      <c r="H39" s="15">
        <v>5</v>
      </c>
      <c r="I39" s="13" t="s">
        <v>25</v>
      </c>
      <c r="J39" s="13"/>
      <c r="K39" s="16" t="b">
        <v>1</v>
      </c>
      <c r="L39" s="13" t="b">
        <v>1</v>
      </c>
      <c r="M39" s="13" t="b">
        <v>1</v>
      </c>
      <c r="N39" s="13" t="b">
        <v>1</v>
      </c>
      <c r="O39" s="13" t="b">
        <v>1</v>
      </c>
      <c r="P39" s="17" t="b">
        <v>0</v>
      </c>
      <c r="Q39" s="13" t="b">
        <v>0</v>
      </c>
      <c r="R39" s="13" t="b">
        <v>0</v>
      </c>
      <c r="S39" s="13" t="b">
        <v>0</v>
      </c>
      <c r="T39" s="18" t="b">
        <f t="shared" si="1"/>
        <v>1</v>
      </c>
      <c r="U39" s="19" t="b">
        <v>0</v>
      </c>
      <c r="V39" s="13"/>
      <c r="W39" s="13"/>
    </row>
    <row r="40" spans="1:23" ht="39.6" x14ac:dyDescent="0.25">
      <c r="A40" s="11">
        <v>39</v>
      </c>
      <c r="B40" s="12" t="b">
        <v>1</v>
      </c>
      <c r="C40" s="12" t="s">
        <v>248</v>
      </c>
      <c r="D40" s="13" t="str">
        <f ca="1">IFERROR(__xludf.DUMMYFUNCTION("IF(NOT(ISBLANK(G40)), REGEXEXTRACT(G40, ""\)\. (.*?)\.""), """")"),"A Defect Detection Method for the Primary Stage of Software Development")</f>
        <v>A Defect Detection Method for the Primary Stage of Software Development</v>
      </c>
      <c r="E40" s="12" t="str">
        <f t="shared" si="0"/>
        <v>Zhi</v>
      </c>
      <c r="F40" s="14" t="str">
        <f ca="1">IFERROR(__xludf.DUMMYFUNCTION("IF(NOT(ISBLANK(G40)), REGEXEXTRACT(G40, ""\((\d{4})""), """")"),"2023")</f>
        <v>2023</v>
      </c>
      <c r="G40" s="36" t="s">
        <v>82</v>
      </c>
      <c r="H40" s="15">
        <v>2</v>
      </c>
      <c r="I40" s="13" t="s">
        <v>25</v>
      </c>
      <c r="J40" s="13"/>
      <c r="K40" s="16" t="b">
        <v>1</v>
      </c>
      <c r="L40" s="13" t="b">
        <v>1</v>
      </c>
      <c r="M40" s="13" t="b">
        <v>1</v>
      </c>
      <c r="N40" s="13" t="b">
        <v>1</v>
      </c>
      <c r="O40" s="13" t="b">
        <v>1</v>
      </c>
      <c r="P40" s="17" t="b">
        <v>0</v>
      </c>
      <c r="Q40" s="13" t="b">
        <v>0</v>
      </c>
      <c r="R40" s="13" t="b">
        <v>0</v>
      </c>
      <c r="S40" s="13" t="b">
        <v>0</v>
      </c>
      <c r="T40" s="18" t="b">
        <f t="shared" si="1"/>
        <v>1</v>
      </c>
      <c r="U40" s="19" t="b">
        <v>0</v>
      </c>
      <c r="V40" s="13"/>
      <c r="W40" s="13"/>
    </row>
    <row r="41" spans="1:23" ht="52.8" x14ac:dyDescent="0.25">
      <c r="A41" s="11">
        <v>40</v>
      </c>
      <c r="B41" s="12" t="b">
        <v>1</v>
      </c>
      <c r="C41" s="12" t="s">
        <v>247</v>
      </c>
      <c r="D41" s="13" t="str">
        <f ca="1">IFERROR(__xludf.DUMMYFUNCTION("IF(NOT(ISBLANK(G41)), REGEXEXTRACT(G41, ""\)\. (.*?)\.""), """")"),"Addressing combinatorial experiments and scarcity of subjects by provably orthogonal and crossover experimental designs")</f>
        <v>Addressing combinatorial experiments and scarcity of subjects by provably orthogonal and crossover experimental designs</v>
      </c>
      <c r="E41" s="12" t="str">
        <f t="shared" si="0"/>
        <v>Massacci</v>
      </c>
      <c r="F41" s="14" t="str">
        <f ca="1">IFERROR(__xludf.DUMMYFUNCTION("IF(NOT(ISBLANK(G41)), REGEXEXTRACT(G41, ""\((\d{4})""), """")"),"2024")</f>
        <v>2024</v>
      </c>
      <c r="G41" s="36" t="s">
        <v>83</v>
      </c>
      <c r="H41" s="15">
        <v>0</v>
      </c>
      <c r="I41" s="13" t="s">
        <v>41</v>
      </c>
      <c r="J41" s="13" t="s">
        <v>84</v>
      </c>
      <c r="K41" s="16" t="b">
        <v>1</v>
      </c>
      <c r="L41" s="13" t="b">
        <v>0</v>
      </c>
      <c r="M41" s="13" t="b">
        <v>0</v>
      </c>
      <c r="N41" s="13" t="b">
        <v>0</v>
      </c>
      <c r="O41" s="13" t="b">
        <v>0</v>
      </c>
      <c r="P41" s="17" t="b">
        <v>0</v>
      </c>
      <c r="Q41" s="13" t="b">
        <v>0</v>
      </c>
      <c r="R41" s="13" t="b">
        <v>0</v>
      </c>
      <c r="S41" s="13" t="b">
        <v>0</v>
      </c>
      <c r="T41" s="18" t="b">
        <f t="shared" si="1"/>
        <v>0</v>
      </c>
      <c r="U41" s="19" t="b">
        <v>0</v>
      </c>
      <c r="V41" s="13"/>
      <c r="W41" s="13"/>
    </row>
    <row r="42" spans="1:23" ht="52.8" x14ac:dyDescent="0.25">
      <c r="A42" s="11">
        <v>41</v>
      </c>
      <c r="B42" s="12" t="b">
        <v>1</v>
      </c>
      <c r="C42" s="12" t="s">
        <v>247</v>
      </c>
      <c r="D42" s="13" t="str">
        <f ca="1">IFERROR(__xludf.DUMMYFUNCTION("IF(NOT(ISBLANK(G42)), REGEXEXTRACT(G42, ""\)\. (.*?)\.""), """")"),"Reporting Consent, Anonymity and Confidentiality Procedures Adopted in Empirical Studies Using Human Participants")</f>
        <v>Reporting Consent, Anonymity and Confidentiality Procedures Adopted in Empirical Studies Using Human Participants</v>
      </c>
      <c r="E42" s="12" t="str">
        <f t="shared" si="0"/>
        <v>Badampudi</v>
      </c>
      <c r="F42" s="14" t="str">
        <f ca="1">IFERROR(__xludf.DUMMYFUNCTION("IF(NOT(ISBLANK(G42)), REGEXEXTRACT(G42, ""\((\d{4})""), """")"),"2022")</f>
        <v>2022</v>
      </c>
      <c r="G42" s="36" t="s">
        <v>85</v>
      </c>
      <c r="H42" s="15">
        <v>6</v>
      </c>
      <c r="I42" s="13" t="s">
        <v>41</v>
      </c>
      <c r="J42" s="13"/>
      <c r="K42" s="16" t="b">
        <v>1</v>
      </c>
      <c r="L42" s="13" t="b">
        <v>0</v>
      </c>
      <c r="M42" s="13" t="b">
        <v>0</v>
      </c>
      <c r="N42" s="13" t="b">
        <v>0</v>
      </c>
      <c r="O42" s="13" t="b">
        <v>0</v>
      </c>
      <c r="P42" s="17" t="b">
        <v>0</v>
      </c>
      <c r="Q42" s="13" t="b">
        <v>0</v>
      </c>
      <c r="R42" s="13" t="b">
        <v>0</v>
      </c>
      <c r="S42" s="13" t="b">
        <v>0</v>
      </c>
      <c r="T42" s="18" t="b">
        <f t="shared" si="1"/>
        <v>0</v>
      </c>
      <c r="U42" s="19" t="b">
        <v>0</v>
      </c>
      <c r="V42" s="13"/>
      <c r="W42" s="13"/>
    </row>
    <row r="43" spans="1:23" ht="39.6" x14ac:dyDescent="0.25">
      <c r="A43" s="11">
        <v>42</v>
      </c>
      <c r="B43" s="12" t="b">
        <v>1</v>
      </c>
      <c r="C43" s="12" t="s">
        <v>248</v>
      </c>
      <c r="D43" s="13" t="str">
        <f ca="1">IFERROR(__xludf.DUMMYFUNCTION("IF(NOT(ISBLANK(G43)), REGEXEXTRACT(G43, ""\)\. (.*?)\.""), """")"),"When details are difficult to portray: enriching vision videos")</f>
        <v>When details are difficult to portray: enriching vision videos</v>
      </c>
      <c r="E43" s="12" t="str">
        <f t="shared" si="0"/>
        <v>Nagel</v>
      </c>
      <c r="F43" s="14" t="str">
        <f ca="1">IFERROR(__xludf.DUMMYFUNCTION("IF(NOT(ISBLANK(G43)), REGEXEXTRACT(G43, ""\((\d{4})""), """")"),"2023")</f>
        <v>2023</v>
      </c>
      <c r="G43" s="36" t="s">
        <v>86</v>
      </c>
      <c r="H43" s="15">
        <v>0</v>
      </c>
      <c r="I43" s="13" t="s">
        <v>25</v>
      </c>
      <c r="J43" s="13"/>
      <c r="K43" s="16" t="b">
        <v>1</v>
      </c>
      <c r="L43" s="13" t="b">
        <v>1</v>
      </c>
      <c r="M43" s="13" t="b">
        <v>1</v>
      </c>
      <c r="N43" s="13" t="b">
        <v>0</v>
      </c>
      <c r="O43" s="13" t="b">
        <v>1</v>
      </c>
      <c r="P43" s="17" t="b">
        <v>0</v>
      </c>
      <c r="Q43" s="13" t="b">
        <v>0</v>
      </c>
      <c r="R43" s="13" t="b">
        <v>0</v>
      </c>
      <c r="S43" s="13" t="b">
        <v>0</v>
      </c>
      <c r="T43" s="18" t="b">
        <f t="shared" si="1"/>
        <v>0</v>
      </c>
      <c r="U43" s="19" t="b">
        <v>0</v>
      </c>
      <c r="V43" s="13"/>
      <c r="W43" s="13"/>
    </row>
    <row r="44" spans="1:23" ht="66" x14ac:dyDescent="0.25">
      <c r="A44" s="11">
        <v>43</v>
      </c>
      <c r="B44" s="12" t="b">
        <v>1</v>
      </c>
      <c r="C44" s="12" t="s">
        <v>248</v>
      </c>
      <c r="D44" s="13" t="str">
        <f ca="1">IFERROR(__xludf.DUMMYFUNCTION("IF(NOT(ISBLANK(G44)), REGEXEXTRACT(G44, ""\)\. (.*?)\.""), """")"),"The effect of noise on software engineers' performance")</f>
        <v>The effect of noise on software engineers' performance</v>
      </c>
      <c r="E44" s="12" t="str">
        <f t="shared" si="0"/>
        <v>Romano</v>
      </c>
      <c r="F44" s="14" t="str">
        <f ca="1">IFERROR(__xludf.DUMMYFUNCTION("IF(NOT(ISBLANK(G44)), REGEXEXTRACT(G44, ""\((\d{4})""), """")"),"2018")</f>
        <v>2018</v>
      </c>
      <c r="G44" s="36" t="s">
        <v>87</v>
      </c>
      <c r="H44" s="15">
        <v>18</v>
      </c>
      <c r="I44" s="13" t="s">
        <v>25</v>
      </c>
      <c r="J44" s="13"/>
      <c r="K44" s="16" t="b">
        <v>1</v>
      </c>
      <c r="L44" s="13" t="b">
        <v>1</v>
      </c>
      <c r="M44" s="13" t="b">
        <v>1</v>
      </c>
      <c r="N44" s="13" t="b">
        <v>1</v>
      </c>
      <c r="O44" s="13" t="b">
        <v>1</v>
      </c>
      <c r="P44" s="17" t="b">
        <v>0</v>
      </c>
      <c r="Q44" s="13" t="b">
        <v>0</v>
      </c>
      <c r="R44" s="13" t="b">
        <v>0</v>
      </c>
      <c r="S44" s="13" t="b">
        <v>0</v>
      </c>
      <c r="T44" s="18" t="b">
        <f t="shared" si="1"/>
        <v>1</v>
      </c>
      <c r="U44" s="19" t="b">
        <v>0</v>
      </c>
      <c r="V44" s="13"/>
      <c r="W44" s="13"/>
    </row>
    <row r="45" spans="1:23" ht="66" x14ac:dyDescent="0.25">
      <c r="A45" s="11">
        <v>44</v>
      </c>
      <c r="B45" s="12" t="b">
        <v>1</v>
      </c>
      <c r="C45" s="12" t="s">
        <v>247</v>
      </c>
      <c r="D45" s="13" t="str">
        <f ca="1">IFERROR(__xludf.DUMMYFUNCTION("IF(NOT(ISBLANK(G45)), REGEXEXTRACT(G45, ""\)\. (.*?)\.""), """")"),"Reconciliation of scrum and the project management process of the ISO/IEC 29110 standard-Entry profile—an experimental evaluation through usability measures")</f>
        <v>Reconciliation of scrum and the project management process of the ISO/IEC 29110 standard-Entry profile—an experimental evaluation through usability measures</v>
      </c>
      <c r="E45" s="12" t="str">
        <f t="shared" si="0"/>
        <v>Galvan-Cruz</v>
      </c>
      <c r="F45" s="14" t="str">
        <f ca="1">IFERROR(__xludf.DUMMYFUNCTION("IF(NOT(ISBLANK(G45)), REGEXEXTRACT(G45, ""\((\d{4})""), """")"),"2021")</f>
        <v>2021</v>
      </c>
      <c r="G45" s="36" t="s">
        <v>88</v>
      </c>
      <c r="H45" s="15">
        <v>8</v>
      </c>
      <c r="I45" s="13" t="s">
        <v>25</v>
      </c>
      <c r="J45" s="13"/>
      <c r="K45" s="16" t="b">
        <v>1</v>
      </c>
      <c r="L45" s="13" t="b">
        <v>1</v>
      </c>
      <c r="M45" s="13" t="b">
        <v>1</v>
      </c>
      <c r="N45" s="13" t="b">
        <v>1</v>
      </c>
      <c r="O45" s="13" t="b">
        <v>1</v>
      </c>
      <c r="P45" s="17" t="b">
        <v>0</v>
      </c>
      <c r="Q45" s="13" t="b">
        <v>0</v>
      </c>
      <c r="R45" s="13" t="b">
        <v>0</v>
      </c>
      <c r="S45" s="13" t="b">
        <v>0</v>
      </c>
      <c r="T45" s="18" t="b">
        <f t="shared" si="1"/>
        <v>1</v>
      </c>
      <c r="U45" s="19" t="b">
        <v>0</v>
      </c>
      <c r="V45" s="13"/>
      <c r="W45" s="13"/>
    </row>
    <row r="46" spans="1:23" ht="52.8" x14ac:dyDescent="0.25">
      <c r="A46" s="11">
        <v>45</v>
      </c>
      <c r="B46" s="12" t="b">
        <v>1</v>
      </c>
      <c r="C46" s="12" t="s">
        <v>248</v>
      </c>
      <c r="D46" s="13" t="str">
        <f ca="1">IFERROR(__xludf.DUMMYFUNCTION("IF(NOT(ISBLANK(G46)), REGEXEXTRACT(G46, ""\)\. (.*?)\.""), """")"),"Aspectocl: using aspects to ease maintenance of evolving constraint specification")</f>
        <v>Aspectocl: using aspects to ease maintenance of evolving constraint specification</v>
      </c>
      <c r="E46" s="12" t="str">
        <f t="shared" si="0"/>
        <v>Khan</v>
      </c>
      <c r="F46" s="14" t="str">
        <f ca="1">IFERROR(__xludf.DUMMYFUNCTION("IF(NOT(ISBLANK(G46)), REGEXEXTRACT(G46, ""\((\d{4})""), """")"),"2019")</f>
        <v>2019</v>
      </c>
      <c r="G46" s="36" t="s">
        <v>89</v>
      </c>
      <c r="H46" s="15">
        <v>13</v>
      </c>
      <c r="I46" s="13" t="s">
        <v>25</v>
      </c>
      <c r="J46" s="13"/>
      <c r="K46" s="16" t="b">
        <v>1</v>
      </c>
      <c r="L46" s="13" t="b">
        <v>1</v>
      </c>
      <c r="M46" s="13" t="b">
        <v>1</v>
      </c>
      <c r="N46" s="13" t="b">
        <v>1</v>
      </c>
      <c r="O46" s="13" t="b">
        <v>1</v>
      </c>
      <c r="P46" s="17" t="b">
        <v>0</v>
      </c>
      <c r="Q46" s="13" t="b">
        <v>0</v>
      </c>
      <c r="R46" s="13" t="b">
        <v>0</v>
      </c>
      <c r="S46" s="13" t="b">
        <v>0</v>
      </c>
      <c r="T46" s="18" t="b">
        <f t="shared" si="1"/>
        <v>1</v>
      </c>
      <c r="U46" s="19" t="b">
        <v>0</v>
      </c>
      <c r="V46" s="13"/>
      <c r="W46" s="13"/>
    </row>
    <row r="47" spans="1:23" ht="66" x14ac:dyDescent="0.25">
      <c r="A47" s="11">
        <v>46</v>
      </c>
      <c r="B47" s="12" t="b">
        <v>1</v>
      </c>
      <c r="C47" s="12" t="s">
        <v>247</v>
      </c>
      <c r="D47" s="13" t="str">
        <f ca="1">IFERROR(__xludf.DUMMYFUNCTION("IF(NOT(ISBLANK(G47)), REGEXEXTRACT(G47, ""\)\. (.*?)\.""), """")"),"On the impact of using different templates on creating and understanding user stories")</f>
        <v>On the impact of using different templates on creating and understanding user stories</v>
      </c>
      <c r="E47" s="12" t="str">
        <f t="shared" si="0"/>
        <v>Gralha</v>
      </c>
      <c r="F47" s="14" t="str">
        <f ca="1">IFERROR(__xludf.DUMMYFUNCTION("IF(NOT(ISBLANK(G47)), REGEXEXTRACT(G47, ""\((\d{4})""), """")"),"2021")</f>
        <v>2021</v>
      </c>
      <c r="G47" s="36" t="s">
        <v>90</v>
      </c>
      <c r="H47" s="15">
        <v>6</v>
      </c>
      <c r="I47" s="13" t="s">
        <v>25</v>
      </c>
      <c r="J47" s="13"/>
      <c r="K47" s="16" t="b">
        <v>1</v>
      </c>
      <c r="L47" s="13" t="b">
        <v>1</v>
      </c>
      <c r="M47" s="13" t="b">
        <v>1</v>
      </c>
      <c r="N47" s="13" t="b">
        <v>0</v>
      </c>
      <c r="O47" s="13" t="b">
        <v>1</v>
      </c>
      <c r="P47" s="17" t="b">
        <v>0</v>
      </c>
      <c r="Q47" s="13" t="b">
        <v>0</v>
      </c>
      <c r="R47" s="13" t="b">
        <v>1</v>
      </c>
      <c r="S47" s="13" t="b">
        <v>0</v>
      </c>
      <c r="T47" s="18" t="b">
        <f t="shared" si="1"/>
        <v>0</v>
      </c>
      <c r="U47" s="19" t="b">
        <v>0</v>
      </c>
      <c r="V47" s="13" t="s">
        <v>91</v>
      </c>
      <c r="W47" s="13"/>
    </row>
    <row r="48" spans="1:23" ht="52.8" x14ac:dyDescent="0.25">
      <c r="A48" s="11">
        <v>47</v>
      </c>
      <c r="B48" s="12" t="b">
        <v>1</v>
      </c>
      <c r="C48" s="12" t="s">
        <v>248</v>
      </c>
      <c r="D48" s="13" t="str">
        <f ca="1">IFERROR(__xludf.DUMMYFUNCTION("IF(NOT(ISBLANK(G48)), REGEXEXTRACT(G48, ""\)\. (.*?)\.""), """")"),"Two N-of-1 self-trials on readability differences between anonymous inner classes (AICs) and lambda expressions (LEs) on Java code snippets")</f>
        <v>Two N-of-1 self-trials on readability differences between anonymous inner classes (AICs) and lambda expressions (LEs) on Java code snippets</v>
      </c>
      <c r="E48" s="12" t="str">
        <f t="shared" si="0"/>
        <v>Hanenberg</v>
      </c>
      <c r="F48" s="14" t="str">
        <f ca="1">IFERROR(__xludf.DUMMYFUNCTION("IF(NOT(ISBLANK(G48)), REGEXEXTRACT(G48, ""\((\d{4})""), """")"),"2022")</f>
        <v>2022</v>
      </c>
      <c r="G48" s="36" t="s">
        <v>92</v>
      </c>
      <c r="H48" s="15">
        <v>5</v>
      </c>
      <c r="I48" s="13" t="s">
        <v>25</v>
      </c>
      <c r="J48" s="13"/>
      <c r="K48" s="16" t="b">
        <v>1</v>
      </c>
      <c r="L48" s="13" t="b">
        <v>1</v>
      </c>
      <c r="M48" s="13" t="b">
        <v>1</v>
      </c>
      <c r="N48" s="13" t="b">
        <v>0</v>
      </c>
      <c r="O48" s="13" t="b">
        <v>1</v>
      </c>
      <c r="P48" s="17" t="b">
        <v>0</v>
      </c>
      <c r="Q48" s="13" t="b">
        <v>0</v>
      </c>
      <c r="R48" s="13" t="b">
        <v>0</v>
      </c>
      <c r="S48" s="13" t="b">
        <v>0</v>
      </c>
      <c r="T48" s="18" t="b">
        <f t="shared" si="1"/>
        <v>0</v>
      </c>
      <c r="U48" s="19" t="b">
        <v>0</v>
      </c>
      <c r="V48" s="13"/>
      <c r="W48" s="13"/>
    </row>
    <row r="49" spans="1:23" ht="39.6" x14ac:dyDescent="0.25">
      <c r="A49" s="11">
        <v>48</v>
      </c>
      <c r="B49" s="12" t="b">
        <v>1</v>
      </c>
      <c r="C49" s="12" t="s">
        <v>248</v>
      </c>
      <c r="D49" s="13" t="str">
        <f ca="1">IFERROR(__xludf.DUMMYFUNCTION("IF(NOT(ISBLANK(G49)), REGEXEXTRACT(G49, ""\)\. (.*?)\.""), """")"),"Increasing validity through replication: an illustrative TDD case")</f>
        <v>Increasing validity through replication: an illustrative TDD case</v>
      </c>
      <c r="E49" s="12" t="str">
        <f t="shared" si="0"/>
        <v>Santos</v>
      </c>
      <c r="F49" s="14" t="str">
        <f ca="1">IFERROR(__xludf.DUMMYFUNCTION("IF(NOT(ISBLANK(G49)), REGEXEXTRACT(G49, ""\((\d{4})""), """")"),"2020")</f>
        <v>2020</v>
      </c>
      <c r="G49" s="36" t="s">
        <v>93</v>
      </c>
      <c r="H49" s="15">
        <v>9</v>
      </c>
      <c r="I49" s="13" t="s">
        <v>25</v>
      </c>
      <c r="J49" s="13"/>
      <c r="K49" s="16" t="b">
        <v>1</v>
      </c>
      <c r="L49" s="13" t="b">
        <v>1</v>
      </c>
      <c r="M49" s="13" t="b">
        <v>1</v>
      </c>
      <c r="N49" s="13" t="b">
        <v>1</v>
      </c>
      <c r="O49" s="13" t="b">
        <v>1</v>
      </c>
      <c r="P49" s="17" t="b">
        <v>0</v>
      </c>
      <c r="Q49" s="13" t="b">
        <v>0</v>
      </c>
      <c r="R49" s="13" t="b">
        <v>0</v>
      </c>
      <c r="S49" s="13" t="b">
        <v>0</v>
      </c>
      <c r="T49" s="18" t="b">
        <f t="shared" si="1"/>
        <v>1</v>
      </c>
      <c r="U49" s="19" t="b">
        <v>0</v>
      </c>
      <c r="V49" s="13"/>
      <c r="W49" s="13"/>
    </row>
    <row r="50" spans="1:23" ht="52.8" x14ac:dyDescent="0.25">
      <c r="A50" s="11">
        <v>49</v>
      </c>
      <c r="B50" s="12" t="b">
        <v>1</v>
      </c>
      <c r="C50" s="12" t="s">
        <v>248</v>
      </c>
      <c r="D50" s="13" t="str">
        <f ca="1">IFERROR(__xludf.DUMMYFUNCTION("IF(NOT(ISBLANK(G50)), REGEXEXTRACT(G50, ""\)\. (.*?)\.""), """")"),"Affective reactions and test-driven development: Results from three experiments and a survey")</f>
        <v>Affective reactions and test-driven development: Results from three experiments and a survey</v>
      </c>
      <c r="E50" s="12" t="str">
        <f t="shared" si="0"/>
        <v>Baldassarre</v>
      </c>
      <c r="F50" s="14" t="str">
        <f ca="1">IFERROR(__xludf.DUMMYFUNCTION("IF(NOT(ISBLANK(G50)), REGEXEXTRACT(G50, ""\((\d{4})""), """")"),"2022")</f>
        <v>2022</v>
      </c>
      <c r="G50" s="36" t="s">
        <v>94</v>
      </c>
      <c r="H50" s="15">
        <v>5</v>
      </c>
      <c r="I50" s="13" t="s">
        <v>25</v>
      </c>
      <c r="J50" s="13"/>
      <c r="K50" s="16" t="b">
        <v>1</v>
      </c>
      <c r="L50" s="13" t="b">
        <v>1</v>
      </c>
      <c r="M50" s="13" t="b">
        <v>1</v>
      </c>
      <c r="N50" s="13" t="b">
        <v>1</v>
      </c>
      <c r="O50" s="13" t="b">
        <v>1</v>
      </c>
      <c r="P50" s="17" t="b">
        <v>0</v>
      </c>
      <c r="Q50" s="13" t="b">
        <v>0</v>
      </c>
      <c r="R50" s="13" t="b">
        <v>0</v>
      </c>
      <c r="S50" s="13" t="b">
        <v>0</v>
      </c>
      <c r="T50" s="18" t="b">
        <f t="shared" si="1"/>
        <v>1</v>
      </c>
      <c r="U50" s="19" t="b">
        <v>0</v>
      </c>
      <c r="V50" s="13" t="s">
        <v>95</v>
      </c>
      <c r="W50" s="13"/>
    </row>
    <row r="51" spans="1:23" ht="66" x14ac:dyDescent="0.25">
      <c r="A51" s="11">
        <v>50</v>
      </c>
      <c r="B51" s="12" t="b">
        <v>1</v>
      </c>
      <c r="C51" s="12" t="s">
        <v>247</v>
      </c>
      <c r="D51" s="13" t="str">
        <f ca="1">IFERROR(__xludf.DUMMYFUNCTION("IF(NOT(ISBLANK(G51)), REGEXEXTRACT(G51, ""\)\. (.*?)\.""), """")"),"Comparing software product lines and Clone and Own for game software engineering under two paradigms: Model-driven development and code-driven development")</f>
        <v>Comparing software product lines and Clone and Own for game software engineering under two paradigms: Model-driven development and code-driven development</v>
      </c>
      <c r="E51" s="12" t="str">
        <f t="shared" si="0"/>
        <v>Chueca</v>
      </c>
      <c r="F51" s="14" t="str">
        <f ca="1">IFERROR(__xludf.DUMMYFUNCTION("IF(NOT(ISBLANK(G51)), REGEXEXTRACT(G51, ""\((\d{4})""), """")"),"2023")</f>
        <v>2023</v>
      </c>
      <c r="G51" s="36" t="s">
        <v>96</v>
      </c>
      <c r="H51" s="15">
        <v>0</v>
      </c>
      <c r="I51" s="13" t="s">
        <v>25</v>
      </c>
      <c r="J51" s="13"/>
      <c r="K51" s="16" t="b">
        <v>1</v>
      </c>
      <c r="L51" s="13" t="b">
        <v>1</v>
      </c>
      <c r="M51" s="13" t="b">
        <v>1</v>
      </c>
      <c r="N51" s="13" t="b">
        <v>1</v>
      </c>
      <c r="O51" s="13" t="b">
        <v>1</v>
      </c>
      <c r="P51" s="17" t="b">
        <v>0</v>
      </c>
      <c r="Q51" s="13" t="b">
        <v>0</v>
      </c>
      <c r="R51" s="13" t="b">
        <v>0</v>
      </c>
      <c r="S51" s="13" t="b">
        <v>0</v>
      </c>
      <c r="T51" s="18" t="b">
        <f t="shared" si="1"/>
        <v>1</v>
      </c>
      <c r="U51" s="19" t="b">
        <v>0</v>
      </c>
      <c r="V51" s="13"/>
      <c r="W51" s="13"/>
    </row>
    <row r="52" spans="1:23" ht="66" x14ac:dyDescent="0.25">
      <c r="A52" s="11">
        <v>51</v>
      </c>
      <c r="B52" s="12" t="b">
        <v>1</v>
      </c>
      <c r="C52" s="12" t="s">
        <v>247</v>
      </c>
      <c r="D52" s="13" t="str">
        <f ca="1">IFERROR(__xludf.DUMMYFUNCTION("IF(NOT(ISBLANK(G52)), REGEXEXTRACT(G52, ""\)\. (.*?)\.""), """")"),"Statistical errors in software engineering experiments: A preliminary literature review")</f>
        <v>Statistical errors in software engineering experiments: A preliminary literature review</v>
      </c>
      <c r="E52" s="12" t="str">
        <f t="shared" si="0"/>
        <v>Reyes</v>
      </c>
      <c r="F52" s="14" t="str">
        <f ca="1">IFERROR(__xludf.DUMMYFUNCTION("IF(NOT(ISBLANK(G52)), REGEXEXTRACT(G52, ""\((\d{4})""), """")"),"2018")</f>
        <v>2018</v>
      </c>
      <c r="G52" s="36" t="s">
        <v>97</v>
      </c>
      <c r="H52" s="15">
        <v>16</v>
      </c>
      <c r="I52" s="13" t="s">
        <v>41</v>
      </c>
      <c r="J52" s="13" t="s">
        <v>98</v>
      </c>
      <c r="K52" s="16" t="b">
        <v>1</v>
      </c>
      <c r="L52" s="13" t="b">
        <v>0</v>
      </c>
      <c r="M52" s="13" t="b">
        <v>0</v>
      </c>
      <c r="N52" s="13" t="b">
        <v>0</v>
      </c>
      <c r="O52" s="13" t="b">
        <v>0</v>
      </c>
      <c r="P52" s="17" t="b">
        <v>0</v>
      </c>
      <c r="Q52" s="13" t="b">
        <v>0</v>
      </c>
      <c r="R52" s="13" t="b">
        <v>0</v>
      </c>
      <c r="S52" s="13" t="b">
        <v>0</v>
      </c>
      <c r="T52" s="18" t="b">
        <f t="shared" si="1"/>
        <v>0</v>
      </c>
      <c r="U52" s="19" t="b">
        <v>0</v>
      </c>
      <c r="V52" s="13"/>
      <c r="W52" s="13"/>
    </row>
    <row r="53" spans="1:23" ht="52.8" x14ac:dyDescent="0.25">
      <c r="A53" s="11">
        <v>52</v>
      </c>
      <c r="B53" s="12" t="b">
        <v>1</v>
      </c>
      <c r="C53" s="12" t="s">
        <v>247</v>
      </c>
      <c r="D53" s="13" t="str">
        <f ca="1">IFERROR(__xludf.DUMMYFUNCTION("IF(NOT(ISBLANK(G53)), REGEXEXTRACT(G53, ""\)\. (.*?)\.""), """")"),"Assessing user stories: the influence of template differences and gender-related problem-solving styles")</f>
        <v>Assessing user stories: the influence of template differences and gender-related problem-solving styles</v>
      </c>
      <c r="E53" s="12" t="str">
        <f t="shared" si="0"/>
        <v>Gralha</v>
      </c>
      <c r="F53" s="14" t="str">
        <f ca="1">IFERROR(__xludf.DUMMYFUNCTION("IF(NOT(ISBLANK(G53)), REGEXEXTRACT(G53, ""\((\d{4})""), """")"),"2022")</f>
        <v>2022</v>
      </c>
      <c r="G53" s="36" t="s">
        <v>99</v>
      </c>
      <c r="H53" s="15">
        <v>0</v>
      </c>
      <c r="I53" s="13" t="s">
        <v>25</v>
      </c>
      <c r="J53" s="13"/>
      <c r="K53" s="16" t="b">
        <v>1</v>
      </c>
      <c r="L53" s="13" t="b">
        <v>1</v>
      </c>
      <c r="M53" s="13" t="b">
        <v>1</v>
      </c>
      <c r="N53" s="13" t="b">
        <v>0</v>
      </c>
      <c r="O53" s="13" t="b">
        <v>1</v>
      </c>
      <c r="P53" s="17" t="b">
        <v>0</v>
      </c>
      <c r="Q53" s="13" t="b">
        <v>0</v>
      </c>
      <c r="R53" s="13" t="b">
        <v>0</v>
      </c>
      <c r="S53" s="13" t="b">
        <v>0</v>
      </c>
      <c r="T53" s="18" t="b">
        <f t="shared" si="1"/>
        <v>0</v>
      </c>
      <c r="U53" s="19" t="b">
        <v>0</v>
      </c>
      <c r="V53" s="13" t="s">
        <v>100</v>
      </c>
      <c r="W53" s="13"/>
    </row>
    <row r="54" spans="1:23" ht="66" x14ac:dyDescent="0.25">
      <c r="A54" s="11">
        <v>53</v>
      </c>
      <c r="B54" s="12" t="b">
        <v>1</v>
      </c>
      <c r="C54" s="12" t="s">
        <v>248</v>
      </c>
      <c r="D54" s="13" t="str">
        <f ca="1">IFERROR(__xludf.DUMMYFUNCTION("IF(NOT(ISBLANK(G54)), REGEXEXTRACT(G54, ""\)\. (.*?)\.""), """")"),"Investigating the impact of development task on external quality in test-driven development: An industry experiment")</f>
        <v>Investigating the impact of development task on external quality in test-driven development: An industry experiment</v>
      </c>
      <c r="E54" s="12" t="str">
        <f t="shared" si="0"/>
        <v>Tosun</v>
      </c>
      <c r="F54" s="14" t="str">
        <f ca="1">IFERROR(__xludf.DUMMYFUNCTION("IF(NOT(ISBLANK(G54)), REGEXEXTRACT(G54, ""\((\d{4})""), """")"),"2019")</f>
        <v>2019</v>
      </c>
      <c r="G54" s="36" t="s">
        <v>101</v>
      </c>
      <c r="H54" s="15">
        <v>9</v>
      </c>
      <c r="I54" s="13" t="s">
        <v>25</v>
      </c>
      <c r="J54" s="13"/>
      <c r="K54" s="16" t="b">
        <v>1</v>
      </c>
      <c r="L54" s="13" t="b">
        <v>1</v>
      </c>
      <c r="M54" s="13" t="b">
        <v>1</v>
      </c>
      <c r="N54" s="13" t="b">
        <v>1</v>
      </c>
      <c r="O54" s="13" t="b">
        <v>1</v>
      </c>
      <c r="P54" s="17" t="b">
        <v>0</v>
      </c>
      <c r="Q54" s="13" t="b">
        <v>0</v>
      </c>
      <c r="R54" s="13" t="b">
        <v>0</v>
      </c>
      <c r="S54" s="13" t="b">
        <v>0</v>
      </c>
      <c r="T54" s="18" t="b">
        <f t="shared" si="1"/>
        <v>1</v>
      </c>
      <c r="U54" s="19" t="b">
        <v>0</v>
      </c>
      <c r="V54" s="13"/>
      <c r="W54" s="13"/>
    </row>
    <row r="55" spans="1:23" ht="66" x14ac:dyDescent="0.25">
      <c r="A55" s="11">
        <v>54</v>
      </c>
      <c r="B55" s="12" t="b">
        <v>1</v>
      </c>
      <c r="C55" s="12" t="s">
        <v>247</v>
      </c>
      <c r="D55" s="13" t="str">
        <f ca="1">IFERROR(__xludf.DUMMYFUNCTION("IF(NOT(ISBLANK(G55)), REGEXEXTRACT(G55, ""\)\. (.*?)\.""), """")"),"Case model landscapes: toward an improved representation of knowledge-intensive processes using the fCM-language")</f>
        <v>Case model landscapes: toward an improved representation of knowledge-intensive processes using the fCM-language</v>
      </c>
      <c r="E55" s="12" t="str">
        <f t="shared" si="0"/>
        <v>Gonzalez-Lopez</v>
      </c>
      <c r="F55" s="14" t="str">
        <f ca="1">IFERROR(__xludf.DUMMYFUNCTION("IF(NOT(ISBLANK(G55)), REGEXEXTRACT(G55, ""\((\d{4})""), """")"),"2021")</f>
        <v>2021</v>
      </c>
      <c r="G55" s="36" t="s">
        <v>102</v>
      </c>
      <c r="H55" s="15">
        <v>6</v>
      </c>
      <c r="I55" s="13" t="s">
        <v>25</v>
      </c>
      <c r="J55" s="13"/>
      <c r="K55" s="16" t="b">
        <v>1</v>
      </c>
      <c r="L55" s="13" t="b">
        <v>1</v>
      </c>
      <c r="M55" s="13" t="b">
        <v>1</v>
      </c>
      <c r="N55" s="13" t="b">
        <v>1</v>
      </c>
      <c r="O55" s="13" t="b">
        <v>1</v>
      </c>
      <c r="P55" s="17" t="b">
        <v>0</v>
      </c>
      <c r="Q55" s="13" t="b">
        <v>0</v>
      </c>
      <c r="R55" s="13" t="b">
        <v>0</v>
      </c>
      <c r="S55" s="13" t="b">
        <v>0</v>
      </c>
      <c r="T55" s="18" t="b">
        <f t="shared" si="1"/>
        <v>1</v>
      </c>
      <c r="U55" s="19" t="b">
        <v>0</v>
      </c>
      <c r="V55" s="13"/>
      <c r="W55" s="13"/>
    </row>
    <row r="56" spans="1:23" ht="39.6" x14ac:dyDescent="0.25">
      <c r="A56" s="11">
        <v>55</v>
      </c>
      <c r="B56" s="12" t="b">
        <v>1</v>
      </c>
      <c r="C56" s="12" t="s">
        <v>248</v>
      </c>
      <c r="D56" s="13" t="str">
        <f ca="1">IFERROR(__xludf.DUMMYFUNCTION("IF(NOT(ISBLANK(G56)), REGEXEXTRACT(G56, ""\)\. (.*?)\.""), """")"),"On Effectiveness and Efficiency of Gamified Exploratory GUI Testing")</f>
        <v>On Effectiveness and Efficiency of Gamified Exploratory GUI Testing</v>
      </c>
      <c r="E56" s="12" t="str">
        <f t="shared" si="0"/>
        <v>Coppola</v>
      </c>
      <c r="F56" s="14" t="str">
        <f ca="1">IFERROR(__xludf.DUMMYFUNCTION("IF(NOT(ISBLANK(G56)), REGEXEXTRACT(G56, ""\((\d{4})""), """")"),"2023")</f>
        <v>2023</v>
      </c>
      <c r="G56" s="36" t="s">
        <v>103</v>
      </c>
      <c r="H56" s="15">
        <v>0</v>
      </c>
      <c r="I56" s="13" t="s">
        <v>25</v>
      </c>
      <c r="J56" s="13"/>
      <c r="K56" s="16" t="b">
        <v>1</v>
      </c>
      <c r="L56" s="13" t="b">
        <v>1</v>
      </c>
      <c r="M56" s="13" t="b">
        <v>1</v>
      </c>
      <c r="N56" s="13" t="b">
        <v>1</v>
      </c>
      <c r="O56" s="13" t="b">
        <v>1</v>
      </c>
      <c r="P56" s="17" t="b">
        <v>0</v>
      </c>
      <c r="Q56" s="13" t="b">
        <v>0</v>
      </c>
      <c r="R56" s="13" t="b">
        <v>0</v>
      </c>
      <c r="S56" s="13" t="b">
        <v>0</v>
      </c>
      <c r="T56" s="18" t="b">
        <f t="shared" si="1"/>
        <v>1</v>
      </c>
      <c r="U56" s="19" t="b">
        <v>0</v>
      </c>
      <c r="V56" s="13"/>
      <c r="W56" s="13"/>
    </row>
    <row r="57" spans="1:23" ht="52.8" x14ac:dyDescent="0.25">
      <c r="A57" s="11">
        <v>56</v>
      </c>
      <c r="B57" s="12" t="b">
        <v>1</v>
      </c>
      <c r="C57" s="12" t="s">
        <v>247</v>
      </c>
      <c r="D57" s="13" t="str">
        <f ca="1">IFERROR(__xludf.DUMMYFUNCTION("IF(NOT(ISBLANK(G57)), REGEXEXTRACT(G57, ""\)\. (.*?)\.""), """")"),"An empirical evaluation of RAIDE: A semi-automated approach for test smells detection and refactoring")</f>
        <v>An empirical evaluation of RAIDE: A semi-automated approach for test smells detection and refactoring</v>
      </c>
      <c r="E57" s="12" t="str">
        <f t="shared" si="0"/>
        <v>Santana</v>
      </c>
      <c r="F57" s="14" t="str">
        <f ca="1">IFERROR(__xludf.DUMMYFUNCTION("IF(NOT(ISBLANK(G57)), REGEXEXTRACT(G57, ""\((\d{4})""), """")"),"2024")</f>
        <v>2024</v>
      </c>
      <c r="G57" s="36" t="s">
        <v>104</v>
      </c>
      <c r="H57" s="15">
        <v>0</v>
      </c>
      <c r="I57" s="13" t="s">
        <v>25</v>
      </c>
      <c r="J57" s="13"/>
      <c r="K57" s="16" t="b">
        <v>1</v>
      </c>
      <c r="L57" s="13" t="b">
        <v>1</v>
      </c>
      <c r="M57" s="13" t="b">
        <v>1</v>
      </c>
      <c r="N57" s="13" t="b">
        <v>1</v>
      </c>
      <c r="O57" s="13" t="b">
        <v>1</v>
      </c>
      <c r="P57" s="17" t="b">
        <v>0</v>
      </c>
      <c r="Q57" s="13" t="b">
        <v>0</v>
      </c>
      <c r="R57" s="13" t="b">
        <v>0</v>
      </c>
      <c r="S57" s="13" t="b">
        <v>0</v>
      </c>
      <c r="T57" s="18" t="b">
        <f t="shared" si="1"/>
        <v>1</v>
      </c>
      <c r="U57" s="19" t="b">
        <v>0</v>
      </c>
      <c r="V57" s="13"/>
      <c r="W57" s="13"/>
    </row>
    <row r="58" spans="1:23" ht="66" x14ac:dyDescent="0.25">
      <c r="A58" s="11">
        <v>57</v>
      </c>
      <c r="B58" s="12" t="b">
        <v>1</v>
      </c>
      <c r="C58" s="12" t="s">
        <v>248</v>
      </c>
      <c r="D58" s="13" t="str">
        <f ca="1">IFERROR(__xludf.DUMMYFUNCTION("IF(NOT(ISBLANK(G58)), REGEXEXTRACT(G58, ""\)\. (.*?)\.""), """")"),"Does the Stream API Benefit from Special Debugging Facilities? A Controlled Experiment on Loops and Streams with Specific Debuggers")</f>
        <v>Does the Stream API Benefit from Special Debugging Facilities? A Controlled Experiment on Loops and Streams with Specific Debuggers</v>
      </c>
      <c r="E58" s="12" t="str">
        <f t="shared" si="0"/>
        <v>Reichl</v>
      </c>
      <c r="F58" s="14" t="str">
        <f ca="1">IFERROR(__xludf.DUMMYFUNCTION("IF(NOT(ISBLANK(G58)), REGEXEXTRACT(G58, ""\((\d{4})""), """")"),"2023")</f>
        <v>2023</v>
      </c>
      <c r="G58" s="36" t="s">
        <v>105</v>
      </c>
      <c r="H58" s="15">
        <v>0</v>
      </c>
      <c r="I58" s="13" t="s">
        <v>25</v>
      </c>
      <c r="J58" s="13"/>
      <c r="K58" s="16" t="b">
        <v>1</v>
      </c>
      <c r="L58" s="13" t="b">
        <v>1</v>
      </c>
      <c r="M58" s="13" t="b">
        <v>1</v>
      </c>
      <c r="N58" s="13" t="b">
        <v>1</v>
      </c>
      <c r="O58" s="13" t="b">
        <v>1</v>
      </c>
      <c r="P58" s="17" t="b">
        <v>0</v>
      </c>
      <c r="Q58" s="13" t="b">
        <v>0</v>
      </c>
      <c r="R58" s="13" t="b">
        <v>0</v>
      </c>
      <c r="S58" s="13" t="b">
        <v>0</v>
      </c>
      <c r="T58" s="18" t="b">
        <f t="shared" si="1"/>
        <v>1</v>
      </c>
      <c r="U58" s="19" t="b">
        <v>0</v>
      </c>
      <c r="V58" s="13" t="s">
        <v>106</v>
      </c>
      <c r="W58" s="13"/>
    </row>
    <row r="59" spans="1:23" ht="66" x14ac:dyDescent="0.25">
      <c r="A59" s="11">
        <v>58</v>
      </c>
      <c r="B59" s="12" t="b">
        <v>1</v>
      </c>
      <c r="C59" s="12" t="s">
        <v>247</v>
      </c>
      <c r="D59" s="13" t="str">
        <f ca="1">IFERROR(__xludf.DUMMYFUNCTION("IF(NOT(ISBLANK(G59)), REGEXEXTRACT(G59, ""\)\. (.*?)\.""), """")"),"Implications on the Migration from Ionic to Android")</f>
        <v>Implications on the Migration from Ionic to Android</v>
      </c>
      <c r="E59" s="12" t="str">
        <f t="shared" si="0"/>
        <v>Caulo</v>
      </c>
      <c r="F59" s="14" t="str">
        <f ca="1">IFERROR(__xludf.DUMMYFUNCTION("IF(NOT(ISBLANK(G59)), REGEXEXTRACT(G59, ""\((\d{4})""), """")"),"2021")</f>
        <v>2021</v>
      </c>
      <c r="G59" s="36" t="s">
        <v>107</v>
      </c>
      <c r="H59" s="15">
        <v>3</v>
      </c>
      <c r="I59" s="13" t="s">
        <v>25</v>
      </c>
      <c r="J59" s="13"/>
      <c r="K59" s="16" t="b">
        <v>1</v>
      </c>
      <c r="L59" s="13" t="b">
        <v>1</v>
      </c>
      <c r="M59" s="13" t="b">
        <v>1</v>
      </c>
      <c r="N59" s="13" t="b">
        <v>1</v>
      </c>
      <c r="O59" s="13" t="b">
        <v>1</v>
      </c>
      <c r="P59" s="17" t="b">
        <v>0</v>
      </c>
      <c r="Q59" s="13" t="b">
        <v>0</v>
      </c>
      <c r="R59" s="13" t="b">
        <v>1</v>
      </c>
      <c r="S59" s="13" t="b">
        <v>0</v>
      </c>
      <c r="T59" s="18" t="b">
        <f t="shared" si="1"/>
        <v>0</v>
      </c>
      <c r="U59" s="19" t="b">
        <v>0</v>
      </c>
      <c r="V59" s="13" t="s">
        <v>108</v>
      </c>
      <c r="W59" s="13"/>
    </row>
    <row r="60" spans="1:23" ht="52.8" x14ac:dyDescent="0.25">
      <c r="A60" s="11">
        <v>59</v>
      </c>
      <c r="B60" s="12" t="b">
        <v>1</v>
      </c>
      <c r="C60" s="12" t="s">
        <v>247</v>
      </c>
      <c r="D60" s="13" t="str">
        <f ca="1">IFERROR(__xludf.DUMMYFUNCTION("IF(NOT(ISBLANK(G60)), REGEXEXTRACT(G60, ""\)\. (.*?)\.""), """")"),"Quantitative research in information systems")</f>
        <v>Quantitative research in information systems</v>
      </c>
      <c r="E60" s="12" t="str">
        <f t="shared" si="0"/>
        <v>Straub</v>
      </c>
      <c r="F60" s="14" t="str">
        <f ca="1">IFERROR(__xludf.DUMMYFUNCTION("IF(NOT(ISBLANK(G60)), REGEXEXTRACT(G60, ""\((\d{4})""), """")"),"2022")</f>
        <v>2022</v>
      </c>
      <c r="G60" s="36" t="s">
        <v>109</v>
      </c>
      <c r="H60" s="15">
        <v>7</v>
      </c>
      <c r="I60" s="13" t="s">
        <v>41</v>
      </c>
      <c r="J60" s="13" t="s">
        <v>110</v>
      </c>
      <c r="K60" s="16" t="b">
        <v>1</v>
      </c>
      <c r="L60" s="13" t="b">
        <v>0</v>
      </c>
      <c r="M60" s="13" t="b">
        <v>0</v>
      </c>
      <c r="N60" s="13" t="b">
        <v>0</v>
      </c>
      <c r="O60" s="13" t="b">
        <v>0</v>
      </c>
      <c r="P60" s="17" t="b">
        <v>0</v>
      </c>
      <c r="Q60" s="13" t="b">
        <v>0</v>
      </c>
      <c r="R60" s="13" t="b">
        <v>0</v>
      </c>
      <c r="S60" s="13" t="b">
        <v>1</v>
      </c>
      <c r="T60" s="18" t="b">
        <f t="shared" si="1"/>
        <v>0</v>
      </c>
      <c r="U60" s="19" t="b">
        <v>0</v>
      </c>
      <c r="V60" s="13"/>
      <c r="W60" s="13"/>
    </row>
    <row r="61" spans="1:23" ht="52.8" x14ac:dyDescent="0.25">
      <c r="A61" s="11">
        <v>60</v>
      </c>
      <c r="B61" s="12" t="b">
        <v>1</v>
      </c>
      <c r="C61" s="12" t="s">
        <v>248</v>
      </c>
      <c r="D61" s="13" t="str">
        <f ca="1">IFERROR(__xludf.DUMMYFUNCTION("IF(NOT(ISBLANK(G61)), REGEXEXTRACT(G61, ""\)\. (.*?)\.""), """")"),"Using the SOCIO chatbot for UML modelling: A family of experiments")</f>
        <v>Using the SOCIO chatbot for UML modelling: A family of experiments</v>
      </c>
      <c r="E61" s="12" t="str">
        <f t="shared" si="0"/>
        <v>Ren</v>
      </c>
      <c r="F61" s="14" t="str">
        <f ca="1">IFERROR(__xludf.DUMMYFUNCTION("IF(NOT(ISBLANK(G61)), REGEXEXTRACT(G61, ""\((\d{4})""), """")"),"2022")</f>
        <v>2022</v>
      </c>
      <c r="G61" s="36" t="s">
        <v>111</v>
      </c>
      <c r="H61" s="15">
        <v>6</v>
      </c>
      <c r="I61" s="13" t="s">
        <v>25</v>
      </c>
      <c r="J61" s="13"/>
      <c r="K61" s="16" t="b">
        <v>1</v>
      </c>
      <c r="L61" s="13" t="b">
        <v>1</v>
      </c>
      <c r="M61" s="13" t="b">
        <v>1</v>
      </c>
      <c r="N61" s="13" t="b">
        <v>1</v>
      </c>
      <c r="O61" s="13" t="b">
        <v>1</v>
      </c>
      <c r="P61" s="17" t="b">
        <v>0</v>
      </c>
      <c r="Q61" s="13" t="b">
        <v>0</v>
      </c>
      <c r="R61" s="13" t="b">
        <v>0</v>
      </c>
      <c r="S61" s="13" t="b">
        <v>0</v>
      </c>
      <c r="T61" s="18" t="b">
        <f t="shared" si="1"/>
        <v>1</v>
      </c>
      <c r="U61" s="19" t="b">
        <v>0</v>
      </c>
      <c r="V61" s="13" t="s">
        <v>112</v>
      </c>
      <c r="W61" s="13"/>
    </row>
    <row r="62" spans="1:23" ht="66" x14ac:dyDescent="0.25">
      <c r="A62" s="11">
        <v>61</v>
      </c>
      <c r="B62" s="12" t="b">
        <v>1</v>
      </c>
      <c r="C62" s="12" t="s">
        <v>247</v>
      </c>
      <c r="D62" s="13" t="str">
        <f ca="1">IFERROR(__xludf.DUMMYFUNCTION("IF(NOT(ISBLANK(G62)), REGEXEXTRACT(G62, ""\)\. (.*?)\.""), """")"),"Artifact-based vs")</f>
        <v>Artifact-based vs</v>
      </c>
      <c r="E62" s="12" t="str">
        <f t="shared" si="0"/>
        <v>Caivano</v>
      </c>
      <c r="F62" s="14" t="str">
        <f ca="1">IFERROR(__xludf.DUMMYFUNCTION("IF(NOT(ISBLANK(G62)), REGEXEXTRACT(G62, ""\((\d{4})""), """")"),"2018")</f>
        <v>2018</v>
      </c>
      <c r="G62" s="36" t="s">
        <v>113</v>
      </c>
      <c r="H62" s="15">
        <v>15</v>
      </c>
      <c r="I62" s="13" t="s">
        <v>25</v>
      </c>
      <c r="J62" s="13"/>
      <c r="K62" s="16" t="b">
        <v>1</v>
      </c>
      <c r="L62" s="13" t="b">
        <v>1</v>
      </c>
      <c r="M62" s="13" t="b">
        <v>1</v>
      </c>
      <c r="N62" s="13" t="b">
        <v>1</v>
      </c>
      <c r="O62" s="13" t="b">
        <v>1</v>
      </c>
      <c r="P62" s="17" t="b">
        <v>0</v>
      </c>
      <c r="Q62" s="13" t="b">
        <v>0</v>
      </c>
      <c r="R62" s="13" t="b">
        <v>0</v>
      </c>
      <c r="S62" s="13" t="b">
        <v>0</v>
      </c>
      <c r="T62" s="18" t="b">
        <f t="shared" si="1"/>
        <v>1</v>
      </c>
      <c r="U62" s="19" t="b">
        <v>0</v>
      </c>
      <c r="V62" s="13"/>
      <c r="W62" s="13"/>
    </row>
    <row r="63" spans="1:23" ht="39.6" x14ac:dyDescent="0.25">
      <c r="A63" s="11">
        <v>62</v>
      </c>
      <c r="B63" s="12" t="b">
        <v>1</v>
      </c>
      <c r="C63" s="12" t="s">
        <v>248</v>
      </c>
      <c r="D63" s="13" t="str">
        <f ca="1">IFERROR(__xludf.DUMMYFUNCTION("IF(NOT(ISBLANK(G63)), REGEXEXTRACT(G63, ""\)\. (.*?)\.""), """")"),"Evaluating the influence of scope on feature location")</f>
        <v>Evaluating the influence of scope on feature location</v>
      </c>
      <c r="E63" s="12" t="str">
        <f t="shared" si="0"/>
        <v>Domingo</v>
      </c>
      <c r="F63" s="14" t="str">
        <f ca="1">IFERROR(__xludf.DUMMYFUNCTION("IF(NOT(ISBLANK(G63)), REGEXEXTRACT(G63, ""\((\d{4})""), """")"),"2021")</f>
        <v>2021</v>
      </c>
      <c r="G63" s="36" t="s">
        <v>114</v>
      </c>
      <c r="H63" s="15">
        <v>3</v>
      </c>
      <c r="I63" s="13" t="s">
        <v>25</v>
      </c>
      <c r="J63" s="13"/>
      <c r="K63" s="16" t="b">
        <v>1</v>
      </c>
      <c r="L63" s="13" t="b">
        <v>1</v>
      </c>
      <c r="M63" s="13" t="b">
        <v>1</v>
      </c>
      <c r="N63" s="13" t="b">
        <v>1</v>
      </c>
      <c r="O63" s="13" t="b">
        <v>1</v>
      </c>
      <c r="P63" s="17" t="b">
        <v>0</v>
      </c>
      <c r="Q63" s="13" t="b">
        <v>0</v>
      </c>
      <c r="R63" s="13" t="b">
        <v>0</v>
      </c>
      <c r="S63" s="13" t="b">
        <v>0</v>
      </c>
      <c r="T63" s="18" t="b">
        <f t="shared" si="1"/>
        <v>1</v>
      </c>
      <c r="U63" s="19" t="b">
        <v>0</v>
      </c>
      <c r="V63" s="13"/>
      <c r="W63" s="13"/>
    </row>
    <row r="64" spans="1:23" ht="52.8" x14ac:dyDescent="0.25">
      <c r="A64" s="11">
        <v>63</v>
      </c>
      <c r="B64" s="12" t="b">
        <v>1</v>
      </c>
      <c r="C64" s="12" t="s">
        <v>247</v>
      </c>
      <c r="D64" s="13" t="str">
        <f ca="1">IFERROR(__xludf.DUMMYFUNCTION("IF(NOT(ISBLANK(G64)), REGEXEXTRACT(G64, ""\)\. (.*?)\.""), """")"),"Model inspections in the engineering of collaborative cyber‐physical systems with instance‐level review diagrams")</f>
        <v>Model inspections in the engineering of collaborative cyber‐physical systems with instance‐level review diagrams</v>
      </c>
      <c r="E64" s="12" t="str">
        <f t="shared" si="0"/>
        <v>Daun</v>
      </c>
      <c r="F64" s="14" t="str">
        <f ca="1">IFERROR(__xludf.DUMMYFUNCTION("IF(NOT(ISBLANK(G64)), REGEXEXTRACT(G64, ""\((\d{4})""), """")"),"2023")</f>
        <v>2023</v>
      </c>
      <c r="G64" s="36" t="s">
        <v>115</v>
      </c>
      <c r="H64" s="15">
        <v>1</v>
      </c>
      <c r="I64" s="13" t="s">
        <v>25</v>
      </c>
      <c r="J64" s="13"/>
      <c r="K64" s="16" t="b">
        <v>1</v>
      </c>
      <c r="L64" s="13" t="b">
        <v>1</v>
      </c>
      <c r="M64" s="13" t="b">
        <v>1</v>
      </c>
      <c r="N64" s="13" t="b">
        <v>0</v>
      </c>
      <c r="O64" s="13" t="b">
        <v>1</v>
      </c>
      <c r="P64" s="17" t="b">
        <v>0</v>
      </c>
      <c r="Q64" s="13" t="b">
        <v>0</v>
      </c>
      <c r="R64" s="13" t="b">
        <v>0</v>
      </c>
      <c r="S64" s="13" t="b">
        <v>0</v>
      </c>
      <c r="T64" s="18" t="b">
        <f t="shared" si="1"/>
        <v>0</v>
      </c>
      <c r="U64" s="19" t="b">
        <v>0</v>
      </c>
      <c r="V64" s="13" t="s">
        <v>116</v>
      </c>
      <c r="W64" s="13"/>
    </row>
    <row r="65" spans="1:23" ht="52.8" x14ac:dyDescent="0.25">
      <c r="A65" s="11">
        <v>64</v>
      </c>
      <c r="B65" s="12" t="b">
        <v>1</v>
      </c>
      <c r="C65" s="12" t="s">
        <v>247</v>
      </c>
      <c r="D65" s="13" t="str">
        <f ca="1">IFERROR(__xludf.DUMMYFUNCTION("IF(NOT(ISBLANK(G65)), REGEXEXTRACT(G65, ""\)\. (.*?)\.""), """")"),"A model-driven approach for behavior-driven GUI testing")</f>
        <v>A model-driven approach for behavior-driven GUI testing</v>
      </c>
      <c r="E65" s="12" t="str">
        <f t="shared" si="0"/>
        <v>Bünder</v>
      </c>
      <c r="F65" s="14" t="str">
        <f ca="1">IFERROR(__xludf.DUMMYFUNCTION("IF(NOT(ISBLANK(G65)), REGEXEXTRACT(G65, ""\((\d{4})""), """")"),"2019")</f>
        <v>2019</v>
      </c>
      <c r="G65" s="36" t="s">
        <v>117</v>
      </c>
      <c r="H65" s="15">
        <v>10</v>
      </c>
      <c r="I65" s="13" t="s">
        <v>25</v>
      </c>
      <c r="J65" s="13"/>
      <c r="K65" s="16" t="b">
        <v>1</v>
      </c>
      <c r="L65" s="13" t="b">
        <v>1</v>
      </c>
      <c r="M65" s="13" t="b">
        <v>1</v>
      </c>
      <c r="N65" s="13" t="b">
        <v>1</v>
      </c>
      <c r="O65" s="13" t="b">
        <v>1</v>
      </c>
      <c r="P65" s="17" t="b">
        <v>0</v>
      </c>
      <c r="Q65" s="13" t="b">
        <v>0</v>
      </c>
      <c r="R65" s="13" t="b">
        <v>1</v>
      </c>
      <c r="S65" s="13" t="b">
        <v>0</v>
      </c>
      <c r="T65" s="18" t="b">
        <f t="shared" si="1"/>
        <v>0</v>
      </c>
      <c r="U65" s="19" t="b">
        <v>0</v>
      </c>
      <c r="V65" s="13" t="s">
        <v>118</v>
      </c>
      <c r="W65" s="13"/>
    </row>
    <row r="66" spans="1:23" ht="52.8" x14ac:dyDescent="0.25">
      <c r="A66" s="11">
        <v>65</v>
      </c>
      <c r="B66" s="12" t="b">
        <v>1</v>
      </c>
      <c r="C66" s="12" t="s">
        <v>248</v>
      </c>
      <c r="D66" s="13" t="str">
        <f ca="1">IFERROR(__xludf.DUMMYFUNCTION("IF(NOT(ISBLANK(G66)), REGEXEXTRACT(G66, ""\)\. (.*?)\.""), """")"),"Evaluating software architecture evaluation methods: An internal replication")</f>
        <v>Evaluating software architecture evaluation methods: An internal replication</v>
      </c>
      <c r="E66" s="12" t="str">
        <f t="shared" si="0"/>
        <v>Abrahão</v>
      </c>
      <c r="F66" s="14" t="str">
        <f ca="1">IFERROR(__xludf.DUMMYFUNCTION("IF(NOT(ISBLANK(G66)), REGEXEXTRACT(G66, ""\((\d{4})""), """")"),"2017")</f>
        <v>2017</v>
      </c>
      <c r="G66" s="36" t="s">
        <v>119</v>
      </c>
      <c r="H66" s="15">
        <v>11</v>
      </c>
      <c r="I66" s="13" t="s">
        <v>25</v>
      </c>
      <c r="J66" s="13"/>
      <c r="K66" s="16" t="b">
        <v>1</v>
      </c>
      <c r="L66" s="13" t="b">
        <v>1</v>
      </c>
      <c r="M66" s="13" t="b">
        <v>1</v>
      </c>
      <c r="N66" s="13" t="b">
        <v>1</v>
      </c>
      <c r="O66" s="13" t="b">
        <v>1</v>
      </c>
      <c r="P66" s="17" t="b">
        <v>0</v>
      </c>
      <c r="Q66" s="13" t="b">
        <v>0</v>
      </c>
      <c r="R66" s="13" t="b">
        <v>0</v>
      </c>
      <c r="S66" s="13" t="b">
        <v>0</v>
      </c>
      <c r="T66" s="18" t="b">
        <f t="shared" si="1"/>
        <v>1</v>
      </c>
      <c r="U66" s="19" t="b">
        <v>0</v>
      </c>
      <c r="V66" s="13" t="s">
        <v>120</v>
      </c>
      <c r="W66" s="13"/>
    </row>
    <row r="67" spans="1:23" ht="66" x14ac:dyDescent="0.25">
      <c r="A67" s="11">
        <v>66</v>
      </c>
      <c r="B67" s="12" t="b">
        <v>1</v>
      </c>
      <c r="C67" s="12" t="s">
        <v>247</v>
      </c>
      <c r="D67" s="13" t="str">
        <f ca="1">IFERROR(__xludf.DUMMYFUNCTION("IF(NOT(ISBLANK(G67)), REGEXEXTRACT(G67, ""\)\. (.*?)\.""), """")"),"Applying Bayesian Data Analysis for Causal Inference about Requirements Quality: A Replicated Experiment")</f>
        <v>Applying Bayesian Data Analysis for Causal Inference about Requirements Quality: A Replicated Experiment</v>
      </c>
      <c r="E67" s="12" t="str">
        <f t="shared" si="0"/>
        <v>Frattini</v>
      </c>
      <c r="F67" s="14" t="str">
        <f ca="1">IFERROR(__xludf.DUMMYFUNCTION("IF(NOT(ISBLANK(G67)), REGEXEXTRACT(G67, ""\((\d{4})""), """")"),"2024")</f>
        <v>2024</v>
      </c>
      <c r="G67" s="36" t="s">
        <v>121</v>
      </c>
      <c r="H67" s="15">
        <v>0</v>
      </c>
      <c r="I67" s="13" t="s">
        <v>25</v>
      </c>
      <c r="J67" s="13" t="s">
        <v>122</v>
      </c>
      <c r="K67" s="16" t="b">
        <v>1</v>
      </c>
      <c r="L67" s="13" t="b">
        <v>1</v>
      </c>
      <c r="M67" s="13" t="b">
        <v>1</v>
      </c>
      <c r="N67" s="13" t="b">
        <v>1</v>
      </c>
      <c r="O67" s="13" t="b">
        <v>1</v>
      </c>
      <c r="P67" s="17" t="b">
        <v>0</v>
      </c>
      <c r="Q67" s="13" t="b">
        <v>0</v>
      </c>
      <c r="R67" s="13" t="b">
        <v>0</v>
      </c>
      <c r="S67" s="13" t="b">
        <v>1</v>
      </c>
      <c r="T67" s="18" t="b">
        <f t="shared" si="1"/>
        <v>0</v>
      </c>
      <c r="U67" s="19" t="b">
        <v>0</v>
      </c>
      <c r="V67" s="13" t="s">
        <v>123</v>
      </c>
      <c r="W67" s="13"/>
    </row>
    <row r="68" spans="1:23" ht="39.6" x14ac:dyDescent="0.25">
      <c r="A68" s="11">
        <v>67</v>
      </c>
      <c r="B68" s="12" t="b">
        <v>1</v>
      </c>
      <c r="C68" s="12" t="s">
        <v>248</v>
      </c>
      <c r="D68" s="13" t="str">
        <f ca="1">IFERROR(__xludf.DUMMYFUNCTION("IF(NOT(ISBLANK(G68)), REGEXEXTRACT(G68, ""\)\. (.*?)\.""), """")"),"How Do Microservice API Patterns Impact Understandability? A Controlled Experiment")</f>
        <v>How Do Microservice API Patterns Impact Understandability? A Controlled Experiment</v>
      </c>
      <c r="E68" s="12" t="str">
        <f t="shared" si="0"/>
        <v>Bogner</v>
      </c>
      <c r="F68" s="14" t="str">
        <f ca="1">IFERROR(__xludf.DUMMYFUNCTION("IF(NOT(ISBLANK(G68)), REGEXEXTRACT(G68, ""\((\d{4})""), """")"),"2024")</f>
        <v>2024</v>
      </c>
      <c r="G68" s="36" t="s">
        <v>124</v>
      </c>
      <c r="H68" s="15">
        <v>0</v>
      </c>
      <c r="I68" s="13" t="s">
        <v>25</v>
      </c>
      <c r="J68" s="13"/>
      <c r="K68" s="16" t="b">
        <v>1</v>
      </c>
      <c r="L68" s="13" t="b">
        <v>1</v>
      </c>
      <c r="M68" s="13" t="b">
        <v>1</v>
      </c>
      <c r="N68" s="13" t="b">
        <v>1</v>
      </c>
      <c r="O68" s="13" t="b">
        <v>1</v>
      </c>
      <c r="P68" s="17" t="b">
        <v>0</v>
      </c>
      <c r="Q68" s="13" t="b">
        <v>0</v>
      </c>
      <c r="R68" s="13" t="b">
        <v>0</v>
      </c>
      <c r="S68" s="13" t="b">
        <v>1</v>
      </c>
      <c r="T68" s="18" t="b">
        <f t="shared" si="1"/>
        <v>0</v>
      </c>
      <c r="U68" s="19" t="b">
        <v>0</v>
      </c>
      <c r="V68" s="13"/>
      <c r="W68" s="13"/>
    </row>
    <row r="69" spans="1:23" ht="52.8" x14ac:dyDescent="0.25">
      <c r="A69" s="11">
        <v>68</v>
      </c>
      <c r="B69" s="12" t="b">
        <v>1</v>
      </c>
      <c r="C69" s="12" t="s">
        <v>247</v>
      </c>
      <c r="D69" s="13" t="str">
        <f ca="1">IFERROR(__xludf.DUMMYFUNCTION("IF(NOT(ISBLANK(G69)), REGEXEXTRACT(G69, ""\)\. (.*?)\.""), """")"),"A Second Look at the Impact of Passive Voice Requirements on Domain Modeling: Bayesian Reanalysis of an Experiment")</f>
        <v>A Second Look at the Impact of Passive Voice Requirements on Domain Modeling: Bayesian Reanalysis of an Experiment</v>
      </c>
      <c r="E69" s="12" t="str">
        <f t="shared" si="0"/>
        <v>Frattini</v>
      </c>
      <c r="F69" s="14" t="str">
        <f ca="1">IFERROR(__xludf.DUMMYFUNCTION("IF(NOT(ISBLANK(G69)), REGEXEXTRACT(G69, ""\((\d{4})""), """")"),"2024")</f>
        <v>2024</v>
      </c>
      <c r="G69" s="36" t="s">
        <v>125</v>
      </c>
      <c r="H69" s="15">
        <v>0</v>
      </c>
      <c r="I69" s="13" t="s">
        <v>25</v>
      </c>
      <c r="J69" s="13"/>
      <c r="K69" s="16" t="b">
        <v>1</v>
      </c>
      <c r="L69" s="13" t="b">
        <v>1</v>
      </c>
      <c r="M69" s="13" t="b">
        <v>0</v>
      </c>
      <c r="N69" s="13" t="b">
        <v>0</v>
      </c>
      <c r="O69" s="13" t="b">
        <v>0</v>
      </c>
      <c r="P69" s="17" t="b">
        <v>0</v>
      </c>
      <c r="Q69" s="13" t="b">
        <v>0</v>
      </c>
      <c r="R69" s="13" t="b">
        <v>0</v>
      </c>
      <c r="S69" s="13" t="b">
        <v>1</v>
      </c>
      <c r="T69" s="18" t="b">
        <f t="shared" si="1"/>
        <v>0</v>
      </c>
      <c r="U69" s="19" t="b">
        <v>0</v>
      </c>
      <c r="V69" s="13" t="s">
        <v>126</v>
      </c>
      <c r="W69" s="13"/>
    </row>
    <row r="70" spans="1:23" ht="79.2" x14ac:dyDescent="0.25">
      <c r="A70" s="11">
        <v>69</v>
      </c>
      <c r="B70" s="12" t="b">
        <v>1</v>
      </c>
      <c r="C70" s="12" t="s">
        <v>248</v>
      </c>
      <c r="D70" s="13" t="str">
        <f ca="1">IFERROR(__xludf.DUMMYFUNCTION("IF(NOT(ISBLANK(G70)), REGEXEXTRACT(G70, ""\)\. (.*?)\.""), """")"),"PhyDSLK: a model-driven framework for generating exergames")</f>
        <v>PhyDSLK: a model-driven framework for generating exergames</v>
      </c>
      <c r="E70" s="12" t="str">
        <f t="shared" si="0"/>
        <v>Baldassarre</v>
      </c>
      <c r="F70" s="14" t="str">
        <f ca="1">IFERROR(__xludf.DUMMYFUNCTION("IF(NOT(ISBLANK(G70)), REGEXEXTRACT(G70, ""\((\d{4})""), """")"),"2021")</f>
        <v>2021</v>
      </c>
      <c r="G70" s="36" t="s">
        <v>127</v>
      </c>
      <c r="H70" s="15">
        <v>3</v>
      </c>
      <c r="I70" s="13" t="s">
        <v>25</v>
      </c>
      <c r="J70" s="13"/>
      <c r="K70" s="16" t="b">
        <v>1</v>
      </c>
      <c r="L70" s="13" t="b">
        <v>1</v>
      </c>
      <c r="M70" s="13" t="b">
        <v>1</v>
      </c>
      <c r="N70" s="13" t="b">
        <v>0</v>
      </c>
      <c r="O70" s="13" t="b">
        <v>1</v>
      </c>
      <c r="P70" s="17" t="b">
        <v>0</v>
      </c>
      <c r="Q70" s="13" t="b">
        <v>0</v>
      </c>
      <c r="R70" s="13" t="b">
        <v>0</v>
      </c>
      <c r="S70" s="13" t="b">
        <v>0</v>
      </c>
      <c r="T70" s="18" t="b">
        <f t="shared" si="1"/>
        <v>0</v>
      </c>
      <c r="U70" s="19" t="b">
        <v>1</v>
      </c>
      <c r="V70" s="13" t="s">
        <v>128</v>
      </c>
      <c r="W70" s="13" t="s">
        <v>129</v>
      </c>
    </row>
    <row r="71" spans="1:23" ht="52.8" x14ac:dyDescent="0.25">
      <c r="A71" s="11">
        <v>70</v>
      </c>
      <c r="B71" s="12" t="b">
        <v>1</v>
      </c>
      <c r="C71" s="12" t="s">
        <v>247</v>
      </c>
      <c r="D71" s="13" t="str">
        <f ca="1">IFERROR(__xludf.DUMMYFUNCTION("IF(NOT(ISBLANK(G71)), REGEXEXTRACT(G71, ""\)\. (.*?)\.""), """")"),"A Comparative Study on Reward Models for UI Adaptation with Reinforcement Learning")</f>
        <v>A Comparative Study on Reward Models for UI Adaptation with Reinforcement Learning</v>
      </c>
      <c r="E71" s="12" t="str">
        <f t="shared" si="0"/>
        <v>Figueiredo</v>
      </c>
      <c r="F71" s="14" t="str">
        <f ca="1">IFERROR(__xludf.DUMMYFUNCTION("IF(NOT(ISBLANK(G71)), REGEXEXTRACT(G71, ""\((\d{4})""), """")"),"2023")</f>
        <v>2023</v>
      </c>
      <c r="G71" s="36" t="s">
        <v>130</v>
      </c>
      <c r="H71" s="15">
        <v>0</v>
      </c>
      <c r="I71" s="13" t="s">
        <v>25</v>
      </c>
      <c r="J71" s="13"/>
      <c r="K71" s="16" t="b">
        <v>1</v>
      </c>
      <c r="L71" s="13" t="b">
        <v>0</v>
      </c>
      <c r="M71" s="13" t="b">
        <v>1</v>
      </c>
      <c r="N71" s="13" t="b">
        <v>1</v>
      </c>
      <c r="O71" s="13" t="b">
        <v>1</v>
      </c>
      <c r="P71" s="17" t="b">
        <v>0</v>
      </c>
      <c r="Q71" s="13" t="b">
        <v>0</v>
      </c>
      <c r="R71" s="13" t="b">
        <v>1</v>
      </c>
      <c r="S71" s="13" t="b">
        <v>0</v>
      </c>
      <c r="T71" s="18" t="b">
        <f t="shared" si="1"/>
        <v>0</v>
      </c>
      <c r="U71" s="19" t="b">
        <v>0</v>
      </c>
      <c r="V71" s="13" t="s">
        <v>131</v>
      </c>
      <c r="W71" s="13"/>
    </row>
    <row r="72" spans="1:23" ht="52.8" x14ac:dyDescent="0.25">
      <c r="A72" s="11">
        <v>71</v>
      </c>
      <c r="B72" s="12" t="b">
        <v>1</v>
      </c>
      <c r="C72" s="12" t="s">
        <v>248</v>
      </c>
      <c r="D72" s="13" t="str">
        <f ca="1">IFERROR(__xludf.DUMMYFUNCTION("IF(NOT(ISBLANK(G72)), REGEXEXTRACT(G72, ""\)\. (.*?)\.""), """")"),"A Comparative Evaluation of Tabs and Linked Panels for Program Understanding in Augmented Reality")</f>
        <v>A Comparative Evaluation of Tabs and Linked Panels for Program Understanding in Augmented Reality</v>
      </c>
      <c r="E72" s="12" t="str">
        <f t="shared" si="0"/>
        <v>Kreber</v>
      </c>
      <c r="F72" s="14" t="str">
        <f ca="1">IFERROR(__xludf.DUMMYFUNCTION("IF(NOT(ISBLANK(G72)), REGEXEXTRACT(G72, ""\((\d{4})""), """")"),"2023")</f>
        <v>2023</v>
      </c>
      <c r="G72" s="36" t="s">
        <v>132</v>
      </c>
      <c r="H72" s="15">
        <v>0</v>
      </c>
      <c r="I72" s="13" t="s">
        <v>25</v>
      </c>
      <c r="J72" s="13"/>
      <c r="K72" s="16" t="b">
        <v>1</v>
      </c>
      <c r="L72" s="13" t="b">
        <v>1</v>
      </c>
      <c r="M72" s="13" t="b">
        <v>1</v>
      </c>
      <c r="N72" s="13" t="b">
        <v>1</v>
      </c>
      <c r="O72" s="13" t="b">
        <v>1</v>
      </c>
      <c r="P72" s="17" t="b">
        <v>0</v>
      </c>
      <c r="Q72" s="13" t="b">
        <v>0</v>
      </c>
      <c r="R72" s="13" t="b">
        <v>0</v>
      </c>
      <c r="S72" s="13" t="b">
        <v>0</v>
      </c>
      <c r="T72" s="18" t="b">
        <f t="shared" si="1"/>
        <v>1</v>
      </c>
      <c r="U72" s="19" t="b">
        <v>0</v>
      </c>
      <c r="V72" s="13"/>
      <c r="W72" s="13"/>
    </row>
    <row r="73" spans="1:23" ht="52.8" x14ac:dyDescent="0.25">
      <c r="A73" s="11">
        <v>72</v>
      </c>
      <c r="B73" s="12" t="b">
        <v>1</v>
      </c>
      <c r="C73" s="12" t="s">
        <v>248</v>
      </c>
      <c r="D73" s="13" t="str">
        <f ca="1">IFERROR(__xludf.DUMMYFUNCTION("IF(NOT(ISBLANK(G73)), REGEXEXTRACT(G73, ""\)\. (.*?)\.""), """")"),"Gasser: a multi-objective evolutionary approach for test suite reduction")</f>
        <v>Gasser: a multi-objective evolutionary approach for test suite reduction</v>
      </c>
      <c r="E73" s="12" t="str">
        <f t="shared" si="0"/>
        <v>Coviello</v>
      </c>
      <c r="F73" s="14" t="str">
        <f ca="1">IFERROR(__xludf.DUMMYFUNCTION("IF(NOT(ISBLANK(G73)), REGEXEXTRACT(G73, ""\((\d{4})""), """")"),"2022")</f>
        <v>2022</v>
      </c>
      <c r="G73" s="36" t="s">
        <v>133</v>
      </c>
      <c r="H73" s="15">
        <v>1</v>
      </c>
      <c r="I73" s="13" t="s">
        <v>25</v>
      </c>
      <c r="J73" s="13"/>
      <c r="K73" s="16" t="b">
        <v>0</v>
      </c>
      <c r="L73" s="13" t="b">
        <v>0</v>
      </c>
      <c r="M73" s="13" t="b">
        <v>0</v>
      </c>
      <c r="N73" s="13" t="b">
        <v>0</v>
      </c>
      <c r="O73" s="13" t="b">
        <v>0</v>
      </c>
      <c r="P73" s="17" t="b">
        <v>1</v>
      </c>
      <c r="Q73" s="13" t="b">
        <v>0</v>
      </c>
      <c r="R73" s="13" t="b">
        <v>0</v>
      </c>
      <c r="S73" s="13" t="b">
        <v>0</v>
      </c>
      <c r="T73" s="18" t="b">
        <f t="shared" si="1"/>
        <v>0</v>
      </c>
      <c r="U73" s="19" t="b">
        <v>0</v>
      </c>
      <c r="V73" s="13"/>
      <c r="W73" s="13"/>
    </row>
    <row r="74" spans="1:23" ht="79.2" x14ac:dyDescent="0.25">
      <c r="A74" s="11">
        <v>73</v>
      </c>
      <c r="B74" s="12" t="b">
        <v>1</v>
      </c>
      <c r="C74" s="12" t="s">
        <v>247</v>
      </c>
      <c r="D74" s="13" t="str">
        <f ca="1">IFERROR(__xludf.DUMMYFUNCTION("IF(NOT(ISBLANK(G74)), REGEXEXTRACT(G74, ""\)\. (.*?)\.""), """")"),"Do Developers Benefit from Recommendations When Repairing Inconsistent Design Models? a Controlled Experiment")</f>
        <v>Do Developers Benefit from Recommendations When Repairing Inconsistent Design Models? a Controlled Experiment</v>
      </c>
      <c r="E74" s="12" t="str">
        <f t="shared" si="0"/>
        <v>Marchezan</v>
      </c>
      <c r="F74" s="14" t="str">
        <f ca="1">IFERROR(__xludf.DUMMYFUNCTION("IF(NOT(ISBLANK(G74)), REGEXEXTRACT(G74, ""\((\d{4})""), """")"),"2023")</f>
        <v>2023</v>
      </c>
      <c r="G74" s="36" t="s">
        <v>134</v>
      </c>
      <c r="H74" s="15">
        <v>4</v>
      </c>
      <c r="I74" s="13" t="s">
        <v>25</v>
      </c>
      <c r="J74" s="13"/>
      <c r="K74" s="16" t="b">
        <v>1</v>
      </c>
      <c r="L74" s="13" t="b">
        <v>1</v>
      </c>
      <c r="M74" s="13" t="b">
        <v>1</v>
      </c>
      <c r="N74" s="13" t="b">
        <v>1</v>
      </c>
      <c r="O74" s="13" t="b">
        <v>1</v>
      </c>
      <c r="P74" s="17" t="b">
        <v>0</v>
      </c>
      <c r="Q74" s="13" t="b">
        <v>0</v>
      </c>
      <c r="R74" s="13" t="b">
        <v>0</v>
      </c>
      <c r="S74" s="13" t="b">
        <v>0</v>
      </c>
      <c r="T74" s="18" t="b">
        <f t="shared" si="1"/>
        <v>1</v>
      </c>
      <c r="U74" s="19" t="b">
        <v>0</v>
      </c>
      <c r="V74" s="13"/>
      <c r="W74" s="13"/>
    </row>
    <row r="75" spans="1:23" ht="52.8" x14ac:dyDescent="0.25">
      <c r="A75" s="11">
        <v>74</v>
      </c>
      <c r="B75" s="12" t="b">
        <v>1</v>
      </c>
      <c r="C75" s="12" t="s">
        <v>247</v>
      </c>
      <c r="D75" s="13" t="str">
        <f ca="1">IFERROR(__xludf.DUMMYFUNCTION("IF(NOT(ISBLANK(G75)), REGEXEXTRACT(G75, ""\)\. (.*?)\.""), """")"),"Visualizations for User-supported State Space Exploration of Goal Models")</f>
        <v>Visualizations for User-supported State Space Exploration of Goal Models</v>
      </c>
      <c r="E75" s="12" t="str">
        <f t="shared" si="0"/>
        <v>Baatartogtokh</v>
      </c>
      <c r="F75" s="14" t="str">
        <f ca="1">IFERROR(__xludf.DUMMYFUNCTION("IF(NOT(ISBLANK(G75)), REGEXEXTRACT(G75, ""\((\d{4})""), """")"),"2023")</f>
        <v>2023</v>
      </c>
      <c r="G75" s="36" t="s">
        <v>135</v>
      </c>
      <c r="H75" s="15">
        <v>0</v>
      </c>
      <c r="I75" s="13" t="s">
        <v>25</v>
      </c>
      <c r="J75" s="13"/>
      <c r="K75" s="16" t="b">
        <v>1</v>
      </c>
      <c r="L75" s="13" t="b">
        <v>0</v>
      </c>
      <c r="M75" s="13" t="b">
        <v>1</v>
      </c>
      <c r="N75" s="13" t="b">
        <v>1</v>
      </c>
      <c r="O75" s="13" t="b">
        <v>1</v>
      </c>
      <c r="P75" s="17" t="b">
        <v>0</v>
      </c>
      <c r="Q75" s="13" t="b">
        <v>0</v>
      </c>
      <c r="R75" s="13" t="b">
        <v>1</v>
      </c>
      <c r="S75" s="13" t="b">
        <v>0</v>
      </c>
      <c r="T75" s="18" t="b">
        <f t="shared" si="1"/>
        <v>0</v>
      </c>
      <c r="U75" s="19" t="b">
        <v>0</v>
      </c>
      <c r="V75" s="13" t="s">
        <v>136</v>
      </c>
      <c r="W75" s="13"/>
    </row>
    <row r="76" spans="1:23" ht="52.8" x14ac:dyDescent="0.25">
      <c r="A76" s="11">
        <v>75</v>
      </c>
      <c r="B76" s="12" t="b">
        <v>1</v>
      </c>
      <c r="C76" s="12" t="s">
        <v>248</v>
      </c>
      <c r="D76" s="13" t="str">
        <f ca="1">IFERROR(__xludf.DUMMYFUNCTION("IF(NOT(ISBLANK(G76)), REGEXEXTRACT(G76, ""\)\. (.*?)\.""), """")"),"Do RESTful API Design Rules Have an Impact on the Understandability of Web APIs? A Web-Based Experiment with API Descriptions")</f>
        <v>Do RESTful API Design Rules Have an Impact on the Understandability of Web APIs? A Web-Based Experiment with API Descriptions</v>
      </c>
      <c r="E76" s="12" t="str">
        <f t="shared" si="0"/>
        <v>Bogner</v>
      </c>
      <c r="F76" s="14" t="str">
        <f ca="1">IFERROR(__xludf.DUMMYFUNCTION("IF(NOT(ISBLANK(G76)), REGEXEXTRACT(G76, ""\((\d{4})""), """")"),"2023")</f>
        <v>2023</v>
      </c>
      <c r="G76" s="36" t="s">
        <v>137</v>
      </c>
      <c r="H76" s="15">
        <v>0</v>
      </c>
      <c r="I76" s="13" t="s">
        <v>25</v>
      </c>
      <c r="J76" s="13"/>
      <c r="K76" s="16" t="b">
        <v>1</v>
      </c>
      <c r="L76" s="13" t="b">
        <v>1</v>
      </c>
      <c r="M76" s="13" t="b">
        <v>1</v>
      </c>
      <c r="N76" s="13" t="b">
        <v>1</v>
      </c>
      <c r="O76" s="13" t="b">
        <v>1</v>
      </c>
      <c r="P76" s="17" t="b">
        <v>0</v>
      </c>
      <c r="Q76" s="13" t="b">
        <v>0</v>
      </c>
      <c r="R76" s="13" t="b">
        <v>1</v>
      </c>
      <c r="S76" s="13" t="b">
        <v>0</v>
      </c>
      <c r="T76" s="18" t="b">
        <f t="shared" si="1"/>
        <v>0</v>
      </c>
      <c r="U76" s="19" t="b">
        <v>0</v>
      </c>
      <c r="V76" s="13" t="s">
        <v>138</v>
      </c>
      <c r="W76" s="13"/>
    </row>
    <row r="77" spans="1:23" ht="39.6" x14ac:dyDescent="0.25">
      <c r="A77" s="11">
        <v>76</v>
      </c>
      <c r="B77" s="12" t="b">
        <v>1</v>
      </c>
      <c r="C77" s="12" t="s">
        <v>247</v>
      </c>
      <c r="D77" s="13" t="str">
        <f ca="1">IFERROR(__xludf.DUMMYFUNCTION("IF(NOT(ISBLANK(G77)), REGEXEXTRACT(G77, ""\)\. (.*?)\.""), """")"),"Toward evidence-based software engineering: Lessons learned in healthcare application development")</f>
        <v>Toward evidence-based software engineering: Lessons learned in healthcare application development</v>
      </c>
      <c r="E77" s="12" t="str">
        <f t="shared" si="0"/>
        <v>Nowak</v>
      </c>
      <c r="F77" s="14" t="str">
        <f ca="1">IFERROR(__xludf.DUMMYFUNCTION("IF(NOT(ISBLANK(G77)), REGEXEXTRACT(G77, ""\((\d{4})""), """")"),"2017")</f>
        <v>2017</v>
      </c>
      <c r="G77" s="36" t="s">
        <v>139</v>
      </c>
      <c r="H77" s="15">
        <v>8</v>
      </c>
      <c r="I77" s="13" t="s">
        <v>41</v>
      </c>
      <c r="J77" s="13" t="s">
        <v>140</v>
      </c>
      <c r="K77" s="16" t="b">
        <v>1</v>
      </c>
      <c r="L77" s="13" t="b">
        <v>0</v>
      </c>
      <c r="M77" s="13" t="b">
        <v>0</v>
      </c>
      <c r="N77" s="13" t="b">
        <v>0</v>
      </c>
      <c r="O77" s="13" t="b">
        <v>0</v>
      </c>
      <c r="P77" s="17" t="b">
        <v>0</v>
      </c>
      <c r="Q77" s="13" t="b">
        <v>0</v>
      </c>
      <c r="R77" s="13" t="b">
        <v>0</v>
      </c>
      <c r="S77" s="13" t="b">
        <v>0</v>
      </c>
      <c r="T77" s="18" t="b">
        <f t="shared" si="1"/>
        <v>0</v>
      </c>
      <c r="U77" s="19" t="b">
        <v>0</v>
      </c>
      <c r="V77" s="13"/>
      <c r="W77" s="13"/>
    </row>
    <row r="78" spans="1:23" ht="66" x14ac:dyDescent="0.25">
      <c r="A78" s="11">
        <v>77</v>
      </c>
      <c r="B78" s="12" t="b">
        <v>1</v>
      </c>
      <c r="C78" s="12" t="s">
        <v>247</v>
      </c>
      <c r="D78" s="13" t="str">
        <f ca="1">IFERROR(__xludf.DUMMYFUNCTION("IF(NOT(ISBLANK(G78)), REGEXEXTRACT(G78, ""\)\. (.*?)\.""), """")"),"Semi-automated test migration for BPMN-based process-driven applications")</f>
        <v>Semi-automated test migration for BPMN-based process-driven applications</v>
      </c>
      <c r="E78" s="12" t="str">
        <f t="shared" si="0"/>
        <v>Schneid</v>
      </c>
      <c r="F78" s="14" t="str">
        <f ca="1">IFERROR(__xludf.DUMMYFUNCTION("IF(NOT(ISBLANK(G78)), REGEXEXTRACT(G78, ""\((\d{4})""), """")"),"2022")</f>
        <v>2022</v>
      </c>
      <c r="G78" s="36" t="s">
        <v>141</v>
      </c>
      <c r="H78" s="15">
        <v>1</v>
      </c>
      <c r="I78" s="13" t="s">
        <v>25</v>
      </c>
      <c r="J78" s="13"/>
      <c r="K78" s="16" t="b">
        <v>1</v>
      </c>
      <c r="L78" s="13" t="b">
        <v>1</v>
      </c>
      <c r="M78" s="13" t="b">
        <v>1</v>
      </c>
      <c r="N78" s="13" t="b">
        <v>1</v>
      </c>
      <c r="O78" s="13" t="b">
        <v>1</v>
      </c>
      <c r="P78" s="17" t="b">
        <v>0</v>
      </c>
      <c r="Q78" s="13" t="b">
        <v>0</v>
      </c>
      <c r="R78" s="13" t="b">
        <v>0</v>
      </c>
      <c r="S78" s="13" t="b">
        <v>0</v>
      </c>
      <c r="T78" s="18" t="b">
        <f t="shared" si="1"/>
        <v>1</v>
      </c>
      <c r="U78" s="19" t="b">
        <v>0</v>
      </c>
      <c r="V78" s="13"/>
      <c r="W78" s="13"/>
    </row>
    <row r="79" spans="1:23" ht="39.6" x14ac:dyDescent="0.25">
      <c r="A79" s="11">
        <v>78</v>
      </c>
      <c r="B79" s="12" t="b">
        <v>1</v>
      </c>
      <c r="C79" s="12" t="s">
        <v>248</v>
      </c>
      <c r="D79" s="13" t="str">
        <f ca="1">IFERROR(__xludf.DUMMYFUNCTION("IF(NOT(ISBLANK(G79)), REGEXEXTRACT(G79, ""\)\. (.*?)\.""), """")"),"Are there gender differences when interacting with social goal models? A quasi-experiment")</f>
        <v>Are there gender differences when interacting with social goal models? A quasi-experiment</v>
      </c>
      <c r="E79" s="12" t="str">
        <f t="shared" si="0"/>
        <v>Gralha</v>
      </c>
      <c r="F79" s="14" t="str">
        <f ca="1">IFERROR(__xludf.DUMMYFUNCTION("IF(NOT(ISBLANK(G79)), REGEXEXTRACT(G79, ""\((\d{4})""), """")"),"2020")</f>
        <v>2020</v>
      </c>
      <c r="G79" s="36" t="s">
        <v>142</v>
      </c>
      <c r="H79" s="15">
        <v>2</v>
      </c>
      <c r="I79" s="13" t="s">
        <v>25</v>
      </c>
      <c r="J79" s="13"/>
      <c r="K79" s="16" t="b">
        <v>1</v>
      </c>
      <c r="L79" s="13" t="b">
        <v>1</v>
      </c>
      <c r="M79" s="13" t="b">
        <v>1</v>
      </c>
      <c r="N79" s="13" t="b">
        <v>0</v>
      </c>
      <c r="O79" s="13" t="b">
        <v>1</v>
      </c>
      <c r="P79" s="17" t="b">
        <v>0</v>
      </c>
      <c r="Q79" s="13" t="b">
        <v>0</v>
      </c>
      <c r="R79" s="13" t="b">
        <v>0</v>
      </c>
      <c r="S79" s="13" t="b">
        <v>0</v>
      </c>
      <c r="T79" s="18" t="b">
        <f t="shared" si="1"/>
        <v>0</v>
      </c>
      <c r="U79" s="19" t="b">
        <v>0</v>
      </c>
      <c r="V79" s="13"/>
      <c r="W79" s="13"/>
    </row>
    <row r="80" spans="1:23" ht="39.6" x14ac:dyDescent="0.25">
      <c r="A80" s="11">
        <v>79</v>
      </c>
      <c r="B80" s="12" t="b">
        <v>1</v>
      </c>
      <c r="C80" s="12" t="s">
        <v>247</v>
      </c>
      <c r="D80" s="13" t="str">
        <f ca="1">IFERROR(__xludf.DUMMYFUNCTION("IF(NOT(ISBLANK(G80)), REGEXEXTRACT(G80, ""\)\. (.*?)\.""), """")"),"Test cases as a measurement instrument in experimentation")</f>
        <v>Test cases as a measurement instrument in experimentation</v>
      </c>
      <c r="E80" s="12" t="str">
        <f t="shared" si="0"/>
        <v>Dieste</v>
      </c>
      <c r="F80" s="14" t="str">
        <f ca="1">IFERROR(__xludf.DUMMYFUNCTION("IF(NOT(ISBLANK(G80)), REGEXEXTRACT(G80, ""\((\d{4})""), """")"),"2021")</f>
        <v>2021</v>
      </c>
      <c r="G80" s="36" t="s">
        <v>143</v>
      </c>
      <c r="H80" s="15">
        <v>1</v>
      </c>
      <c r="I80" s="13" t="s">
        <v>41</v>
      </c>
      <c r="J80" s="13" t="s">
        <v>144</v>
      </c>
      <c r="K80" s="16" t="b">
        <v>1</v>
      </c>
      <c r="L80" s="13" t="b">
        <v>0</v>
      </c>
      <c r="M80" s="13" t="b">
        <v>0</v>
      </c>
      <c r="N80" s="13" t="b">
        <v>0</v>
      </c>
      <c r="O80" s="13" t="b">
        <v>0</v>
      </c>
      <c r="P80" s="17" t="b">
        <v>0</v>
      </c>
      <c r="Q80" s="13" t="b">
        <v>0</v>
      </c>
      <c r="R80" s="13" t="b">
        <v>0</v>
      </c>
      <c r="S80" s="13" t="b">
        <v>0</v>
      </c>
      <c r="T80" s="18" t="b">
        <f t="shared" si="1"/>
        <v>0</v>
      </c>
      <c r="U80" s="19" t="b">
        <v>0</v>
      </c>
      <c r="V80" s="13"/>
      <c r="W80" s="13"/>
    </row>
    <row r="81" spans="1:23" ht="66" x14ac:dyDescent="0.25">
      <c r="A81" s="11">
        <v>80</v>
      </c>
      <c r="B81" s="12" t="b">
        <v>1</v>
      </c>
      <c r="C81" s="12" t="s">
        <v>248</v>
      </c>
      <c r="D81" s="13" t="str">
        <f ca="1">IFERROR(__xludf.DUMMYFUNCTION("IF(NOT(ISBLANK(G81)), REGEXEXTRACT(G81, ""\)\. (.*?)\.""), """")"),"Test-Driven Development and Embedded Systems: An Exploratory Investigation")</f>
        <v>Test-Driven Development and Embedded Systems: An Exploratory Investigation</v>
      </c>
      <c r="E81" s="12" t="str">
        <f t="shared" si="0"/>
        <v>Esposito</v>
      </c>
      <c r="F81" s="14" t="str">
        <f ca="1">IFERROR(__xludf.DUMMYFUNCTION("IF(NOT(ISBLANK(G81)), REGEXEXTRACT(G81, ""\((\d{4})""), """")"),"2023")</f>
        <v>2023</v>
      </c>
      <c r="G81" s="36" t="s">
        <v>145</v>
      </c>
      <c r="H81" s="15">
        <v>0</v>
      </c>
      <c r="I81" s="13" t="s">
        <v>25</v>
      </c>
      <c r="J81" s="13"/>
      <c r="K81" s="16" t="b">
        <v>1</v>
      </c>
      <c r="L81" s="13" t="b">
        <v>1</v>
      </c>
      <c r="M81" s="13" t="b">
        <v>1</v>
      </c>
      <c r="N81" s="13" t="b">
        <v>1</v>
      </c>
      <c r="O81" s="13" t="b">
        <v>1</v>
      </c>
      <c r="P81" s="17" t="b">
        <v>0</v>
      </c>
      <c r="Q81" s="13" t="b">
        <v>0</v>
      </c>
      <c r="R81" s="13" t="b">
        <v>0</v>
      </c>
      <c r="S81" s="13" t="b">
        <v>0</v>
      </c>
      <c r="T81" s="18" t="b">
        <f t="shared" si="1"/>
        <v>1</v>
      </c>
      <c r="U81" s="19" t="b">
        <v>0</v>
      </c>
      <c r="V81" s="13" t="s">
        <v>146</v>
      </c>
      <c r="W81" s="13"/>
    </row>
    <row r="82" spans="1:23" ht="66" x14ac:dyDescent="0.25">
      <c r="A82" s="11">
        <v>81</v>
      </c>
      <c r="B82" s="12" t="b">
        <v>1</v>
      </c>
      <c r="C82" s="12" t="s">
        <v>247</v>
      </c>
      <c r="D82" s="13" t="str">
        <f ca="1">IFERROR(__xludf.DUMMYFUNCTION("IF(NOT(ISBLANK(G82)), REGEXEXTRACT(G82, ""\)\. (.*?)\.""), """")"),"Comparing 2D and augmented reality visualizations for microservice system understandability: A controlled experiment")</f>
        <v>Comparing 2D and augmented reality visualizations for microservice system understandability: A controlled experiment</v>
      </c>
      <c r="E82" s="12" t="str">
        <f t="shared" si="0"/>
        <v>Abdelfattah</v>
      </c>
      <c r="F82" s="14" t="str">
        <f ca="1">IFERROR(__xludf.DUMMYFUNCTION("IF(NOT(ISBLANK(G82)), REGEXEXTRACT(G82, ""\((\d{4})""), """")"),"2023")</f>
        <v>2023</v>
      </c>
      <c r="G82" s="36" t="s">
        <v>147</v>
      </c>
      <c r="H82" s="15">
        <v>3</v>
      </c>
      <c r="I82" s="13" t="s">
        <v>25</v>
      </c>
      <c r="J82" s="13"/>
      <c r="K82" s="16" t="b">
        <v>1</v>
      </c>
      <c r="L82" s="13" t="b">
        <v>1</v>
      </c>
      <c r="M82" s="13" t="b">
        <v>1</v>
      </c>
      <c r="N82" s="13" t="b">
        <v>1</v>
      </c>
      <c r="O82" s="13" t="b">
        <v>1</v>
      </c>
      <c r="P82" s="17" t="b">
        <v>0</v>
      </c>
      <c r="Q82" s="13" t="b">
        <v>0</v>
      </c>
      <c r="R82" s="13" t="b">
        <v>0</v>
      </c>
      <c r="S82" s="13" t="b">
        <v>0</v>
      </c>
      <c r="T82" s="18" t="b">
        <f t="shared" si="1"/>
        <v>1</v>
      </c>
      <c r="U82" s="19" t="b">
        <v>0</v>
      </c>
      <c r="V82" s="13"/>
      <c r="W82" s="13"/>
    </row>
    <row r="83" spans="1:23" ht="66" x14ac:dyDescent="0.25">
      <c r="A83" s="11">
        <v>82</v>
      </c>
      <c r="B83" s="12" t="b">
        <v>1</v>
      </c>
      <c r="C83" s="12" t="s">
        <v>247</v>
      </c>
      <c r="D83" s="13" t="str">
        <f ca="1">IFERROR(__xludf.DUMMYFUNCTION("IF(NOT(ISBLANK(G83)), REGEXEXTRACT(G83, ""\)\. (.*?)\.""), """")"),"Evaluating the benefits of software product lines in game software engineering")</f>
        <v>Evaluating the benefits of software product lines in game software engineering</v>
      </c>
      <c r="E83" s="12" t="str">
        <f t="shared" si="0"/>
        <v>Trasobares</v>
      </c>
      <c r="F83" s="14" t="str">
        <f ca="1">IFERROR(__xludf.DUMMYFUNCTION("IF(NOT(ISBLANK(G83)), REGEXEXTRACT(G83, ""\((\d{4})""), """")"),"2022")</f>
        <v>2022</v>
      </c>
      <c r="G83" s="36" t="s">
        <v>148</v>
      </c>
      <c r="H83" s="15">
        <v>2</v>
      </c>
      <c r="I83" s="13" t="s">
        <v>25</v>
      </c>
      <c r="J83" s="13"/>
      <c r="K83" s="16" t="b">
        <v>1</v>
      </c>
      <c r="L83" s="13" t="b">
        <v>1</v>
      </c>
      <c r="M83" s="13" t="b">
        <v>1</v>
      </c>
      <c r="N83" s="13" t="b">
        <v>1</v>
      </c>
      <c r="O83" s="13" t="b">
        <v>1</v>
      </c>
      <c r="P83" s="17" t="b">
        <v>0</v>
      </c>
      <c r="Q83" s="13" t="b">
        <v>0</v>
      </c>
      <c r="R83" s="13" t="b">
        <v>1</v>
      </c>
      <c r="S83" s="13" t="b">
        <v>0</v>
      </c>
      <c r="T83" s="18" t="b">
        <f t="shared" si="1"/>
        <v>0</v>
      </c>
      <c r="U83" s="19" t="b">
        <v>0</v>
      </c>
      <c r="V83" s="13" t="s">
        <v>149</v>
      </c>
      <c r="W83" s="13"/>
    </row>
    <row r="84" spans="1:23" ht="39.6" x14ac:dyDescent="0.25">
      <c r="A84" s="11">
        <v>83</v>
      </c>
      <c r="B84" s="12" t="b">
        <v>1</v>
      </c>
      <c r="C84" s="12" t="s">
        <v>248</v>
      </c>
      <c r="D84" s="13" t="str">
        <f ca="1">IFERROR(__xludf.DUMMYFUNCTION("IF(NOT(ISBLANK(G84)), REGEXEXTRACT(G84, ""\)\. (.*?)\.""), """")"),"User Comprehension of Complexity Design Graph Reports")</f>
        <v>User Comprehension of Complexity Design Graph Reports</v>
      </c>
      <c r="E84" s="12" t="str">
        <f t="shared" si="0"/>
        <v>Francese</v>
      </c>
      <c r="F84" s="14" t="str">
        <f ca="1">IFERROR(__xludf.DUMMYFUNCTION("IF(NOT(ISBLANK(G84)), REGEXEXTRACT(G84, ""\((\d{4})""), """")"),"2022")</f>
        <v>2022</v>
      </c>
      <c r="G84" s="36" t="s">
        <v>150</v>
      </c>
      <c r="H84" s="15">
        <v>0</v>
      </c>
      <c r="I84" s="13" t="s">
        <v>25</v>
      </c>
      <c r="J84" s="13"/>
      <c r="K84" s="16" t="b">
        <v>0</v>
      </c>
      <c r="L84" s="13" t="b">
        <v>1</v>
      </c>
      <c r="M84" s="13" t="b">
        <v>1</v>
      </c>
      <c r="N84" s="13" t="b">
        <v>1</v>
      </c>
      <c r="O84" s="13" t="b">
        <v>1</v>
      </c>
      <c r="P84" s="17" t="b">
        <v>0</v>
      </c>
      <c r="Q84" s="13" t="b">
        <v>0</v>
      </c>
      <c r="R84" s="13" t="b">
        <v>0</v>
      </c>
      <c r="S84" s="13" t="b">
        <v>0</v>
      </c>
      <c r="T84" s="18" t="b">
        <f t="shared" si="1"/>
        <v>0</v>
      </c>
      <c r="U84" s="19" t="b">
        <v>0</v>
      </c>
      <c r="V84" s="13"/>
      <c r="W84" s="13"/>
    </row>
    <row r="85" spans="1:23" ht="39.6" x14ac:dyDescent="0.25">
      <c r="A85" s="11">
        <v>84</v>
      </c>
      <c r="B85" s="12" t="b">
        <v>1</v>
      </c>
      <c r="C85" s="12" t="s">
        <v>247</v>
      </c>
      <c r="D85" s="13" t="str">
        <f ca="1">IFERROR(__xludf.DUMMYFUNCTION("IF(NOT(ISBLANK(G85)), REGEXEXTRACT(G85, ""\)\. (.*?)\.""), """")"),"CrossCarry: An R package for the analysis of data from a crossover design with GEE")</f>
        <v>CrossCarry: An R package for the analysis of data from a crossover design with GEE</v>
      </c>
      <c r="E85" s="12" t="str">
        <f t="shared" si="0"/>
        <v>Cruz</v>
      </c>
      <c r="F85" s="14" t="str">
        <f ca="1">IFERROR(__xludf.DUMMYFUNCTION("IF(NOT(ISBLANK(G85)), REGEXEXTRACT(G85, ""\((\d{4})""), """")"),"2023")</f>
        <v>2023</v>
      </c>
      <c r="G85" s="36" t="s">
        <v>151</v>
      </c>
      <c r="H85" s="15">
        <v>0</v>
      </c>
      <c r="I85" s="13" t="s">
        <v>41</v>
      </c>
      <c r="J85" s="13" t="s">
        <v>152</v>
      </c>
      <c r="K85" s="16" t="b">
        <v>0</v>
      </c>
      <c r="L85" s="13" t="b">
        <v>0</v>
      </c>
      <c r="M85" s="13" t="b">
        <v>0</v>
      </c>
      <c r="N85" s="13" t="b">
        <v>0</v>
      </c>
      <c r="O85" s="13" t="b">
        <v>0</v>
      </c>
      <c r="P85" s="17" t="b">
        <v>0</v>
      </c>
      <c r="Q85" s="13" t="b">
        <v>0</v>
      </c>
      <c r="R85" s="13" t="b">
        <v>0</v>
      </c>
      <c r="S85" s="13" t="b">
        <v>0</v>
      </c>
      <c r="T85" s="18" t="b">
        <f t="shared" si="1"/>
        <v>0</v>
      </c>
      <c r="U85" s="19" t="b">
        <v>0</v>
      </c>
      <c r="V85" s="13"/>
      <c r="W85" s="13"/>
    </row>
    <row r="86" spans="1:23" ht="39.6" x14ac:dyDescent="0.25">
      <c r="A86" s="11">
        <v>85</v>
      </c>
      <c r="B86" s="12" t="b">
        <v>1</v>
      </c>
      <c r="C86" s="12" t="s">
        <v>247</v>
      </c>
      <c r="D86" s="13" t="str">
        <f ca="1">IFERROR(__xludf.DUMMYFUNCTION("IF(NOT(ISBLANK(G86)), REGEXEXTRACT(G86, ""\)\. (.*?)\.""), """")"),"Estimation of complex carryover effects in crossover designs with repeated measures")</f>
        <v>Estimation of complex carryover effects in crossover designs with repeated measures</v>
      </c>
      <c r="E86" s="12" t="str">
        <f t="shared" si="0"/>
        <v>Cruz</v>
      </c>
      <c r="F86" s="14" t="str">
        <f ca="1">IFERROR(__xludf.DUMMYFUNCTION("IF(NOT(ISBLANK(G86)), REGEXEXTRACT(G86, ""\((\d{4})""), """")"),"2024")</f>
        <v>2024</v>
      </c>
      <c r="G86" s="36" t="s">
        <v>153</v>
      </c>
      <c r="H86" s="15">
        <v>0</v>
      </c>
      <c r="I86" s="13" t="s">
        <v>41</v>
      </c>
      <c r="J86" s="13" t="s">
        <v>154</v>
      </c>
      <c r="K86" s="16" t="b">
        <v>0</v>
      </c>
      <c r="L86" s="13" t="b">
        <v>0</v>
      </c>
      <c r="M86" s="13" t="b">
        <v>0</v>
      </c>
      <c r="N86" s="13" t="b">
        <v>0</v>
      </c>
      <c r="O86" s="13" t="b">
        <v>0</v>
      </c>
      <c r="P86" s="17" t="b">
        <v>0</v>
      </c>
      <c r="Q86" s="13" t="b">
        <v>0</v>
      </c>
      <c r="R86" s="13" t="b">
        <v>0</v>
      </c>
      <c r="S86" s="13" t="b">
        <v>0</v>
      </c>
      <c r="T86" s="18" t="b">
        <f t="shared" si="1"/>
        <v>0</v>
      </c>
      <c r="U86" s="19" t="b">
        <v>0</v>
      </c>
      <c r="V86" s="13"/>
      <c r="W86" s="13"/>
    </row>
    <row r="87" spans="1:23" ht="66" x14ac:dyDescent="0.25">
      <c r="A87" s="11">
        <v>86</v>
      </c>
      <c r="B87" s="12" t="b">
        <v>1</v>
      </c>
      <c r="C87" s="12" t="s">
        <v>247</v>
      </c>
      <c r="D87" s="13" t="str">
        <f ca="1">IFERROR(__xludf.DUMMYFUNCTION("IF(NOT(ISBLANK(G87)), REGEXEXTRACT(G87, ""\)\. (.*?)\.""), """")"),"An Architecture to Integrate Experimentation into the Software Development Infrastructure")</f>
        <v>An Architecture to Integrate Experimentation into the Software Development Infrastructure</v>
      </c>
      <c r="E87" s="12" t="str">
        <f t="shared" si="0"/>
        <v>Auer</v>
      </c>
      <c r="F87" s="14" t="str">
        <f ca="1">IFERROR(__xludf.DUMMYFUNCTION("IF(NOT(ISBLANK(G87)), REGEXEXTRACT(G87, ""\((\d{4})""), """")"),"2021")</f>
        <v>2021</v>
      </c>
      <c r="G87" s="36" t="s">
        <v>155</v>
      </c>
      <c r="H87" s="15">
        <v>1</v>
      </c>
      <c r="I87" s="13" t="s">
        <v>41</v>
      </c>
      <c r="J87" s="13" t="s">
        <v>156</v>
      </c>
      <c r="K87" s="16" t="b">
        <v>1</v>
      </c>
      <c r="L87" s="13" t="b">
        <v>1</v>
      </c>
      <c r="M87" s="13" t="b">
        <v>1</v>
      </c>
      <c r="N87" s="13" t="b">
        <v>1</v>
      </c>
      <c r="O87" s="13" t="b">
        <v>1</v>
      </c>
      <c r="P87" s="17" t="b">
        <v>0</v>
      </c>
      <c r="Q87" s="13" t="b">
        <v>0</v>
      </c>
      <c r="R87" s="13" t="b">
        <v>0</v>
      </c>
      <c r="S87" s="13" t="b">
        <v>0</v>
      </c>
      <c r="T87" s="18" t="b">
        <f t="shared" si="1"/>
        <v>1</v>
      </c>
      <c r="U87" s="19" t="b">
        <v>0</v>
      </c>
      <c r="V87" s="13"/>
      <c r="W87" s="13"/>
    </row>
    <row r="88" spans="1:23" ht="26.4" x14ac:dyDescent="0.25">
      <c r="A88" s="11">
        <v>87</v>
      </c>
      <c r="B88" s="12" t="b">
        <v>1</v>
      </c>
      <c r="C88" s="12" t="s">
        <v>247</v>
      </c>
      <c r="D88" s="13" t="str">
        <f ca="1">IFERROR(__xludf.DUMMYFUNCTION("IF(NOT(ISBLANK(G88)), REGEXEXTRACT(G88, ""\)\. (.*?)\.""), """")"),"Research methods")</f>
        <v>Research methods</v>
      </c>
      <c r="E88" s="12" t="str">
        <f t="shared" si="0"/>
        <v>Recker</v>
      </c>
      <c r="F88" s="14" t="str">
        <f ca="1">IFERROR(__xludf.DUMMYFUNCTION("IF(NOT(ISBLANK(G88)), REGEXEXTRACT(G88, ""\((\d{4})""), """")"),"2021")</f>
        <v>2021</v>
      </c>
      <c r="G88" s="36" t="s">
        <v>157</v>
      </c>
      <c r="H88" s="15">
        <v>10</v>
      </c>
      <c r="I88" s="13" t="s">
        <v>41</v>
      </c>
      <c r="J88" s="13"/>
      <c r="K88" s="16" t="b">
        <v>1</v>
      </c>
      <c r="L88" s="13" t="b">
        <v>0</v>
      </c>
      <c r="M88" s="13" t="b">
        <v>0</v>
      </c>
      <c r="N88" s="13" t="b">
        <v>0</v>
      </c>
      <c r="O88" s="13" t="b">
        <v>0</v>
      </c>
      <c r="P88" s="17" t="b">
        <v>0</v>
      </c>
      <c r="Q88" s="13" t="b">
        <v>0</v>
      </c>
      <c r="R88" s="13" t="b">
        <v>0</v>
      </c>
      <c r="S88" s="13" t="b">
        <v>0</v>
      </c>
      <c r="T88" s="18" t="b">
        <f t="shared" si="1"/>
        <v>0</v>
      </c>
      <c r="U88" s="19" t="b">
        <v>0</v>
      </c>
      <c r="V88" s="13"/>
      <c r="W88" s="13"/>
    </row>
    <row r="89" spans="1:23" ht="39.6" x14ac:dyDescent="0.25">
      <c r="A89" s="11">
        <v>88</v>
      </c>
      <c r="B89" s="12" t="b">
        <v>1</v>
      </c>
      <c r="C89" s="12" t="s">
        <v>247</v>
      </c>
      <c r="D89" s="13" t="str">
        <f ca="1">IFERROR(__xludf.DUMMYFUNCTION("IF(NOT(ISBLANK(G89)), REGEXEXTRACT(G89, ""\)\. (.*?)\.""), """")"),"A Comparative Study on Reward Models for UI Adaptation with Reinforcement Learning")</f>
        <v>A Comparative Study on Reward Models for UI Adaptation with Reinforcement Learning</v>
      </c>
      <c r="E89" s="12" t="str">
        <f t="shared" si="0"/>
        <v>Gaspar-Figueiredo</v>
      </c>
      <c r="F89" s="14" t="str">
        <f ca="1">IFERROR(__xludf.DUMMYFUNCTION("IF(NOT(ISBLANK(G89)), REGEXEXTRACT(G89, ""\((\d{4})""), """")"),"2023")</f>
        <v>2023</v>
      </c>
      <c r="G89" s="36" t="s">
        <v>158</v>
      </c>
      <c r="H89" s="15">
        <v>0</v>
      </c>
      <c r="I89" s="13" t="s">
        <v>25</v>
      </c>
      <c r="J89" s="13"/>
      <c r="K89" s="16" t="b">
        <v>1</v>
      </c>
      <c r="L89" s="13" t="b">
        <v>0</v>
      </c>
      <c r="M89" s="13" t="b">
        <v>1</v>
      </c>
      <c r="N89" s="13" t="b">
        <v>1</v>
      </c>
      <c r="O89" s="13" t="b">
        <v>1</v>
      </c>
      <c r="P89" s="17" t="b">
        <v>0</v>
      </c>
      <c r="Q89" s="13" t="b">
        <v>0</v>
      </c>
      <c r="R89" s="13" t="b">
        <v>0</v>
      </c>
      <c r="S89" s="13" t="b">
        <v>0</v>
      </c>
      <c r="T89" s="18" t="b">
        <f t="shared" si="1"/>
        <v>0</v>
      </c>
      <c r="U89" s="19" t="b">
        <v>0</v>
      </c>
      <c r="V89" s="13"/>
      <c r="W89" s="13"/>
    </row>
    <row r="90" spans="1:23" ht="66" x14ac:dyDescent="0.25">
      <c r="A90" s="11">
        <v>89</v>
      </c>
      <c r="B90" s="12" t="b">
        <v>1</v>
      </c>
      <c r="C90" s="12" t="s">
        <v>248</v>
      </c>
      <c r="D90" s="13" t="str">
        <f ca="1">IFERROR(__xludf.DUMMYFUNCTION("IF(NOT(ISBLANK(G90)), REGEXEXTRACT(G90, ""\)\. (.*?)\.""), """")"),"Empirical Assessment on Interactive Detection of Code Smells")</f>
        <v>Empirical Assessment on Interactive Detection of Code Smells</v>
      </c>
      <c r="E90" s="12" t="str">
        <f t="shared" si="0"/>
        <v>Albuquerque</v>
      </c>
      <c r="F90" s="14" t="str">
        <f ca="1">IFERROR(__xludf.DUMMYFUNCTION("IF(NOT(ISBLANK(G90)), REGEXEXTRACT(G90, ""\((\d{4})""), """")"),"2022")</f>
        <v>2022</v>
      </c>
      <c r="G90" s="36" t="s">
        <v>159</v>
      </c>
      <c r="H90" s="15">
        <v>6</v>
      </c>
      <c r="I90" s="13" t="s">
        <v>25</v>
      </c>
      <c r="J90" s="13"/>
      <c r="K90" s="16" t="b">
        <v>1</v>
      </c>
      <c r="L90" s="13" t="b">
        <v>1</v>
      </c>
      <c r="M90" s="13" t="b">
        <v>1</v>
      </c>
      <c r="N90" s="13" t="b">
        <v>1</v>
      </c>
      <c r="O90" s="13" t="b">
        <v>1</v>
      </c>
      <c r="P90" s="17" t="b">
        <v>0</v>
      </c>
      <c r="Q90" s="13" t="b">
        <v>0</v>
      </c>
      <c r="R90" s="13" t="b">
        <v>1</v>
      </c>
      <c r="S90" s="13" t="b">
        <v>0</v>
      </c>
      <c r="T90" s="18" t="b">
        <f t="shared" si="1"/>
        <v>0</v>
      </c>
      <c r="U90" s="19" t="b">
        <v>0</v>
      </c>
      <c r="V90" s="13" t="s">
        <v>160</v>
      </c>
      <c r="W90" s="13"/>
    </row>
    <row r="91" spans="1:23" ht="66" x14ac:dyDescent="0.25">
      <c r="A91" s="11">
        <v>90</v>
      </c>
      <c r="B91" s="12" t="b">
        <v>1</v>
      </c>
      <c r="C91" s="12" t="s">
        <v>247</v>
      </c>
      <c r="D91" s="13" t="str">
        <f ca="1">IFERROR(__xludf.DUMMYFUNCTION("IF(NOT(ISBLANK(G91)), REGEXEXTRACT(G91, ""\)\. (.*?)\.""), """")"),"The Importance of the Correlation in Crossover Experiments")</f>
        <v>The Importance of the Correlation in Crossover Experiments</v>
      </c>
      <c r="E91" s="12" t="str">
        <f t="shared" si="0"/>
        <v>Kitchenham</v>
      </c>
      <c r="F91" s="14" t="str">
        <f ca="1">IFERROR(__xludf.DUMMYFUNCTION("IF(NOT(ISBLANK(G91)), REGEXEXTRACT(G91, ""\((\d{4})""), """")"),"2021")</f>
        <v>2021</v>
      </c>
      <c r="G91" s="36" t="s">
        <v>161</v>
      </c>
      <c r="H91" s="15">
        <v>2</v>
      </c>
      <c r="I91" s="13" t="s">
        <v>41</v>
      </c>
      <c r="J91" s="13" t="s">
        <v>162</v>
      </c>
      <c r="K91" s="16" t="b">
        <v>0</v>
      </c>
      <c r="L91" s="13" t="b">
        <v>0</v>
      </c>
      <c r="M91" s="13" t="b">
        <v>0</v>
      </c>
      <c r="N91" s="13" t="b">
        <v>0</v>
      </c>
      <c r="O91" s="13" t="b">
        <v>0</v>
      </c>
      <c r="P91" s="17" t="b">
        <v>0</v>
      </c>
      <c r="Q91" s="13" t="b">
        <v>0</v>
      </c>
      <c r="R91" s="13" t="b">
        <v>0</v>
      </c>
      <c r="S91" s="13" t="b">
        <v>0</v>
      </c>
      <c r="T91" s="18" t="b">
        <f t="shared" si="1"/>
        <v>0</v>
      </c>
      <c r="U91" s="19" t="b">
        <v>0</v>
      </c>
      <c r="V91" s="13"/>
      <c r="W91" s="13"/>
    </row>
    <row r="92" spans="1:23" ht="52.8" x14ac:dyDescent="0.25">
      <c r="A92" s="11">
        <v>91</v>
      </c>
      <c r="B92" s="12" t="b">
        <v>1</v>
      </c>
      <c r="C92" s="12" t="s">
        <v>247</v>
      </c>
      <c r="D92" s="13" t="str">
        <f ca="1">IFERROR(__xludf.DUMMYFUNCTION("IF(NOT(ISBLANK(G92)), REGEXEXTRACT(G92, ""\)\. (.*?)\.""), """")"),"Mining developer dynamics for agent-based simulation of software evolution (Doctoral dissertation, Niedersächsische Staats-und Universitätsbibliothek Göttingen)")</f>
        <v>Mining developer dynamics for agent-based simulation of software evolution (Doctoral dissertation, Niedersächsische Staats-und Universitätsbibliothek Göttingen)</v>
      </c>
      <c r="E92" s="12" t="str">
        <f t="shared" si="0"/>
        <v>Herbold</v>
      </c>
      <c r="F92" s="14" t="str">
        <f ca="1">IFERROR(__xludf.DUMMYFUNCTION("IF(NOT(ISBLANK(G92)), REGEXEXTRACT(G92, ""\((\d{4})""), """")"),"2019")</f>
        <v>2019</v>
      </c>
      <c r="G92" s="36" t="s">
        <v>163</v>
      </c>
      <c r="H92" s="15">
        <v>5</v>
      </c>
      <c r="I92" s="13" t="s">
        <v>25</v>
      </c>
      <c r="J92" s="13"/>
      <c r="K92" s="16" t="b">
        <v>0</v>
      </c>
      <c r="L92" s="13" t="b">
        <v>0</v>
      </c>
      <c r="M92" s="13" t="b">
        <v>0</v>
      </c>
      <c r="N92" s="13" t="b">
        <v>0</v>
      </c>
      <c r="O92" s="13" t="b">
        <v>0</v>
      </c>
      <c r="P92" s="17" t="b">
        <v>0</v>
      </c>
      <c r="Q92" s="13" t="b">
        <v>0</v>
      </c>
      <c r="R92" s="13" t="b">
        <v>0</v>
      </c>
      <c r="S92" s="13" t="b">
        <v>1</v>
      </c>
      <c r="T92" s="18" t="b">
        <f t="shared" si="1"/>
        <v>0</v>
      </c>
      <c r="U92" s="19" t="b">
        <v>0</v>
      </c>
      <c r="V92" s="13"/>
      <c r="W92" s="13"/>
    </row>
    <row r="93" spans="1:23" ht="39.6" x14ac:dyDescent="0.25">
      <c r="A93" s="11">
        <v>92</v>
      </c>
      <c r="B93" s="12" t="b">
        <v>1</v>
      </c>
      <c r="C93" s="12" t="s">
        <v>247</v>
      </c>
      <c r="D93" s="13" t="str">
        <f ca="1">IFERROR(__xludf.DUMMYFUNCTION("IF(NOT(ISBLANK(G93)), REGEXEXTRACT(G93, ""\)\. (.*?)\.""), """")"),"Towards behavior-driven graphical user interface testing")</f>
        <v>Towards behavior-driven graphical user interface testing</v>
      </c>
      <c r="E93" s="12" t="str">
        <f t="shared" si="0"/>
        <v>Bünder</v>
      </c>
      <c r="F93" s="14" t="str">
        <f ca="1">IFERROR(__xludf.DUMMYFUNCTION("IF(NOT(ISBLANK(G93)), REGEXEXTRACT(G93, ""\((\d{4})""), """")"),"2019")</f>
        <v>2019</v>
      </c>
      <c r="G93" s="36" t="s">
        <v>164</v>
      </c>
      <c r="H93" s="15">
        <v>4</v>
      </c>
      <c r="I93" s="13" t="s">
        <v>25</v>
      </c>
      <c r="J93" s="13"/>
      <c r="K93" s="16" t="b">
        <v>1</v>
      </c>
      <c r="L93" s="13" t="b">
        <v>1</v>
      </c>
      <c r="M93" s="13" t="b">
        <v>1</v>
      </c>
      <c r="N93" s="13" t="b">
        <v>1</v>
      </c>
      <c r="O93" s="13" t="b">
        <v>1</v>
      </c>
      <c r="P93" s="17" t="b">
        <v>0</v>
      </c>
      <c r="Q93" s="13" t="b">
        <v>0</v>
      </c>
      <c r="R93" s="13" t="b">
        <v>0</v>
      </c>
      <c r="S93" s="13" t="b">
        <v>0</v>
      </c>
      <c r="T93" s="18" t="b">
        <f t="shared" si="1"/>
        <v>1</v>
      </c>
      <c r="U93" s="19" t="b">
        <v>0</v>
      </c>
      <c r="V93" s="13"/>
      <c r="W93" s="13"/>
    </row>
    <row r="94" spans="1:23" ht="52.8" x14ac:dyDescent="0.25">
      <c r="A94" s="11">
        <v>93</v>
      </c>
      <c r="B94" s="12" t="b">
        <v>1</v>
      </c>
      <c r="C94" s="12" t="s">
        <v>247</v>
      </c>
      <c r="D94" s="13" t="str">
        <f ca="1">IFERROR(__xludf.DUMMYFUNCTION("IF(NOT(ISBLANK(G94)), REGEXEXTRACT(G94, ""\)\. (.*?)\.""), """")"),"Gap between academia and industry: a case of empirical evaluation of three software testing methods")</f>
        <v>Gap between academia and industry: a case of empirical evaluation of three software testing methods</v>
      </c>
      <c r="E94" s="12" t="str">
        <f t="shared" si="0"/>
        <v>Farooq</v>
      </c>
      <c r="F94" s="14" t="str">
        <f ca="1">IFERROR(__xludf.DUMMYFUNCTION("IF(NOT(ISBLANK(G94)), REGEXEXTRACT(G94, ""\((\d{4})""), """")"),"2019")</f>
        <v>2019</v>
      </c>
      <c r="G94" s="36" t="s">
        <v>165</v>
      </c>
      <c r="H94" s="15">
        <v>3</v>
      </c>
      <c r="I94" s="13" t="s">
        <v>22</v>
      </c>
      <c r="J94" s="13"/>
      <c r="K94" s="16" t="b">
        <v>1</v>
      </c>
      <c r="L94" s="13" t="b">
        <v>0</v>
      </c>
      <c r="M94" s="13" t="b">
        <v>0</v>
      </c>
      <c r="N94" s="13" t="b">
        <v>0</v>
      </c>
      <c r="O94" s="13" t="b">
        <v>0</v>
      </c>
      <c r="P94" s="17" t="b">
        <v>0</v>
      </c>
      <c r="Q94" s="13" t="b">
        <v>0</v>
      </c>
      <c r="R94" s="13" t="b">
        <v>0</v>
      </c>
      <c r="S94" s="13" t="b">
        <v>0</v>
      </c>
      <c r="T94" s="18" t="b">
        <f t="shared" si="1"/>
        <v>0</v>
      </c>
      <c r="U94" s="19" t="b">
        <v>0</v>
      </c>
      <c r="V94" s="13"/>
      <c r="W94" s="13"/>
    </row>
    <row r="95" spans="1:23" ht="66" x14ac:dyDescent="0.25">
      <c r="A95" s="11">
        <v>94</v>
      </c>
      <c r="B95" s="12" t="b">
        <v>1</v>
      </c>
      <c r="C95" s="12" t="s">
        <v>247</v>
      </c>
      <c r="D95" s="13" t="str">
        <f ca="1">IFERROR(__xludf.DUMMYFUNCTION("IF(NOT(ISBLANK(G95)), REGEXEXTRACT(G95, ""\)\. (.*?)\.""), """")"),"An empirical analysis of ifpug fpa and cosmic ffp measurement methods")</f>
        <v>An empirical analysis of ifpug fpa and cosmic ffp measurement methods</v>
      </c>
      <c r="E95" s="12" t="str">
        <f t="shared" si="0"/>
        <v>Quesada-López</v>
      </c>
      <c r="F95" s="14" t="str">
        <f ca="1">IFERROR(__xludf.DUMMYFUNCTION("IF(NOT(ISBLANK(G95)), REGEXEXTRACT(G95, ""\((\d{4})""), """")"),"2020")</f>
        <v>2020</v>
      </c>
      <c r="G95" s="36" t="s">
        <v>166</v>
      </c>
      <c r="H95" s="15">
        <v>4</v>
      </c>
      <c r="I95" s="13" t="s">
        <v>25</v>
      </c>
      <c r="J95" s="13"/>
      <c r="K95" s="16" t="b">
        <v>0</v>
      </c>
      <c r="L95" s="13" t="b">
        <v>0</v>
      </c>
      <c r="M95" s="13" t="b">
        <v>0</v>
      </c>
      <c r="N95" s="13" t="b">
        <v>0</v>
      </c>
      <c r="O95" s="13" t="b">
        <v>0</v>
      </c>
      <c r="P95" s="17" t="b">
        <v>1</v>
      </c>
      <c r="Q95" s="13" t="b">
        <v>0</v>
      </c>
      <c r="R95" s="13" t="b">
        <v>0</v>
      </c>
      <c r="S95" s="13" t="b">
        <v>0</v>
      </c>
      <c r="T95" s="18" t="b">
        <f t="shared" si="1"/>
        <v>0</v>
      </c>
      <c r="U95" s="19" t="b">
        <v>0</v>
      </c>
      <c r="V95" s="13"/>
      <c r="W95" s="13"/>
    </row>
    <row r="96" spans="1:23" ht="52.8" x14ac:dyDescent="0.25">
      <c r="A96" s="11">
        <v>95</v>
      </c>
      <c r="B96" s="12" t="b">
        <v>1</v>
      </c>
      <c r="C96" s="12" t="s">
        <v>248</v>
      </c>
      <c r="D96" s="13" t="str">
        <f ca="1">IFERROR(__xludf.DUMMYFUNCTION("IF(NOT(ISBLANK(G96)), REGEXEXTRACT(G96, ""\)\. (.*?)\.""), """")"),"Refactoring Assertion Roulette and Duplicate Assert test smells: a controlled experiment")</f>
        <v>Refactoring Assertion Roulette and Duplicate Assert test smells: a controlled experiment</v>
      </c>
      <c r="E96" s="12" t="str">
        <f t="shared" si="0"/>
        <v>Santana</v>
      </c>
      <c r="F96" s="14" t="str">
        <f ca="1">IFERROR(__xludf.DUMMYFUNCTION("IF(NOT(ISBLANK(G96)), REGEXEXTRACT(G96, ""\((\d{4})""), """")"),"2022")</f>
        <v>2022</v>
      </c>
      <c r="G96" s="36" t="s">
        <v>167</v>
      </c>
      <c r="H96" s="15">
        <v>3</v>
      </c>
      <c r="I96" s="13" t="s">
        <v>25</v>
      </c>
      <c r="J96" s="13"/>
      <c r="K96" s="16" t="b">
        <v>1</v>
      </c>
      <c r="L96" s="13" t="b">
        <v>1</v>
      </c>
      <c r="M96" s="13" t="b">
        <v>1</v>
      </c>
      <c r="N96" s="13" t="b">
        <v>1</v>
      </c>
      <c r="O96" s="13" t="b">
        <v>1</v>
      </c>
      <c r="P96" s="17" t="b">
        <v>0</v>
      </c>
      <c r="Q96" s="13" t="b">
        <v>0</v>
      </c>
      <c r="R96" s="13" t="b">
        <v>1</v>
      </c>
      <c r="S96" s="13" t="b">
        <v>0</v>
      </c>
      <c r="T96" s="18" t="b">
        <f t="shared" si="1"/>
        <v>0</v>
      </c>
      <c r="U96" s="19" t="b">
        <v>0</v>
      </c>
      <c r="V96" s="13" t="s">
        <v>168</v>
      </c>
      <c r="W96" s="13"/>
    </row>
    <row r="97" spans="1:23" ht="79.2" x14ac:dyDescent="0.25">
      <c r="A97" s="11">
        <v>96</v>
      </c>
      <c r="B97" s="12" t="b">
        <v>1</v>
      </c>
      <c r="C97" s="12" t="s">
        <v>247</v>
      </c>
      <c r="D97" s="13" t="str">
        <f ca="1">IFERROR(__xludf.DUMMYFUNCTION("IF(NOT(ISBLANK(G97)), REGEXEXTRACT(G97, ""\)\. (.*?)\.""), """")"),"An experimental evaluation of the understanding of safety compliance needs with models")</f>
        <v>An experimental evaluation of the understanding of safety compliance needs with models</v>
      </c>
      <c r="E97" s="12" t="str">
        <f t="shared" si="0"/>
        <v>De La Vara</v>
      </c>
      <c r="F97" s="14" t="str">
        <f ca="1">IFERROR(__xludf.DUMMYFUNCTION("IF(NOT(ISBLANK(G97)), REGEXEXTRACT(G97, ""\((\d{4})""), """")"),"2017")</f>
        <v>2017</v>
      </c>
      <c r="G97" s="36" t="s">
        <v>169</v>
      </c>
      <c r="H97" s="15">
        <v>7</v>
      </c>
      <c r="I97" s="13" t="s">
        <v>25</v>
      </c>
      <c r="J97" s="13"/>
      <c r="K97" s="16" t="b">
        <v>1</v>
      </c>
      <c r="L97" s="13" t="b">
        <v>1</v>
      </c>
      <c r="M97" s="13" t="b">
        <v>1</v>
      </c>
      <c r="N97" s="13" t="b">
        <v>1</v>
      </c>
      <c r="O97" s="13" t="b">
        <v>1</v>
      </c>
      <c r="P97" s="17" t="b">
        <v>0</v>
      </c>
      <c r="Q97" s="13" t="b">
        <v>0</v>
      </c>
      <c r="R97" s="13" t="b">
        <v>0</v>
      </c>
      <c r="S97" s="13" t="b">
        <v>0</v>
      </c>
      <c r="T97" s="18" t="b">
        <f t="shared" si="1"/>
        <v>1</v>
      </c>
      <c r="U97" s="19" t="b">
        <v>0</v>
      </c>
      <c r="V97" s="13" t="s">
        <v>170</v>
      </c>
      <c r="W97" s="13"/>
    </row>
    <row r="98" spans="1:23" ht="52.8" x14ac:dyDescent="0.25">
      <c r="A98" s="11">
        <v>97</v>
      </c>
      <c r="B98" s="12" t="b">
        <v>1</v>
      </c>
      <c r="C98" s="12" t="s">
        <v>247</v>
      </c>
      <c r="D98" s="13" t="str">
        <f ca="1">IFERROR(__xludf.DUMMYFUNCTION("IF(NOT(ISBLANK(G98)), REGEXEXTRACT(G98, ""\)\. (.*?)\.""), """")"),"Droideh: An exception handling mechanism for android applications")</f>
        <v>Droideh: An exception handling mechanism for android applications</v>
      </c>
      <c r="E98" s="12" t="str">
        <f t="shared" si="0"/>
        <v>Oliveira</v>
      </c>
      <c r="F98" s="14" t="str">
        <f ca="1">IFERROR(__xludf.DUMMYFUNCTION("IF(NOT(ISBLANK(G98)), REGEXEXTRACT(G98, ""\((\d{4})""), """")"),"2018")</f>
        <v>2018</v>
      </c>
      <c r="G98" s="36" t="s">
        <v>171</v>
      </c>
      <c r="H98" s="15">
        <v>4</v>
      </c>
      <c r="I98" s="13" t="s">
        <v>25</v>
      </c>
      <c r="J98" s="13"/>
      <c r="K98" s="16" t="b">
        <v>1</v>
      </c>
      <c r="L98" s="13" t="b">
        <v>1</v>
      </c>
      <c r="M98" s="13" t="b">
        <v>1</v>
      </c>
      <c r="N98" s="13" t="b">
        <v>1</v>
      </c>
      <c r="O98" s="13" t="b">
        <v>1</v>
      </c>
      <c r="P98" s="17" t="b">
        <v>0</v>
      </c>
      <c r="Q98" s="13" t="b">
        <v>0</v>
      </c>
      <c r="R98" s="13" t="b">
        <v>0</v>
      </c>
      <c r="S98" s="13" t="b">
        <v>0</v>
      </c>
      <c r="T98" s="18" t="b">
        <f t="shared" si="1"/>
        <v>1</v>
      </c>
      <c r="U98" s="19" t="b">
        <v>0</v>
      </c>
      <c r="V98" s="13"/>
      <c r="W98" s="13"/>
    </row>
    <row r="99" spans="1:23" ht="52.8" x14ac:dyDescent="0.25">
      <c r="A99" s="11">
        <v>98</v>
      </c>
      <c r="B99" s="12" t="b">
        <v>1</v>
      </c>
      <c r="C99" s="12" t="s">
        <v>247</v>
      </c>
      <c r="D99" s="13" t="str">
        <f ca="1">IFERROR(__xludf.DUMMYFUNCTION("IF(NOT(ISBLANK(G99)), REGEXEXTRACT(G99, ""\)\. (.*?)\.""), """")"),"DSInfoSearch: supporting experimentation process of data scientists")</f>
        <v>DSInfoSearch: supporting experimentation process of data scientists</v>
      </c>
      <c r="E99" s="12" t="str">
        <f t="shared" si="0"/>
        <v>Sivasothy</v>
      </c>
      <c r="F99" s="14" t="str">
        <f ca="1">IFERROR(__xludf.DUMMYFUNCTION("IF(NOT(ISBLANK(G99)), REGEXEXTRACT(G99, ""\((\d{4})""), """")"),"2021")</f>
        <v>2021</v>
      </c>
      <c r="G99" s="36" t="s">
        <v>172</v>
      </c>
      <c r="H99" s="15">
        <v>0</v>
      </c>
      <c r="I99" s="13" t="s">
        <v>41</v>
      </c>
      <c r="J99" s="13" t="s">
        <v>173</v>
      </c>
      <c r="K99" s="16" t="b">
        <v>1</v>
      </c>
      <c r="L99" s="13" t="b">
        <v>0</v>
      </c>
      <c r="M99" s="13" t="b">
        <v>0</v>
      </c>
      <c r="N99" s="13" t="b">
        <v>0</v>
      </c>
      <c r="O99" s="13" t="b">
        <v>0</v>
      </c>
      <c r="P99" s="17" t="b">
        <v>0</v>
      </c>
      <c r="Q99" s="13" t="b">
        <v>0</v>
      </c>
      <c r="R99" s="13" t="b">
        <v>0</v>
      </c>
      <c r="S99" s="13" t="b">
        <v>0</v>
      </c>
      <c r="T99" s="18" t="b">
        <f t="shared" si="1"/>
        <v>0</v>
      </c>
      <c r="U99" s="19" t="b">
        <v>0</v>
      </c>
      <c r="V99" s="13" t="s">
        <v>173</v>
      </c>
      <c r="W99" s="13"/>
    </row>
    <row r="100" spans="1:23" ht="52.8" x14ac:dyDescent="0.25">
      <c r="A100" s="11">
        <v>99</v>
      </c>
      <c r="B100" s="12" t="b">
        <v>1</v>
      </c>
      <c r="C100" s="12" t="s">
        <v>247</v>
      </c>
      <c r="D100" s="13" t="str">
        <f ca="1">IFERROR(__xludf.DUMMYFUNCTION("IF(NOT(ISBLANK(G100)), REGEXEXTRACT(G100, ""\)\. (.*?)\.""), """")"),"Scaling Code Pattern Inference with Interactive What-If Analysis")</f>
        <v>Scaling Code Pattern Inference with Interactive What-If Analysis</v>
      </c>
      <c r="E100" s="12" t="str">
        <f t="shared" si="0"/>
        <v>Kang</v>
      </c>
      <c r="F100" s="14" t="str">
        <f ca="1">IFERROR(__xludf.DUMMYFUNCTION("IF(NOT(ISBLANK(G100)), REGEXEXTRACT(G100, ""\((\d{4})""), """")"),"2024")</f>
        <v>2024</v>
      </c>
      <c r="G100" s="36" t="s">
        <v>174</v>
      </c>
      <c r="H100" s="15">
        <v>0</v>
      </c>
      <c r="I100" s="13" t="s">
        <v>25</v>
      </c>
      <c r="J100" s="13"/>
      <c r="K100" s="16" t="b">
        <v>1</v>
      </c>
      <c r="L100" s="13" t="b">
        <v>1</v>
      </c>
      <c r="M100" s="13" t="b">
        <v>1</v>
      </c>
      <c r="N100" s="13" t="b">
        <v>1</v>
      </c>
      <c r="O100" s="13" t="b">
        <v>1</v>
      </c>
      <c r="P100" s="17" t="b">
        <v>0</v>
      </c>
      <c r="Q100" s="13" t="b">
        <v>0</v>
      </c>
      <c r="R100" s="13" t="b">
        <v>0</v>
      </c>
      <c r="S100" s="13" t="b">
        <v>0</v>
      </c>
      <c r="T100" s="18" t="b">
        <f t="shared" si="1"/>
        <v>1</v>
      </c>
      <c r="U100" s="19" t="b">
        <v>0</v>
      </c>
      <c r="V100" s="13"/>
      <c r="W100" s="13"/>
    </row>
    <row r="101" spans="1:23" ht="92.4" x14ac:dyDescent="0.25">
      <c r="A101" s="11">
        <v>100</v>
      </c>
      <c r="B101" s="12" t="b">
        <v>1</v>
      </c>
      <c r="C101" s="12" t="s">
        <v>247</v>
      </c>
      <c r="D101" s="13" t="str">
        <f ca="1">IFERROR(__xludf.DUMMYFUNCTION("IF(NOT(ISBLANK(G101)), REGEXEXTRACT(G101, ""\)\. (.*?)\.""), """")"),"Does the migration of cross-platform apps towards the android platform matter? An approach and a user study")</f>
        <v>Does the migration of cross-platform apps towards the android platform matter? An approach and a user study</v>
      </c>
      <c r="E101" s="12" t="str">
        <f t="shared" si="0"/>
        <v>Caulo</v>
      </c>
      <c r="F101" s="14" t="str">
        <f ca="1">IFERROR(__xludf.DUMMYFUNCTION("IF(NOT(ISBLANK(G101)), REGEXEXTRACT(G101, ""\((\d{4})""), """")"),"2019")</f>
        <v>2019</v>
      </c>
      <c r="G101" s="36" t="s">
        <v>175</v>
      </c>
      <c r="H101" s="15">
        <v>3</v>
      </c>
      <c r="I101" s="13" t="s">
        <v>25</v>
      </c>
      <c r="J101" s="13"/>
      <c r="K101" s="16" t="b">
        <v>1</v>
      </c>
      <c r="L101" s="13" t="b">
        <v>1</v>
      </c>
      <c r="M101" s="13" t="b">
        <v>1</v>
      </c>
      <c r="N101" s="13" t="b">
        <v>1</v>
      </c>
      <c r="O101" s="13" t="b">
        <v>1</v>
      </c>
      <c r="P101" s="17" t="b">
        <v>0</v>
      </c>
      <c r="Q101" s="13" t="b">
        <v>0</v>
      </c>
      <c r="R101" s="13" t="b">
        <v>0</v>
      </c>
      <c r="S101" s="13" t="b">
        <v>0</v>
      </c>
      <c r="T101" s="18" t="b">
        <f t="shared" si="1"/>
        <v>1</v>
      </c>
      <c r="U101" s="19" t="b">
        <v>0</v>
      </c>
      <c r="V101" s="13"/>
      <c r="W101" s="13"/>
    </row>
    <row r="102" spans="1:23" ht="39.6" x14ac:dyDescent="0.25">
      <c r="A102" s="11">
        <v>101</v>
      </c>
      <c r="B102" s="12" t="b">
        <v>1</v>
      </c>
      <c r="C102" s="12" t="s">
        <v>247</v>
      </c>
      <c r="D102" s="13" t="str">
        <f ca="1">IFERROR(__xludf.DUMMYFUNCTION("IF(NOT(ISBLANK(G102)), REGEXEXTRACT(G102, ""\)\. (.*?)\.""), """")"),"A City upon a Hill: Casting Light on a Real Experimental Process")</f>
        <v>A City upon a Hill: Casting Light on a Real Experimental Process</v>
      </c>
      <c r="E102" s="12" t="str">
        <f t="shared" si="0"/>
        <v>Dieste</v>
      </c>
      <c r="F102" s="14" t="str">
        <f ca="1">IFERROR(__xludf.DUMMYFUNCTION("IF(NOT(ISBLANK(G102)), REGEXEXTRACT(G102, ""\((\d{4})""), """")"),"2021")</f>
        <v>2021</v>
      </c>
      <c r="G102" s="36" t="s">
        <v>176</v>
      </c>
      <c r="H102" s="15">
        <v>0</v>
      </c>
      <c r="I102" s="13" t="s">
        <v>41</v>
      </c>
      <c r="J102" s="13" t="s">
        <v>177</v>
      </c>
      <c r="K102" s="16" t="b">
        <v>1</v>
      </c>
      <c r="L102" s="13" t="b">
        <v>1</v>
      </c>
      <c r="M102" s="13" t="b">
        <v>0</v>
      </c>
      <c r="N102" s="13" t="b">
        <v>0</v>
      </c>
      <c r="O102" s="13" t="b">
        <v>0</v>
      </c>
      <c r="P102" s="17" t="b">
        <v>0</v>
      </c>
      <c r="Q102" s="13" t="b">
        <v>0</v>
      </c>
      <c r="R102" s="13" t="b">
        <v>0</v>
      </c>
      <c r="S102" s="13" t="b">
        <v>0</v>
      </c>
      <c r="T102" s="18" t="b">
        <f t="shared" si="1"/>
        <v>0</v>
      </c>
      <c r="U102" s="19" t="b">
        <v>0</v>
      </c>
      <c r="V102" s="13"/>
      <c r="W102" s="13"/>
    </row>
    <row r="103" spans="1:23" ht="66" x14ac:dyDescent="0.25">
      <c r="A103" s="11">
        <v>102</v>
      </c>
      <c r="B103" s="12" t="b">
        <v>1</v>
      </c>
      <c r="C103" s="12" t="s">
        <v>248</v>
      </c>
      <c r="D103" s="13" t="str">
        <f ca="1">IFERROR(__xludf.DUMMYFUNCTION("IF(NOT(ISBLANK(G103)), REGEXEXTRACT(G103, ""\)\. (.*?)\.""), """")"),"The effect of noise on requirements comprehension")</f>
        <v>The effect of noise on requirements comprehension</v>
      </c>
      <c r="E103" s="12" t="str">
        <f t="shared" si="0"/>
        <v>Romano</v>
      </c>
      <c r="F103" s="14" t="str">
        <f ca="1">IFERROR(__xludf.DUMMYFUNCTION("IF(NOT(ISBLANK(G103)), REGEXEXTRACT(G103, ""\((\d{4})""), """")"),"2018")</f>
        <v>2018</v>
      </c>
      <c r="G103" s="36" t="s">
        <v>178</v>
      </c>
      <c r="H103" s="15">
        <v>3</v>
      </c>
      <c r="I103" s="13" t="s">
        <v>25</v>
      </c>
      <c r="J103" s="13"/>
      <c r="K103" s="16" t="b">
        <v>1</v>
      </c>
      <c r="L103" s="13" t="b">
        <v>0</v>
      </c>
      <c r="M103" s="13" t="b">
        <v>1</v>
      </c>
      <c r="N103" s="13" t="b">
        <v>0</v>
      </c>
      <c r="O103" s="13" t="b">
        <v>1</v>
      </c>
      <c r="P103" s="17" t="b">
        <v>0</v>
      </c>
      <c r="Q103" s="13" t="b">
        <v>0</v>
      </c>
      <c r="R103" s="13" t="b">
        <v>0</v>
      </c>
      <c r="S103" s="13" t="b">
        <v>0</v>
      </c>
      <c r="T103" s="18" t="b">
        <f t="shared" si="1"/>
        <v>0</v>
      </c>
      <c r="U103" s="19" t="b">
        <v>0</v>
      </c>
      <c r="V103" s="13" t="s">
        <v>179</v>
      </c>
      <c r="W103" s="13"/>
    </row>
    <row r="104" spans="1:23" ht="79.2" x14ac:dyDescent="0.25">
      <c r="A104" s="11">
        <v>103</v>
      </c>
      <c r="B104" s="12" t="b">
        <v>1</v>
      </c>
      <c r="C104" s="12" t="s">
        <v>247</v>
      </c>
      <c r="D104" s="13" t="str">
        <f ca="1">IFERROR(__xludf.DUMMYFUNCTION("IF(NOT(ISBLANK(G104)), REGEXEXTRACT(G104, ""\)\. (.*?)\.""), """")"),"A comparation between Bee Swarm Optimization and Greedy Algorithm for the Knapsack Problem with bee reallocation")</f>
        <v>A comparation between Bee Swarm Optimization and Greedy Algorithm for the Knapsack Problem with bee reallocation</v>
      </c>
      <c r="E104" s="12" t="str">
        <f t="shared" si="0"/>
        <v>Sotelo-Figueroa</v>
      </c>
      <c r="F104" s="14" t="str">
        <f ca="1">IFERROR(__xludf.DUMMYFUNCTION("IF(NOT(ISBLANK(G104)), REGEXEXTRACT(G104, ""\((\d{4})""), """")"),"2010")</f>
        <v>2010</v>
      </c>
      <c r="G104" s="36" t="s">
        <v>180</v>
      </c>
      <c r="H104" s="15">
        <v>7</v>
      </c>
      <c r="I104" s="13" t="s">
        <v>25</v>
      </c>
      <c r="J104" s="13"/>
      <c r="K104" s="16" t="b">
        <v>0</v>
      </c>
      <c r="L104" s="13" t="b">
        <v>0</v>
      </c>
      <c r="M104" s="13" t="b">
        <v>0</v>
      </c>
      <c r="N104" s="13" t="b">
        <v>0</v>
      </c>
      <c r="O104" s="13" t="b">
        <v>0</v>
      </c>
      <c r="P104" s="17" t="b">
        <v>0</v>
      </c>
      <c r="Q104" s="13" t="b">
        <v>0</v>
      </c>
      <c r="R104" s="13" t="b">
        <v>0</v>
      </c>
      <c r="S104" s="13" t="b">
        <v>0</v>
      </c>
      <c r="T104" s="18" t="b">
        <f t="shared" si="1"/>
        <v>0</v>
      </c>
      <c r="U104" s="19" t="b">
        <v>0</v>
      </c>
      <c r="V104" s="13" t="s">
        <v>181</v>
      </c>
      <c r="W104" s="13"/>
    </row>
    <row r="105" spans="1:23" ht="52.8" x14ac:dyDescent="0.25">
      <c r="A105" s="11">
        <v>104</v>
      </c>
      <c r="B105" s="12" t="b">
        <v>1</v>
      </c>
      <c r="C105" s="12" t="s">
        <v>247</v>
      </c>
      <c r="D105" s="13" t="str">
        <f ca="1">IFERROR(__xludf.DUMMYFUNCTION("IF(NOT(ISBLANK(G105)), REGEXEXTRACT(G105, ""\)\. (.*?)\.""), """")"),"Towards empirical evidence for the impact of microservice API patterns on software quality: a controlled experiment (Master's thesis)")</f>
        <v>Towards empirical evidence for the impact of microservice API patterns on software quality: a controlled experiment (Master's thesis)</v>
      </c>
      <c r="E105" s="12" t="str">
        <f t="shared" si="0"/>
        <v>Wójcik</v>
      </c>
      <c r="F105" s="14" t="str">
        <f ca="1">IFERROR(__xludf.DUMMYFUNCTION("IF(NOT(ISBLANK(G105)), REGEXEXTRACT(G105, ""\((\d{4})""), """")"),"2023")</f>
        <v>2023</v>
      </c>
      <c r="G105" s="36" t="s">
        <v>182</v>
      </c>
      <c r="H105" s="15">
        <v>0</v>
      </c>
      <c r="I105" s="13" t="s">
        <v>25</v>
      </c>
      <c r="J105" s="13"/>
      <c r="K105" s="16" t="b">
        <v>0</v>
      </c>
      <c r="L105" s="13" t="b">
        <v>0</v>
      </c>
      <c r="M105" s="13" t="b">
        <v>0</v>
      </c>
      <c r="N105" s="13" t="b">
        <v>0</v>
      </c>
      <c r="O105" s="13" t="b">
        <v>0</v>
      </c>
      <c r="P105" s="17" t="b">
        <v>0</v>
      </c>
      <c r="Q105" s="13" t="b">
        <v>0</v>
      </c>
      <c r="R105" s="13" t="b">
        <v>0</v>
      </c>
      <c r="S105" s="13" t="b">
        <v>1</v>
      </c>
      <c r="T105" s="18" t="b">
        <f t="shared" si="1"/>
        <v>0</v>
      </c>
      <c r="U105" s="19" t="b">
        <v>0</v>
      </c>
      <c r="V105" s="13"/>
      <c r="W105" s="13"/>
    </row>
    <row r="106" spans="1:23" ht="39.6" x14ac:dyDescent="0.25">
      <c r="A106" s="11">
        <v>105</v>
      </c>
      <c r="B106" s="12" t="b">
        <v>1</v>
      </c>
      <c r="C106" s="12" t="s">
        <v>247</v>
      </c>
      <c r="D106" s="13" t="str">
        <f ca="1">IFERROR(__xludf.DUMMYFUNCTION("IF(NOT(ISBLANK(G106)), REGEXEXTRACT(G106, ""\)\. (.*?)\.""), """")"),"An Approach Based on Metadata to Implement Convention over Configuration Decoupled from Framework Logic")</f>
        <v>An Approach Based on Metadata to Implement Convention over Configuration Decoupled from Framework Logic</v>
      </c>
      <c r="E106" s="12" t="str">
        <f t="shared" si="0"/>
        <v>Gomes</v>
      </c>
      <c r="F106" s="14" t="str">
        <f ca="1">IFERROR(__xludf.DUMMYFUNCTION("IF(NOT(ISBLANK(G106)), REGEXEXTRACT(G106, ""\((\d{4})""), """")"),"2023")</f>
        <v>2023</v>
      </c>
      <c r="G106" s="36" t="s">
        <v>183</v>
      </c>
      <c r="H106" s="15">
        <v>2</v>
      </c>
      <c r="I106" s="13" t="s">
        <v>25</v>
      </c>
      <c r="J106" s="13"/>
      <c r="K106" s="16" t="b">
        <v>1</v>
      </c>
      <c r="L106" s="13" t="b">
        <v>1</v>
      </c>
      <c r="M106" s="13" t="b">
        <v>1</v>
      </c>
      <c r="N106" s="13" t="b">
        <v>1</v>
      </c>
      <c r="O106" s="13" t="b">
        <v>1</v>
      </c>
      <c r="P106" s="17" t="b">
        <v>0</v>
      </c>
      <c r="Q106" s="13" t="b">
        <v>0</v>
      </c>
      <c r="R106" s="13" t="b">
        <v>0</v>
      </c>
      <c r="S106" s="13" t="b">
        <v>1</v>
      </c>
      <c r="T106" s="18" t="b">
        <f t="shared" si="1"/>
        <v>0</v>
      </c>
      <c r="U106" s="19" t="b">
        <v>0</v>
      </c>
      <c r="V106" s="13" t="s">
        <v>184</v>
      </c>
      <c r="W106" s="13"/>
    </row>
    <row r="107" spans="1:23" ht="52.8" x14ac:dyDescent="0.25">
      <c r="A107" s="11">
        <v>106</v>
      </c>
      <c r="B107" s="12" t="b">
        <v>1</v>
      </c>
      <c r="C107" s="12" t="s">
        <v>247</v>
      </c>
      <c r="D107" s="13" t="str">
        <f ca="1">IFERROR(__xludf.DUMMYFUNCTION("IF(NOT(ISBLANK(G107)), REGEXEXTRACT(G107, ""\)\. (.*?)\.""), """")"),"Improving Consistency Maintenance for Collaborative Software Systems Engineering/eingereicht von Luciano Augusto Marchezan de Paula")</f>
        <v>Improving Consistency Maintenance for Collaborative Software Systems Engineering/eingereicht von Luciano Augusto Marchezan de Paula</v>
      </c>
      <c r="E107" s="12" t="str">
        <f t="shared" si="0"/>
        <v>Marchezan de Paula</v>
      </c>
      <c r="F107" s="14" t="str">
        <f ca="1">IFERROR(__xludf.DUMMYFUNCTION("IF(NOT(ISBLANK(G107)), REGEXEXTRACT(G107, ""\((\d{4})""), """")"),"2023")</f>
        <v>2023</v>
      </c>
      <c r="G107" s="36" t="s">
        <v>185</v>
      </c>
      <c r="H107" s="15">
        <v>0</v>
      </c>
      <c r="I107" s="13" t="s">
        <v>25</v>
      </c>
      <c r="J107" s="13" t="s">
        <v>186</v>
      </c>
      <c r="K107" s="16" t="b">
        <v>0</v>
      </c>
      <c r="L107" s="13" t="b">
        <v>0</v>
      </c>
      <c r="M107" s="13" t="b">
        <v>0</v>
      </c>
      <c r="N107" s="13" t="b">
        <v>0</v>
      </c>
      <c r="O107" s="13" t="b">
        <v>0</v>
      </c>
      <c r="P107" s="17" t="b">
        <v>0</v>
      </c>
      <c r="Q107" s="13" t="b">
        <v>0</v>
      </c>
      <c r="R107" s="13" t="b">
        <v>0</v>
      </c>
      <c r="S107" s="13" t="b">
        <v>1</v>
      </c>
      <c r="T107" s="18" t="b">
        <f t="shared" si="1"/>
        <v>0</v>
      </c>
      <c r="U107" s="19" t="b">
        <v>0</v>
      </c>
      <c r="V107" s="13"/>
      <c r="W107" s="13"/>
    </row>
    <row r="108" spans="1:23" ht="66" x14ac:dyDescent="0.25">
      <c r="A108" s="11">
        <v>107</v>
      </c>
      <c r="B108" s="12" t="b">
        <v>1</v>
      </c>
      <c r="C108" s="12" t="s">
        <v>247</v>
      </c>
      <c r="D108" s="13" t="str">
        <f ca="1">IFERROR(__xludf.DUMMYFUNCTION("IF(NOT(ISBLANK(G108)), REGEXEXTRACT(G108, ""\)\. (.*?)\.""), """")"),"Lessons learned from a partial replication of an experiment in the context of a software engineering course")</f>
        <v>Lessons learned from a partial replication of an experiment in the context of a software engineering course</v>
      </c>
      <c r="E108" s="12" t="str">
        <f t="shared" si="0"/>
        <v>Ramač</v>
      </c>
      <c r="F108" s="14" t="str">
        <f ca="1">IFERROR(__xludf.DUMMYFUNCTION("IF(NOT(ISBLANK(G108)), REGEXEXTRACT(G108, ""\((\d{4})""), """")"),"2017")</f>
        <v>2017</v>
      </c>
      <c r="G108" s="36" t="s">
        <v>187</v>
      </c>
      <c r="H108" s="15">
        <v>3</v>
      </c>
      <c r="I108" s="13" t="s">
        <v>41</v>
      </c>
      <c r="J108" s="13" t="s">
        <v>188</v>
      </c>
      <c r="K108" s="16" t="b">
        <v>1</v>
      </c>
      <c r="L108" s="13" t="b">
        <v>0</v>
      </c>
      <c r="M108" s="13" t="b">
        <v>1</v>
      </c>
      <c r="N108" s="13" t="b">
        <v>1</v>
      </c>
      <c r="O108" s="13" t="b">
        <v>1</v>
      </c>
      <c r="P108" s="17" t="b">
        <v>0</v>
      </c>
      <c r="Q108" s="13" t="b">
        <v>0</v>
      </c>
      <c r="R108" s="13" t="b">
        <v>0</v>
      </c>
      <c r="S108" s="13" t="b">
        <v>0</v>
      </c>
      <c r="T108" s="18" t="b">
        <f t="shared" si="1"/>
        <v>0</v>
      </c>
      <c r="U108" s="19" t="b">
        <v>0</v>
      </c>
      <c r="V108" s="13" t="s">
        <v>189</v>
      </c>
      <c r="W108" s="13"/>
    </row>
    <row r="109" spans="1:23" ht="66" x14ac:dyDescent="0.25">
      <c r="A109" s="11">
        <v>108</v>
      </c>
      <c r="B109" s="12" t="b">
        <v>1</v>
      </c>
      <c r="C109" s="12" t="s">
        <v>247</v>
      </c>
      <c r="D109" s="13" t="str">
        <f ca="1">IFERROR(__xludf.DUMMYFUNCTION("IF(NOT(ISBLANK(G109)), REGEXEXTRACT(G109, ""\)\. (.*?)\.""), """")"),"Publication bias: A detailed analysis of experiments published in ESEM")</f>
        <v>Publication bias: A detailed analysis of experiments published in ESEM</v>
      </c>
      <c r="E109" s="12" t="str">
        <f t="shared" si="0"/>
        <v>Reyes</v>
      </c>
      <c r="F109" s="14" t="str">
        <f ca="1">IFERROR(__xludf.DUMMYFUNCTION("IF(NOT(ISBLANK(G109)), REGEXEXTRACT(G109, ""\((\d{4})""), """")"),"2020")</f>
        <v>2020</v>
      </c>
      <c r="G109" s="36" t="s">
        <v>190</v>
      </c>
      <c r="H109" s="15">
        <v>1</v>
      </c>
      <c r="I109" s="13" t="s">
        <v>41</v>
      </c>
      <c r="J109" s="20" t="s">
        <v>191</v>
      </c>
      <c r="K109" s="16" t="b">
        <v>0</v>
      </c>
      <c r="L109" s="13" t="b">
        <v>0</v>
      </c>
      <c r="M109" s="13" t="b">
        <v>0</v>
      </c>
      <c r="N109" s="13" t="b">
        <v>0</v>
      </c>
      <c r="O109" s="13" t="b">
        <v>0</v>
      </c>
      <c r="P109" s="17" t="b">
        <v>0</v>
      </c>
      <c r="Q109" s="13" t="b">
        <v>0</v>
      </c>
      <c r="R109" s="13" t="b">
        <v>0</v>
      </c>
      <c r="S109" s="13" t="b">
        <v>0</v>
      </c>
      <c r="T109" s="18" t="b">
        <f t="shared" si="1"/>
        <v>0</v>
      </c>
      <c r="U109" s="19" t="b">
        <v>0</v>
      </c>
      <c r="V109" s="13"/>
      <c r="W109" s="13"/>
    </row>
    <row r="110" spans="1:23" ht="52.8" x14ac:dyDescent="0.25">
      <c r="A110" s="11">
        <v>109</v>
      </c>
      <c r="B110" s="12" t="b">
        <v>1</v>
      </c>
      <c r="C110" s="12" t="s">
        <v>247</v>
      </c>
      <c r="D110" s="13" t="str">
        <f ca="1">IFERROR(__xludf.DUMMYFUNCTION("IF(NOT(ISBLANK(G110)), REGEXEXTRACT(G110, ""\)\. (.*?)\.""), """")"),"Improvement of usability in user interfaces for massive data analysis: an empirical study")</f>
        <v>Improvement of usability in user interfaces for massive data analysis: an empirical study</v>
      </c>
      <c r="E110" s="12" t="str">
        <f t="shared" si="0"/>
        <v>Iñiguez-Jarrín</v>
      </c>
      <c r="F110" s="14" t="str">
        <f ca="1">IFERROR(__xludf.DUMMYFUNCTION("IF(NOT(ISBLANK(G110)), REGEXEXTRACT(G110, ""\((\d{4})""), """")"),"2020")</f>
        <v>2020</v>
      </c>
      <c r="G110" s="36" t="s">
        <v>192</v>
      </c>
      <c r="H110" s="15">
        <v>1</v>
      </c>
      <c r="I110" s="13" t="s">
        <v>25</v>
      </c>
      <c r="J110" s="13"/>
      <c r="K110" s="16" t="b">
        <v>1</v>
      </c>
      <c r="L110" s="13" t="b">
        <v>1</v>
      </c>
      <c r="M110" s="13" t="b">
        <v>1</v>
      </c>
      <c r="N110" s="13" t="b">
        <v>1</v>
      </c>
      <c r="O110" s="13" t="b">
        <v>1</v>
      </c>
      <c r="P110" s="17" t="b">
        <v>0</v>
      </c>
      <c r="Q110" s="13" t="b">
        <v>0</v>
      </c>
      <c r="R110" s="13" t="b">
        <v>0</v>
      </c>
      <c r="S110" s="13" t="b">
        <v>0</v>
      </c>
      <c r="T110" s="18" t="b">
        <f t="shared" si="1"/>
        <v>1</v>
      </c>
      <c r="U110" s="19" t="b">
        <v>0</v>
      </c>
      <c r="V110" s="13"/>
      <c r="W110" s="13"/>
    </row>
    <row r="111" spans="1:23" ht="26.4" x14ac:dyDescent="0.25">
      <c r="A111" s="11">
        <v>110</v>
      </c>
      <c r="B111" s="12" t="b">
        <v>1</v>
      </c>
      <c r="C111" s="12" t="s">
        <v>247</v>
      </c>
      <c r="D111" s="13" t="str">
        <f ca="1">IFERROR(__xludf.DUMMYFUNCTION("IF(NOT(ISBLANK(G111)), REGEXEXTRACT(G111, ""\)\. (.*?)\.""), """")"),"Publication Bias: A Detailed Analysis of Experiments Published in ESEM")</f>
        <v>Publication Bias: A Detailed Analysis of Experiments Published in ESEM</v>
      </c>
      <c r="E111" s="12" t="str">
        <f t="shared" si="0"/>
        <v>Ch</v>
      </c>
      <c r="F111" s="14" t="str">
        <f ca="1">IFERROR(__xludf.DUMMYFUNCTION("IF(NOT(ISBLANK(G111)), REGEXEXTRACT(G111, ""\((\d{4})""), """")"),"2020")</f>
        <v>2020</v>
      </c>
      <c r="G111" s="36" t="s">
        <v>193</v>
      </c>
      <c r="H111" s="15">
        <v>1</v>
      </c>
      <c r="I111" s="13" t="s">
        <v>41</v>
      </c>
      <c r="J111" s="13" t="s">
        <v>194</v>
      </c>
      <c r="K111" s="16" t="b">
        <v>0</v>
      </c>
      <c r="L111" s="13" t="b">
        <v>0</v>
      </c>
      <c r="M111" s="13" t="b">
        <v>0</v>
      </c>
      <c r="N111" s="13" t="b">
        <v>0</v>
      </c>
      <c r="O111" s="13" t="b">
        <v>0</v>
      </c>
      <c r="P111" s="17" t="b">
        <v>0</v>
      </c>
      <c r="Q111" s="13" t="b">
        <v>0</v>
      </c>
      <c r="R111" s="13" t="b">
        <v>1</v>
      </c>
      <c r="S111" s="13" t="b">
        <v>0</v>
      </c>
      <c r="T111" s="18" t="b">
        <f t="shared" si="1"/>
        <v>0</v>
      </c>
      <c r="U111" s="19" t="b">
        <v>0</v>
      </c>
      <c r="V111" s="13"/>
      <c r="W111" s="13"/>
    </row>
    <row r="112" spans="1:23" ht="52.8" x14ac:dyDescent="0.25">
      <c r="A112" s="11">
        <v>111</v>
      </c>
      <c r="B112" s="12" t="b">
        <v>1</v>
      </c>
      <c r="C112" s="12" t="s">
        <v>247</v>
      </c>
      <c r="D112" s="13" t="str">
        <f ca="1">IFERROR(__xludf.DUMMYFUNCTION("IF(NOT(ISBLANK(G112)), REGEXEXTRACT(G112, ""\)\. (.*?)\.""), """")"),"Improving Consistency Maintenance for Collaborative Software Systems Engineering (Doctoral dissertation, JOHANNES KEPLER UNIVERSITY LINZ)")</f>
        <v>Improving Consistency Maintenance for Collaborative Software Systems Engineering (Doctoral dissertation, JOHANNES KEPLER UNIVERSITY LINZ)</v>
      </c>
      <c r="E112" s="12" t="str">
        <f t="shared" si="0"/>
        <v>Marchezan</v>
      </c>
      <c r="F112" s="14" t="str">
        <f ca="1">IFERROR(__xludf.DUMMYFUNCTION("IF(NOT(ISBLANK(G112)), REGEXEXTRACT(G112, ""\((\d{4})""), """")"),"2023")</f>
        <v>2023</v>
      </c>
      <c r="G112" s="36" t="s">
        <v>195</v>
      </c>
      <c r="H112" s="15">
        <v>0</v>
      </c>
      <c r="I112" s="13" t="s">
        <v>25</v>
      </c>
      <c r="J112" s="13" t="s">
        <v>196</v>
      </c>
      <c r="K112" s="16" t="b">
        <v>0</v>
      </c>
      <c r="L112" s="13" t="b">
        <v>0</v>
      </c>
      <c r="M112" s="13" t="b">
        <v>0</v>
      </c>
      <c r="N112" s="13" t="b">
        <v>0</v>
      </c>
      <c r="O112" s="13" t="b">
        <v>0</v>
      </c>
      <c r="P112" s="17" t="b">
        <v>0</v>
      </c>
      <c r="Q112" s="13" t="b">
        <v>0</v>
      </c>
      <c r="R112" s="13" t="b">
        <v>1</v>
      </c>
      <c r="S112" s="13" t="b">
        <v>0</v>
      </c>
      <c r="T112" s="18" t="b">
        <f t="shared" si="1"/>
        <v>0</v>
      </c>
      <c r="U112" s="19" t="b">
        <v>0</v>
      </c>
      <c r="V112" s="13"/>
      <c r="W112" s="13"/>
    </row>
    <row r="113" spans="1:23" ht="66" x14ac:dyDescent="0.25">
      <c r="A113" s="11">
        <v>112</v>
      </c>
      <c r="B113" s="12" t="b">
        <v>1</v>
      </c>
      <c r="C113" s="12" t="s">
        <v>248</v>
      </c>
      <c r="D113" s="13" t="str">
        <f ca="1">IFERROR(__xludf.DUMMYFUNCTION("IF(NOT(ISBLANK(G113)), REGEXEXTRACT(G113, ""\)\. (.*?)\.""), """")"),"On the Effect of Noise on Software Engineers’ Performance: Results from Two Replicated Experiments")</f>
        <v>On the Effect of Noise on Software Engineers’ Performance: Results from Two Replicated Experiments</v>
      </c>
      <c r="E113" s="12" t="str">
        <f t="shared" si="0"/>
        <v>Romano</v>
      </c>
      <c r="F113" s="14" t="str">
        <f ca="1">IFERROR(__xludf.DUMMYFUNCTION("IF(NOT(ISBLANK(G113)), REGEXEXTRACT(G113, ""\((\d{4})""), """")"),"2020")</f>
        <v>2020</v>
      </c>
      <c r="G113" s="36" t="s">
        <v>197</v>
      </c>
      <c r="H113" s="15">
        <v>0</v>
      </c>
      <c r="I113" s="13" t="s">
        <v>25</v>
      </c>
      <c r="J113" s="13" t="s">
        <v>198</v>
      </c>
      <c r="K113" s="16" t="b">
        <v>1</v>
      </c>
      <c r="L113" s="13" t="b">
        <v>1</v>
      </c>
      <c r="M113" s="13" t="b">
        <v>1</v>
      </c>
      <c r="N113" s="13" t="b">
        <v>1</v>
      </c>
      <c r="O113" s="13" t="b">
        <v>1</v>
      </c>
      <c r="P113" s="17" t="b">
        <v>0</v>
      </c>
      <c r="Q113" s="13" t="b">
        <v>0</v>
      </c>
      <c r="R113" s="13" t="b">
        <v>0</v>
      </c>
      <c r="S113" s="13" t="b">
        <v>0</v>
      </c>
      <c r="T113" s="18" t="b">
        <f t="shared" si="1"/>
        <v>1</v>
      </c>
      <c r="U113" s="19" t="b">
        <v>0</v>
      </c>
      <c r="V113" s="13" t="s">
        <v>199</v>
      </c>
      <c r="W113" s="13"/>
    </row>
    <row r="114" spans="1:23" ht="52.8" x14ac:dyDescent="0.25">
      <c r="A114" s="11">
        <v>113</v>
      </c>
      <c r="B114" s="12" t="b">
        <v>1</v>
      </c>
      <c r="C114" s="12" t="s">
        <v>247</v>
      </c>
      <c r="D114" s="13" t="str">
        <f ca="1">IFERROR(__xludf.DUMMYFUNCTION("IF(NOT(ISBLANK(G114)), REGEXEXTRACT(G114, ""\)\. (.*?)\.""), """")"),"Avaliando o processo de derivação de casos de uso a partir de i* e BPMN e suporte computacional")</f>
        <v>Avaliando o processo de derivação de casos de uso a partir de i* e BPMN e suporte computacional</v>
      </c>
      <c r="E114" s="12" t="str">
        <f t="shared" si="0"/>
        <v>Geraldino</v>
      </c>
      <c r="F114" s="14" t="str">
        <f ca="1">IFERROR(__xludf.DUMMYFUNCTION("IF(NOT(ISBLANK(G114)), REGEXEXTRACT(G114, ""\((\d{4})""), """")"),"2020")</f>
        <v>2020</v>
      </c>
      <c r="G114" s="36" t="s">
        <v>200</v>
      </c>
      <c r="H114" s="15">
        <v>1</v>
      </c>
      <c r="I114" s="13" t="s">
        <v>25</v>
      </c>
      <c r="J114" s="13" t="s">
        <v>201</v>
      </c>
      <c r="K114" s="16" t="b">
        <v>0</v>
      </c>
      <c r="L114" s="13" t="b">
        <v>0</v>
      </c>
      <c r="M114" s="13" t="b">
        <v>0</v>
      </c>
      <c r="N114" s="13" t="b">
        <v>0</v>
      </c>
      <c r="O114" s="13" t="b">
        <v>0</v>
      </c>
      <c r="P114" s="17" t="b">
        <v>0</v>
      </c>
      <c r="Q114" s="13" t="b">
        <v>1</v>
      </c>
      <c r="R114" s="13" t="b">
        <v>0</v>
      </c>
      <c r="S114" s="13" t="b">
        <v>0</v>
      </c>
      <c r="T114" s="18" t="b">
        <f t="shared" si="1"/>
        <v>0</v>
      </c>
      <c r="U114" s="19" t="b">
        <v>0</v>
      </c>
      <c r="V114" s="13"/>
      <c r="W114" s="13"/>
    </row>
    <row r="115" spans="1:23" ht="26.4" x14ac:dyDescent="0.25">
      <c r="A115" s="11">
        <v>114</v>
      </c>
      <c r="B115" s="12" t="b">
        <v>1</v>
      </c>
      <c r="C115" s="12" t="s">
        <v>247</v>
      </c>
      <c r="D115" s="13" t="str">
        <f ca="1">IFERROR(__xludf.DUMMYFUNCTION("IF(NOT(ISBLANK(G115)), REGEXEXTRACT(G115, ""\)\. (.*?)\.""), """")"),"Avaliação Experimental da Detecção Interativa de Anomalias de Código")</f>
        <v>Avaliação Experimental da Detecção Interativa de Anomalias de Código</v>
      </c>
      <c r="E115" s="12" t="str">
        <f t="shared" si="0"/>
        <v>Albuquerque</v>
      </c>
      <c r="F115" s="14" t="str">
        <f ca="1">IFERROR(__xludf.DUMMYFUNCTION("IF(NOT(ISBLANK(G115)), REGEXEXTRACT(G115, ""\((\d{4})""), """")"),"2023")</f>
        <v>2023</v>
      </c>
      <c r="G115" s="36" t="s">
        <v>202</v>
      </c>
      <c r="H115" s="15">
        <v>0</v>
      </c>
      <c r="I115" s="13" t="s">
        <v>25</v>
      </c>
      <c r="J115" s="13"/>
      <c r="K115" s="16" t="b">
        <v>0</v>
      </c>
      <c r="L115" s="13" t="b">
        <v>0</v>
      </c>
      <c r="M115" s="13" t="b">
        <v>0</v>
      </c>
      <c r="N115" s="13" t="b">
        <v>0</v>
      </c>
      <c r="O115" s="13" t="b">
        <v>0</v>
      </c>
      <c r="P115" s="17" t="b">
        <v>0</v>
      </c>
      <c r="Q115" s="13" t="b">
        <v>1</v>
      </c>
      <c r="R115" s="13" t="b">
        <v>0</v>
      </c>
      <c r="S115" s="13" t="b">
        <v>0</v>
      </c>
      <c r="T115" s="18" t="b">
        <f t="shared" si="1"/>
        <v>0</v>
      </c>
      <c r="U115" s="19" t="b">
        <v>0</v>
      </c>
      <c r="V115" s="13"/>
      <c r="W115" s="13"/>
    </row>
    <row r="116" spans="1:23" ht="26.4" x14ac:dyDescent="0.25">
      <c r="A116" s="11">
        <v>115</v>
      </c>
      <c r="B116" s="12" t="b">
        <v>1</v>
      </c>
      <c r="C116" s="12" t="s">
        <v>247</v>
      </c>
      <c r="D116" s="13" t="str">
        <f ca="1">IFERROR(__xludf.DUMMYFUNCTION("IF(NOT(ISBLANK(G116)), REGEXEXTRACT(G116, ""\)\. (.*?)\.""), """")"),"Comprensión de modelos de procesos por expertos de dominio")</f>
        <v>Comprensión de modelos de procesos por expertos de dominio</v>
      </c>
      <c r="E116" s="12" t="str">
        <f t="shared" si="0"/>
        <v>Fabia Valdatta</v>
      </c>
      <c r="F116" s="14" t="str">
        <f ca="1">IFERROR(__xludf.DUMMYFUNCTION("IF(NOT(ISBLANK(G116)), REGEXEXTRACT(G116, ""\((\d{4})""), """")"),"2023")</f>
        <v>2023</v>
      </c>
      <c r="G116" s="36" t="s">
        <v>203</v>
      </c>
      <c r="H116" s="15">
        <v>0</v>
      </c>
      <c r="I116" s="13" t="s">
        <v>25</v>
      </c>
      <c r="J116" s="13"/>
      <c r="K116" s="16" t="b">
        <v>0</v>
      </c>
      <c r="L116" s="13" t="b">
        <v>0</v>
      </c>
      <c r="M116" s="13" t="b">
        <v>0</v>
      </c>
      <c r="N116" s="13" t="b">
        <v>0</v>
      </c>
      <c r="O116" s="13" t="b">
        <v>0</v>
      </c>
      <c r="P116" s="17" t="b">
        <v>1</v>
      </c>
      <c r="Q116" s="13" t="b">
        <v>1</v>
      </c>
      <c r="R116" s="13" t="b">
        <v>0</v>
      </c>
      <c r="S116" s="13" t="b">
        <v>0</v>
      </c>
      <c r="T116" s="18" t="b">
        <f t="shared" si="1"/>
        <v>0</v>
      </c>
      <c r="U116" s="19" t="b">
        <v>0</v>
      </c>
      <c r="V116" s="13"/>
      <c r="W116" s="13"/>
    </row>
    <row r="117" spans="1:23" ht="39.6" x14ac:dyDescent="0.25">
      <c r="A117" s="11">
        <v>116</v>
      </c>
      <c r="B117" s="12" t="b">
        <v>1</v>
      </c>
      <c r="C117" s="12" t="s">
        <v>247</v>
      </c>
      <c r="D117" s="13" t="str">
        <f ca="1">IFERROR(__xludf.DUMMYFUNCTION("IF(NOT(ISBLANK(G117)), REGEXEXTRACT(G117, ""\)\. (.*?)\.""), """")"),"A family of experiments for evaluating the usability of a collaborative modelling chatbot")</f>
        <v>A family of experiments for evaluating the usability of a collaborative modelling chatbot</v>
      </c>
      <c r="E117" s="12" t="str">
        <f t="shared" si="0"/>
        <v>Ren</v>
      </c>
      <c r="F117" s="14" t="str">
        <f ca="1">IFERROR(__xludf.DUMMYFUNCTION("IF(NOT(ISBLANK(G117)), REGEXEXTRACT(G117, ""\((\d{4})""), """")"),"2021")</f>
        <v>2021</v>
      </c>
      <c r="G117" s="36" t="s">
        <v>204</v>
      </c>
      <c r="H117" s="15">
        <v>0</v>
      </c>
      <c r="I117" s="13" t="s">
        <v>25</v>
      </c>
      <c r="J117" s="13" t="s">
        <v>205</v>
      </c>
      <c r="K117" s="16" t="b">
        <v>1</v>
      </c>
      <c r="L117" s="13" t="b">
        <v>1</v>
      </c>
      <c r="M117" s="13" t="b">
        <v>1</v>
      </c>
      <c r="N117" s="13" t="b">
        <v>1</v>
      </c>
      <c r="O117" s="13" t="b">
        <v>1</v>
      </c>
      <c r="P117" s="17" t="b">
        <v>0</v>
      </c>
      <c r="Q117" s="13" t="b">
        <v>0</v>
      </c>
      <c r="R117" s="13" t="b">
        <v>0</v>
      </c>
      <c r="S117" s="13" t="b">
        <v>0</v>
      </c>
      <c r="T117" s="18" t="b">
        <f t="shared" si="1"/>
        <v>1</v>
      </c>
      <c r="U117" s="19" t="b">
        <v>0</v>
      </c>
      <c r="V117" s="13"/>
      <c r="W117" s="13"/>
    </row>
    <row r="118" spans="1:23" ht="52.8" x14ac:dyDescent="0.25">
      <c r="A118" s="11">
        <v>117</v>
      </c>
      <c r="B118" s="12" t="b">
        <v>1</v>
      </c>
      <c r="C118" s="12" t="s">
        <v>247</v>
      </c>
      <c r="D118" s="13" t="str">
        <f ca="1">IFERROR(__xludf.DUMMYFUNCTION("IF(NOT(ISBLANK(G118)), REGEXEXTRACT(G118, ""\)\. (.*?)\.""), """")"),"Artifact-based vs human-perceived understandability and modifiability of refactored business processes: An experiment")</f>
        <v>Artifact-based vs human-perceived understandability and modifiability of refactored business processes: An experiment</v>
      </c>
      <c r="E118" s="12" t="str">
        <f t="shared" si="0"/>
        <v>Caivano</v>
      </c>
      <c r="F118" s="14" t="str">
        <f ca="1">IFERROR(__xludf.DUMMYFUNCTION("IF(NOT(ISBLANK(G118)), REGEXEXTRACT(G118, ""\((\d{4})""), """")"),"2018")</f>
        <v>2018</v>
      </c>
      <c r="G118" s="36" t="s">
        <v>206</v>
      </c>
      <c r="H118" s="15">
        <v>0</v>
      </c>
      <c r="I118" s="13" t="s">
        <v>25</v>
      </c>
      <c r="J118" s="13"/>
      <c r="K118" s="16" t="b">
        <v>0</v>
      </c>
      <c r="L118" s="13" t="b">
        <v>0</v>
      </c>
      <c r="M118" s="13" t="b">
        <v>0</v>
      </c>
      <c r="N118" s="13" t="b">
        <v>0</v>
      </c>
      <c r="O118" s="13" t="b">
        <v>0</v>
      </c>
      <c r="P118" s="17" t="b">
        <v>0</v>
      </c>
      <c r="Q118" s="13" t="b">
        <v>0</v>
      </c>
      <c r="R118" s="13" t="b">
        <v>1</v>
      </c>
      <c r="S118" s="13" t="b">
        <v>0</v>
      </c>
      <c r="T118" s="18" t="b">
        <f t="shared" si="1"/>
        <v>0</v>
      </c>
      <c r="U118" s="19" t="b">
        <v>0</v>
      </c>
      <c r="V118" s="13" t="s">
        <v>207</v>
      </c>
      <c r="W118" s="13"/>
    </row>
    <row r="119" spans="1:23" ht="39.6" x14ac:dyDescent="0.25">
      <c r="A119" s="11">
        <v>118</v>
      </c>
      <c r="B119" s="12" t="b">
        <v>1</v>
      </c>
      <c r="C119" s="12" t="s">
        <v>247</v>
      </c>
      <c r="D119" s="13" t="str">
        <f ca="1">IFERROR(__xludf.DUMMYFUNCTION("IF(NOT(ISBLANK(G119)), REGEXEXTRACT(G119, ""\)\. (.*?)\.""), """")"),"#N/A")</f>
        <v>#N/A</v>
      </c>
      <c r="E119" s="12" t="str">
        <f t="shared" si="0"/>
        <v>Cruz Gutiérrez</v>
      </c>
      <c r="F119" s="14" t="str">
        <f ca="1">IFERROR(__xludf.DUMMYFUNCTION("IF(NOT(ISBLANK(G119)), REGEXEXTRACT(G119, ""\((\d{4})""), """")"),"#N/A")</f>
        <v>#N/A</v>
      </c>
      <c r="G119" s="36" t="s">
        <v>208</v>
      </c>
      <c r="H119" s="15">
        <v>0</v>
      </c>
      <c r="I119" s="13" t="s">
        <v>41</v>
      </c>
      <c r="J119" s="13" t="s">
        <v>209</v>
      </c>
      <c r="K119" s="16" t="b">
        <v>0</v>
      </c>
      <c r="L119" s="13" t="b">
        <v>0</v>
      </c>
      <c r="M119" s="13" t="b">
        <v>0</v>
      </c>
      <c r="N119" s="13" t="b">
        <v>0</v>
      </c>
      <c r="O119" s="13" t="b">
        <v>0</v>
      </c>
      <c r="P119" s="17" t="b">
        <v>0</v>
      </c>
      <c r="Q119" s="13" t="b">
        <v>0</v>
      </c>
      <c r="R119" s="13" t="b">
        <v>1</v>
      </c>
      <c r="S119" s="13" t="b">
        <v>1</v>
      </c>
      <c r="T119" s="18" t="b">
        <f t="shared" si="1"/>
        <v>0</v>
      </c>
      <c r="U119" s="19" t="b">
        <v>0</v>
      </c>
      <c r="V119" s="13"/>
      <c r="W119" s="13"/>
    </row>
    <row r="120" spans="1:23" ht="52.8" x14ac:dyDescent="0.25">
      <c r="A120" s="11">
        <v>119</v>
      </c>
      <c r="B120" s="12" t="b">
        <v>1</v>
      </c>
      <c r="C120" s="12" t="s">
        <v>248</v>
      </c>
      <c r="D120" s="13" t="str">
        <f ca="1">IFERROR(__xludf.DUMMYFUNCTION("IF(NOT(ISBLANK(G120)), REGEXEXTRACT(G120, ""\)\. (.*?)\.""), """")"),"miniJava: Automatic Miniaturization of Java Applications")</f>
        <v>miniJava: Automatic Miniaturization of Java Applications</v>
      </c>
      <c r="E120" s="12" t="str">
        <f t="shared" si="0"/>
        <v>Francese</v>
      </c>
      <c r="F120" s="14" t="str">
        <f ca="1">IFERROR(__xludf.DUMMYFUNCTION("IF(NOT(ISBLANK(G120)), REGEXEXTRACT(G120, ""\((\d{4})""), """")"),"2020")</f>
        <v>2020</v>
      </c>
      <c r="G120" s="36" t="s">
        <v>210</v>
      </c>
      <c r="H120" s="15">
        <v>0</v>
      </c>
      <c r="I120" s="13" t="s">
        <v>25</v>
      </c>
      <c r="J120" s="13"/>
      <c r="K120" s="16" t="b">
        <v>1</v>
      </c>
      <c r="L120" s="13" t="b">
        <v>1</v>
      </c>
      <c r="M120" s="13" t="b">
        <v>1</v>
      </c>
      <c r="N120" s="13" t="b">
        <v>1</v>
      </c>
      <c r="O120" s="13" t="b">
        <v>1</v>
      </c>
      <c r="P120" s="17" t="b">
        <v>0</v>
      </c>
      <c r="Q120" s="13" t="b">
        <v>0</v>
      </c>
      <c r="R120" s="13" t="b">
        <v>0</v>
      </c>
      <c r="S120" s="13" t="b">
        <v>0</v>
      </c>
      <c r="T120" s="18" t="b">
        <f t="shared" si="1"/>
        <v>1</v>
      </c>
      <c r="U120" s="19" t="b">
        <v>0</v>
      </c>
      <c r="V120" s="13"/>
      <c r="W120" s="13"/>
    </row>
    <row r="121" spans="1:23" ht="13.2" x14ac:dyDescent="0.25">
      <c r="A121" s="11">
        <v>120</v>
      </c>
      <c r="B121" s="12" t="b">
        <v>1</v>
      </c>
      <c r="C121" s="12" t="s">
        <v>247</v>
      </c>
      <c r="D121" s="13" t="str">
        <f ca="1">IFERROR(__xludf.DUMMYFUNCTION("IF(NOT(ISBLANK(G121)), REGEXEXTRACT(G121, ""\)\. (.*?)\.""), """")"),"#N/A")</f>
        <v>#N/A</v>
      </c>
      <c r="E121" s="12" t="str">
        <f t="shared" si="0"/>
        <v>BAYET</v>
      </c>
      <c r="F121" s="14" t="str">
        <f ca="1">IFERROR(__xludf.DUMMYFUNCTION("IF(NOT(ISBLANK(G121)), REGEXEXTRACT(G121, ""\((\d{4})""), """")"),"#N/A")</f>
        <v>#N/A</v>
      </c>
      <c r="G121" s="36" t="s">
        <v>211</v>
      </c>
      <c r="H121" s="15">
        <v>0</v>
      </c>
      <c r="I121" s="13" t="s">
        <v>212</v>
      </c>
      <c r="J121" s="13" t="s">
        <v>213</v>
      </c>
      <c r="K121" s="16" t="b">
        <v>0</v>
      </c>
      <c r="L121" s="13" t="b">
        <v>0</v>
      </c>
      <c r="M121" s="13" t="b">
        <v>0</v>
      </c>
      <c r="N121" s="13" t="b">
        <v>0</v>
      </c>
      <c r="O121" s="13" t="b">
        <v>0</v>
      </c>
      <c r="P121" s="17" t="b">
        <v>0</v>
      </c>
      <c r="Q121" s="13" t="b">
        <v>0</v>
      </c>
      <c r="R121" s="13" t="b">
        <v>0</v>
      </c>
      <c r="S121" s="13" t="b">
        <v>1</v>
      </c>
      <c r="T121" s="18" t="b">
        <f t="shared" si="1"/>
        <v>0</v>
      </c>
      <c r="U121" s="19" t="b">
        <v>0</v>
      </c>
      <c r="V121" s="13"/>
      <c r="W121" s="13"/>
    </row>
    <row r="122" spans="1:23" ht="13.2" x14ac:dyDescent="0.25">
      <c r="A122" s="11">
        <v>121</v>
      </c>
      <c r="B122" s="12" t="b">
        <v>1</v>
      </c>
      <c r="C122" s="12" t="s">
        <v>247</v>
      </c>
      <c r="D122" s="13" t="str">
        <f ca="1">IFERROR(__xludf.DUMMYFUNCTION("IF(NOT(ISBLANK(G122)), REGEXEXTRACT(G122, ""\)\. (.*?)\.""), """")"),"#N/A")</f>
        <v>#N/A</v>
      </c>
      <c r="E122" s="12" t="str">
        <f t="shared" si="0"/>
        <v>GRABSI</v>
      </c>
      <c r="F122" s="14" t="str">
        <f ca="1">IFERROR(__xludf.DUMMYFUNCTION("IF(NOT(ISBLANK(G122)), REGEXEXTRACT(G122, ""\((\d{4})""), """")"),"#N/A")</f>
        <v>#N/A</v>
      </c>
      <c r="G122" s="36" t="s">
        <v>214</v>
      </c>
      <c r="H122" s="15">
        <v>0</v>
      </c>
      <c r="I122" s="13" t="s">
        <v>212</v>
      </c>
      <c r="J122" s="13" t="s">
        <v>213</v>
      </c>
      <c r="K122" s="16" t="b">
        <v>0</v>
      </c>
      <c r="L122" s="13" t="b">
        <v>0</v>
      </c>
      <c r="M122" s="13" t="b">
        <v>0</v>
      </c>
      <c r="N122" s="13" t="b">
        <v>0</v>
      </c>
      <c r="O122" s="13" t="b">
        <v>0</v>
      </c>
      <c r="P122" s="17" t="b">
        <v>0</v>
      </c>
      <c r="Q122" s="13" t="b">
        <v>0</v>
      </c>
      <c r="R122" s="13" t="b">
        <v>0</v>
      </c>
      <c r="S122" s="13" t="b">
        <v>1</v>
      </c>
      <c r="T122" s="18" t="b">
        <f t="shared" si="1"/>
        <v>0</v>
      </c>
      <c r="U122" s="19" t="b">
        <v>0</v>
      </c>
      <c r="V122" s="13"/>
      <c r="W122" s="13"/>
    </row>
    <row r="123" spans="1:23" ht="26.4" x14ac:dyDescent="0.25">
      <c r="A123" s="11">
        <v>122</v>
      </c>
      <c r="B123" s="12" t="b">
        <v>1</v>
      </c>
      <c r="C123" s="12" t="s">
        <v>247</v>
      </c>
      <c r="D123" s="13" t="str">
        <f ca="1">IFERROR(__xludf.DUMMYFUNCTION("IF(NOT(ISBLANK(G123)), REGEXEXTRACT(G123, ""\)\. (.*?)\.""), """")"),"#N/A")</f>
        <v>#N/A</v>
      </c>
      <c r="E123" s="12" t="str">
        <f t="shared" si="0"/>
        <v>de Roberto</v>
      </c>
      <c r="F123" s="14" t="str">
        <f ca="1">IFERROR(__xludf.DUMMYFUNCTION("IF(NOT(ISBLANK(G123)), REGEXEXTRACT(G123, ""\((\d{4})""), """")"),"#N/A")</f>
        <v>#N/A</v>
      </c>
      <c r="G123" s="36" t="s">
        <v>215</v>
      </c>
      <c r="H123" s="15">
        <v>0</v>
      </c>
      <c r="I123" s="13" t="s">
        <v>25</v>
      </c>
      <c r="J123" s="13" t="s">
        <v>213</v>
      </c>
      <c r="K123" s="16" t="b">
        <v>0</v>
      </c>
      <c r="L123" s="13" t="b">
        <v>0</v>
      </c>
      <c r="M123" s="13" t="b">
        <v>0</v>
      </c>
      <c r="N123" s="13" t="b">
        <v>0</v>
      </c>
      <c r="O123" s="13" t="b">
        <v>0</v>
      </c>
      <c r="P123" s="17" t="b">
        <v>0</v>
      </c>
      <c r="Q123" s="13" t="b">
        <v>0</v>
      </c>
      <c r="R123" s="13" t="b">
        <v>0</v>
      </c>
      <c r="S123" s="13" t="b">
        <v>1</v>
      </c>
      <c r="T123" s="18" t="b">
        <f t="shared" si="1"/>
        <v>0</v>
      </c>
      <c r="U123" s="19" t="b">
        <v>0</v>
      </c>
      <c r="V123" s="13"/>
      <c r="W123" s="13"/>
    </row>
    <row r="124" spans="1:23" ht="52.8" x14ac:dyDescent="0.25">
      <c r="A124" s="11">
        <v>123</v>
      </c>
      <c r="B124" s="12" t="b">
        <v>1</v>
      </c>
      <c r="C124" s="12" t="s">
        <v>247</v>
      </c>
      <c r="D124" s="13" t="str">
        <f ca="1">IFERROR(__xludf.DUMMYFUNCTION("IF(NOT(ISBLANK(G124)), REGEXEXTRACT(G124, ""\)\. (.*?)\.""), """")"),"On Comparative Algorithmic Pathfinding in Complex Networks for Resource-Constrained Software Agents (Doctoral dissertation, Walden University)")</f>
        <v>On Comparative Algorithmic Pathfinding in Complex Networks for Resource-Constrained Software Agents (Doctoral dissertation, Walden University)</v>
      </c>
      <c r="E124" s="12" t="str">
        <f t="shared" si="0"/>
        <v>Moran</v>
      </c>
      <c r="F124" s="14" t="str">
        <f ca="1">IFERROR(__xludf.DUMMYFUNCTION("IF(NOT(ISBLANK(G124)), REGEXEXTRACT(G124, ""\((\d{4})""), """")"),"2017")</f>
        <v>2017</v>
      </c>
      <c r="G124" s="36" t="s">
        <v>216</v>
      </c>
      <c r="H124" s="15">
        <v>1</v>
      </c>
      <c r="I124" s="13" t="s">
        <v>25</v>
      </c>
      <c r="J124" s="13" t="s">
        <v>213</v>
      </c>
      <c r="K124" s="16" t="b">
        <v>0</v>
      </c>
      <c r="L124" s="13" t="b">
        <v>0</v>
      </c>
      <c r="M124" s="13" t="b">
        <v>0</v>
      </c>
      <c r="N124" s="13" t="b">
        <v>0</v>
      </c>
      <c r="O124" s="13" t="b">
        <v>0</v>
      </c>
      <c r="P124" s="17" t="b">
        <v>0</v>
      </c>
      <c r="Q124" s="13" t="b">
        <v>0</v>
      </c>
      <c r="R124" s="13" t="b">
        <v>0</v>
      </c>
      <c r="S124" s="13" t="b">
        <v>1</v>
      </c>
      <c r="T124" s="18" t="b">
        <f t="shared" si="1"/>
        <v>0</v>
      </c>
      <c r="U124" s="19" t="b">
        <v>0</v>
      </c>
      <c r="V124" s="13"/>
      <c r="W124" s="13"/>
    </row>
    <row r="125" spans="1:23" ht="26.4" x14ac:dyDescent="0.25">
      <c r="A125" s="11">
        <v>124</v>
      </c>
      <c r="B125" s="12" t="b">
        <v>1</v>
      </c>
      <c r="C125" s="12" t="s">
        <v>247</v>
      </c>
      <c r="D125" s="13" t="str">
        <f ca="1">IFERROR(__xludf.DUMMYFUNCTION("IF(NOT(ISBLANK(G125)), REGEXEXTRACT(G125, ""\)\. (.*?)\.""), """")"),"Engineering efficient exception handling for android applications")</f>
        <v>Engineering efficient exception handling for android applications</v>
      </c>
      <c r="E125" s="12" t="str">
        <f t="shared" si="0"/>
        <v>Oliveira</v>
      </c>
      <c r="F125" s="14" t="str">
        <f ca="1">IFERROR(__xludf.DUMMYFUNCTION("IF(NOT(ISBLANK(G125)), REGEXEXTRACT(G125, ""\((\d{4})""), """")"),"2021")</f>
        <v>2021</v>
      </c>
      <c r="G125" s="36" t="s">
        <v>217</v>
      </c>
      <c r="H125" s="15">
        <v>0</v>
      </c>
      <c r="I125" s="13" t="s">
        <v>25</v>
      </c>
      <c r="J125" s="13" t="s">
        <v>213</v>
      </c>
      <c r="K125" s="16" t="b">
        <v>0</v>
      </c>
      <c r="L125" s="13" t="b">
        <v>0</v>
      </c>
      <c r="M125" s="13" t="b">
        <v>0</v>
      </c>
      <c r="N125" s="13" t="b">
        <v>0</v>
      </c>
      <c r="O125" s="13" t="b">
        <v>0</v>
      </c>
      <c r="P125" s="17" t="b">
        <v>0</v>
      </c>
      <c r="Q125" s="13" t="b">
        <v>0</v>
      </c>
      <c r="R125" s="13" t="b">
        <v>0</v>
      </c>
      <c r="S125" s="13" t="b">
        <v>1</v>
      </c>
      <c r="T125" s="18" t="b">
        <f t="shared" si="1"/>
        <v>0</v>
      </c>
      <c r="U125" s="19" t="b">
        <v>0</v>
      </c>
      <c r="V125" s="13"/>
      <c r="W125" s="13"/>
    </row>
    <row r="126" spans="1:23" ht="52.8" x14ac:dyDescent="0.25">
      <c r="A126" s="11">
        <v>125</v>
      </c>
      <c r="B126" s="12" t="b">
        <v>1</v>
      </c>
      <c r="C126" s="12" t="s">
        <v>247</v>
      </c>
      <c r="D126" s="13" t="str">
        <f ca="1">IFERROR(__xludf.DUMMYFUNCTION("IF(NOT(ISBLANK(G126)), REGEXEXTRACT(G126, ""\)\. (.*?)\.""), """")"),"¿ Qué factores personales afectan a la calidad y productividad de TDD? Un experimento con profesionales")</f>
        <v>¿ Qué factores personales afectan a la calidad y productividad de TDD? Un experimento con profesionales</v>
      </c>
      <c r="E126" s="12" t="str">
        <f t="shared" si="0"/>
        <v>Raura</v>
      </c>
      <c r="F126" s="14" t="str">
        <f ca="1">IFERROR(__xludf.DUMMYFUNCTION("IF(NOT(ISBLANK(G126)), REGEXEXTRACT(G126, ""\((\d{4})""), """")"),"2022")</f>
        <v>2022</v>
      </c>
      <c r="G126" s="36" t="s">
        <v>218</v>
      </c>
      <c r="H126" s="15">
        <v>0</v>
      </c>
      <c r="I126" s="13" t="s">
        <v>25</v>
      </c>
      <c r="J126" s="13"/>
      <c r="K126" s="16" t="b">
        <v>0</v>
      </c>
      <c r="L126" s="13" t="b">
        <v>0</v>
      </c>
      <c r="M126" s="13" t="b">
        <v>0</v>
      </c>
      <c r="N126" s="13" t="b">
        <v>0</v>
      </c>
      <c r="O126" s="13" t="b">
        <v>0</v>
      </c>
      <c r="P126" s="17" t="b">
        <v>0</v>
      </c>
      <c r="Q126" s="13" t="b">
        <v>1</v>
      </c>
      <c r="R126" s="13" t="b">
        <v>0</v>
      </c>
      <c r="S126" s="13" t="b">
        <v>0</v>
      </c>
      <c r="T126" s="18" t="b">
        <f t="shared" si="1"/>
        <v>0</v>
      </c>
      <c r="U126" s="19" t="b">
        <v>0</v>
      </c>
      <c r="V126" s="13"/>
      <c r="W126" s="13"/>
    </row>
    <row r="127" spans="1:23" ht="39.6" x14ac:dyDescent="0.25">
      <c r="A127" s="11">
        <v>126</v>
      </c>
      <c r="B127" s="12" t="b">
        <v>1</v>
      </c>
      <c r="C127" s="12" t="s">
        <v>247</v>
      </c>
      <c r="D127" s="13" t="str">
        <f ca="1">IFERROR(__xludf.DUMMYFUNCTION("IF(NOT(ISBLANK(G127)), REGEXEXTRACT(G127, ""\)\. (.*?)\.""), """")"),"#N/A")</f>
        <v>#N/A</v>
      </c>
      <c r="E127" s="12" t="str">
        <f t="shared" si="0"/>
        <v>Fonseca</v>
      </c>
      <c r="F127" s="14" t="str">
        <f ca="1">IFERROR(__xludf.DUMMYFUNCTION("IF(NOT(ISBLANK(G127)), REGEXEXTRACT(G127, ""\((\d{4})""), """")"),"#N/A")</f>
        <v>#N/A</v>
      </c>
      <c r="G127" s="36" t="s">
        <v>219</v>
      </c>
      <c r="H127" s="15">
        <v>0</v>
      </c>
      <c r="I127" s="13" t="s">
        <v>25</v>
      </c>
      <c r="J127" s="13"/>
      <c r="K127" s="16" t="b">
        <v>0</v>
      </c>
      <c r="L127" s="13" t="b">
        <v>0</v>
      </c>
      <c r="M127" s="13" t="b">
        <v>0</v>
      </c>
      <c r="N127" s="13" t="b">
        <v>0</v>
      </c>
      <c r="O127" s="13" t="b">
        <v>0</v>
      </c>
      <c r="P127" s="17" t="b">
        <v>0</v>
      </c>
      <c r="Q127" s="13" t="b">
        <v>1</v>
      </c>
      <c r="R127" s="13" t="b">
        <v>0</v>
      </c>
      <c r="S127" s="13" t="b">
        <v>0</v>
      </c>
      <c r="T127" s="18" t="b">
        <f t="shared" si="1"/>
        <v>0</v>
      </c>
      <c r="U127" s="19" t="b">
        <v>0</v>
      </c>
      <c r="V127" s="13"/>
      <c r="W127" s="13"/>
    </row>
    <row r="128" spans="1:23" ht="52.8" x14ac:dyDescent="0.25">
      <c r="A128" s="11">
        <v>127</v>
      </c>
      <c r="B128" s="12" t="b">
        <v>1</v>
      </c>
      <c r="C128" s="12" t="s">
        <v>247</v>
      </c>
      <c r="D128" s="13" t="str">
        <f ca="1">IFERROR(__xludf.DUMMYFUNCTION("IF(NOT(ISBLANK(G128)), REGEXEXTRACT(G128, ""\)\. (.*?)\.""), """")"),"Quality Evaluation of Requirements Models: The Case of Goal Models and Scenarios (Doctoral dissertation, Universidade NOVA de Lisboa (Portugal))")</f>
        <v>Quality Evaluation of Requirements Models: The Case of Goal Models and Scenarios (Doctoral dissertation, Universidade NOVA de Lisboa (Portugal))</v>
      </c>
      <c r="E128" s="12" t="str">
        <f t="shared" si="0"/>
        <v>de Almeida</v>
      </c>
      <c r="F128" s="14" t="str">
        <f ca="1">IFERROR(__xludf.DUMMYFUNCTION("IF(NOT(ISBLANK(G128)), REGEXEXTRACT(G128, ""\((\d{4})""), """")"),"2019")</f>
        <v>2019</v>
      </c>
      <c r="G128" s="36" t="s">
        <v>220</v>
      </c>
      <c r="H128" s="15">
        <v>0</v>
      </c>
      <c r="I128" s="13" t="s">
        <v>25</v>
      </c>
      <c r="J128" s="13"/>
      <c r="K128" s="16" t="b">
        <v>0</v>
      </c>
      <c r="L128" s="13" t="b">
        <v>0</v>
      </c>
      <c r="M128" s="13" t="b">
        <v>0</v>
      </c>
      <c r="N128" s="13" t="b">
        <v>0</v>
      </c>
      <c r="O128" s="13" t="b">
        <v>0</v>
      </c>
      <c r="P128" s="17" t="b">
        <v>0</v>
      </c>
      <c r="Q128" s="13" t="b">
        <v>0</v>
      </c>
      <c r="R128" s="13" t="b">
        <v>0</v>
      </c>
      <c r="S128" s="13" t="b">
        <v>1</v>
      </c>
      <c r="T128" s="18" t="b">
        <f t="shared" si="1"/>
        <v>0</v>
      </c>
      <c r="U128" s="19" t="b">
        <v>0</v>
      </c>
      <c r="V128" s="13"/>
      <c r="W128" s="13"/>
    </row>
    <row r="129" spans="1:23" ht="66" x14ac:dyDescent="0.25">
      <c r="A129" s="11">
        <v>128</v>
      </c>
      <c r="B129" s="12" t="b">
        <v>1</v>
      </c>
      <c r="C129" s="12" t="s">
        <v>247</v>
      </c>
      <c r="D129" s="13" t="str">
        <f ca="1">IFERROR(__xludf.DUMMYFUNCTION("IF(NOT(ISBLANK(G129)), REGEXEXTRACT(G129, ""\)\. (.*?)\.""), """")"),"MoCIP: Un enfoque dirigido por modelos para el aprovisionamiento de infraestructura en la nube (Doctoral dissertation, Universitat Politècnica de València)")</f>
        <v>MoCIP: Un enfoque dirigido por modelos para el aprovisionamiento de infraestructura en la nube (Doctoral dissertation, Universitat Politècnica de València)</v>
      </c>
      <c r="E129" s="12" t="str">
        <f t="shared" si="0"/>
        <v>Sandobalín Guamán</v>
      </c>
      <c r="F129" s="14" t="str">
        <f ca="1">IFERROR(__xludf.DUMMYFUNCTION("IF(NOT(ISBLANK(G129)), REGEXEXTRACT(G129, ""\((\d{4})""), """")"),"2020")</f>
        <v>2020</v>
      </c>
      <c r="G129" s="36" t="s">
        <v>221</v>
      </c>
      <c r="H129" s="15">
        <v>0</v>
      </c>
      <c r="I129" s="13" t="s">
        <v>25</v>
      </c>
      <c r="J129" s="13" t="s">
        <v>213</v>
      </c>
      <c r="K129" s="16" t="b">
        <v>0</v>
      </c>
      <c r="L129" s="13" t="b">
        <v>0</v>
      </c>
      <c r="M129" s="13" t="b">
        <v>0</v>
      </c>
      <c r="N129" s="13" t="b">
        <v>0</v>
      </c>
      <c r="O129" s="13" t="b">
        <v>0</v>
      </c>
      <c r="P129" s="17" t="b">
        <v>0</v>
      </c>
      <c r="Q129" s="13" t="b">
        <v>0</v>
      </c>
      <c r="R129" s="13" t="b">
        <v>0</v>
      </c>
      <c r="S129" s="13" t="b">
        <v>1</v>
      </c>
      <c r="T129" s="18" t="b">
        <f t="shared" si="1"/>
        <v>0</v>
      </c>
      <c r="U129" s="19" t="b">
        <v>0</v>
      </c>
      <c r="V129" s="13"/>
      <c r="W129" s="13"/>
    </row>
    <row r="130" spans="1:23" ht="66" x14ac:dyDescent="0.25">
      <c r="A130" s="11">
        <v>129</v>
      </c>
      <c r="B130" s="12" t="b">
        <v>1</v>
      </c>
      <c r="C130" s="12" t="s">
        <v>247</v>
      </c>
      <c r="D130" s="13" t="str">
        <f ca="1">IFERROR(__xludf.DUMMYFUNCTION("IF(NOT(ISBLANK(G130)), REGEXEXTRACT(G130, ""\)\. (.*?)\.""), """")"),"GenomIUm: Un Método Basado en Patrones para el Diseño de Interfaces de Usuario de Acceso a Datos Genómicos (Doctoral dissertation, Universitat Politècnica de València)")</f>
        <v>GenomIUm: Un Método Basado en Patrones para el Diseño de Interfaces de Usuario de Acceso a Datos Genómicos (Doctoral dissertation, Universitat Politècnica de València)</v>
      </c>
      <c r="E130" s="12" t="str">
        <f t="shared" si="0"/>
        <v>Íñiguez Jarrín</v>
      </c>
      <c r="F130" s="14" t="str">
        <f ca="1">IFERROR(__xludf.DUMMYFUNCTION("IF(NOT(ISBLANK(G130)), REGEXEXTRACT(G130, ""\((\d{4})""), """")"),"2020")</f>
        <v>2020</v>
      </c>
      <c r="G130" s="36" t="s">
        <v>222</v>
      </c>
      <c r="H130" s="15">
        <v>0</v>
      </c>
      <c r="I130" s="13" t="s">
        <v>25</v>
      </c>
      <c r="J130" s="13"/>
      <c r="K130" s="16" t="b">
        <v>0</v>
      </c>
      <c r="L130" s="13" t="b">
        <v>0</v>
      </c>
      <c r="M130" s="13" t="b">
        <v>0</v>
      </c>
      <c r="N130" s="13" t="b">
        <v>0</v>
      </c>
      <c r="O130" s="13" t="b">
        <v>0</v>
      </c>
      <c r="P130" s="17" t="b">
        <v>0</v>
      </c>
      <c r="Q130" s="13" t="b">
        <v>1</v>
      </c>
      <c r="R130" s="13" t="b">
        <v>0</v>
      </c>
      <c r="S130" s="13" t="b">
        <v>0</v>
      </c>
      <c r="T130" s="18" t="b">
        <f t="shared" si="1"/>
        <v>0</v>
      </c>
      <c r="U130" s="19" t="b">
        <v>0</v>
      </c>
      <c r="V130" s="13"/>
      <c r="W130" s="13"/>
    </row>
    <row r="131" spans="1:23" ht="39.6" x14ac:dyDescent="0.25">
      <c r="A131" s="11">
        <v>130</v>
      </c>
      <c r="B131" s="12" t="b">
        <v>1</v>
      </c>
      <c r="C131" s="12" t="s">
        <v>247</v>
      </c>
      <c r="D131" s="13" t="str">
        <f ca="1">IFERROR(__xludf.DUMMYFUNCTION("IF(NOT(ISBLANK(G131)), REGEXEXTRACT(G131, ""\)\. (.*?)\.""), """")"),"Statistical Errors in Software Engineering Experiments: A Preliminary Literature Review")</f>
        <v>Statistical Errors in Software Engineering Experiments: A Preliminary Literature Review</v>
      </c>
      <c r="E131" s="12" t="str">
        <f t="shared" si="0"/>
        <v>Juristo</v>
      </c>
      <c r="F131" s="14" t="str">
        <f ca="1">IFERROR(__xludf.DUMMYFUNCTION("IF(NOT(ISBLANK(G131)), REGEXEXTRACT(G131, ""\((\d{4})""), """")"),"2018")</f>
        <v>2018</v>
      </c>
      <c r="G131" s="36" t="s">
        <v>223</v>
      </c>
      <c r="H131" s="15">
        <v>0</v>
      </c>
      <c r="I131" s="13" t="s">
        <v>41</v>
      </c>
      <c r="J131" s="13" t="s">
        <v>224</v>
      </c>
      <c r="K131" s="16" t="b">
        <v>0</v>
      </c>
      <c r="L131" s="13" t="b">
        <v>0</v>
      </c>
      <c r="M131" s="13" t="b">
        <v>0</v>
      </c>
      <c r="N131" s="13" t="b">
        <v>0</v>
      </c>
      <c r="O131" s="13" t="b">
        <v>0</v>
      </c>
      <c r="P131" s="17" t="b">
        <v>0</v>
      </c>
      <c r="Q131" s="13" t="b">
        <v>0</v>
      </c>
      <c r="R131" s="13" t="b">
        <v>1</v>
      </c>
      <c r="S131" s="13" t="b">
        <v>0</v>
      </c>
      <c r="T131" s="18" t="b">
        <f t="shared" si="1"/>
        <v>0</v>
      </c>
      <c r="U131" s="19" t="b">
        <v>0</v>
      </c>
      <c r="V131" s="13"/>
      <c r="W131" s="13"/>
    </row>
    <row r="132" spans="1:23" ht="26.4" x14ac:dyDescent="0.25">
      <c r="A132" s="11">
        <v>131</v>
      </c>
      <c r="B132" s="12" t="b">
        <v>1</v>
      </c>
      <c r="C132" s="12" t="s">
        <v>247</v>
      </c>
      <c r="D132" s="13" t="str">
        <f ca="1">IFERROR(__xludf.DUMMYFUNCTION("IF(NOT(ISBLANK(G132)), REGEXEXTRACT(G132, ""\)\. (.*?)\.""), """")"),"Information visualization: from petroglyphs to CoDe Graphs")</f>
        <v>Information visualization: from petroglyphs to CoDe Graphs</v>
      </c>
      <c r="E132" s="12" t="str">
        <f t="shared" si="0"/>
        <v>De Roberto</v>
      </c>
      <c r="F132" s="14" t="str">
        <f ca="1">IFERROR(__xludf.DUMMYFUNCTION("IF(NOT(ISBLANK(G132)), REGEXEXTRACT(G132, ""\((\d{4})""), """")"),"2018")</f>
        <v>2018</v>
      </c>
      <c r="G132" s="36" t="s">
        <v>225</v>
      </c>
      <c r="H132" s="15">
        <v>0</v>
      </c>
      <c r="I132" s="13" t="s">
        <v>25</v>
      </c>
      <c r="J132" s="13" t="s">
        <v>226</v>
      </c>
      <c r="K132" s="16" t="b">
        <v>0</v>
      </c>
      <c r="L132" s="13" t="b">
        <v>0</v>
      </c>
      <c r="M132" s="13" t="b">
        <v>0</v>
      </c>
      <c r="N132" s="13" t="b">
        <v>0</v>
      </c>
      <c r="O132" s="13" t="b">
        <v>0</v>
      </c>
      <c r="P132" s="17" t="b">
        <v>0</v>
      </c>
      <c r="Q132" s="13" t="b">
        <v>0</v>
      </c>
      <c r="R132" s="13" t="b">
        <v>1</v>
      </c>
      <c r="S132" s="13" t="b">
        <v>0</v>
      </c>
      <c r="T132" s="18" t="b">
        <f t="shared" si="1"/>
        <v>0</v>
      </c>
      <c r="U132" s="19" t="b">
        <v>0</v>
      </c>
      <c r="V132" s="13"/>
      <c r="W132" s="13"/>
    </row>
    <row r="133" spans="1:23" ht="52.8" x14ac:dyDescent="0.25">
      <c r="A133" s="11">
        <v>132</v>
      </c>
      <c r="B133" s="12" t="b">
        <v>1</v>
      </c>
      <c r="C133" s="12" t="s">
        <v>247</v>
      </c>
      <c r="D133" s="13" t="str">
        <f ca="1">IFERROR(__xludf.DUMMYFUNCTION("IF(NOT(ISBLANK(G133)), REGEXEXTRACT(G133, ""\)\. (.*?)\.""), """")"),"Security by Design: An asset-based approach to bridge the gap between architects and security experts (Doctoral dissertation, Université de Bretagne Sud)")</f>
        <v>Security by Design: An asset-based approach to bridge the gap between architects and security experts (Doctoral dissertation, Université de Bretagne Sud)</v>
      </c>
      <c r="E133" s="12" t="str">
        <f t="shared" si="0"/>
        <v>Messe</v>
      </c>
      <c r="F133" s="14" t="str">
        <f ca="1">IFERROR(__xludf.DUMMYFUNCTION("IF(NOT(ISBLANK(G133)), REGEXEXTRACT(G133, ""\((\d{4})""), """")"),"2021")</f>
        <v>2021</v>
      </c>
      <c r="G133" s="36" t="s">
        <v>227</v>
      </c>
      <c r="H133" s="15">
        <v>0</v>
      </c>
      <c r="I133" s="13" t="s">
        <v>25</v>
      </c>
      <c r="J133" s="13" t="s">
        <v>213</v>
      </c>
      <c r="K133" s="16" t="b">
        <v>0</v>
      </c>
      <c r="L133" s="13" t="b">
        <v>0</v>
      </c>
      <c r="M133" s="13" t="b">
        <v>0</v>
      </c>
      <c r="N133" s="13" t="b">
        <v>0</v>
      </c>
      <c r="O133" s="13" t="b">
        <v>0</v>
      </c>
      <c r="P133" s="17" t="b">
        <v>0</v>
      </c>
      <c r="Q133" s="13" t="b">
        <v>0</v>
      </c>
      <c r="R133" s="13" t="b">
        <v>0</v>
      </c>
      <c r="S133" s="13" t="b">
        <v>1</v>
      </c>
      <c r="T133" s="18" t="b">
        <f t="shared" si="1"/>
        <v>0</v>
      </c>
      <c r="U133" s="19" t="b">
        <v>0</v>
      </c>
      <c r="V133" s="13"/>
      <c r="W133" s="13"/>
    </row>
    <row r="134" spans="1:23" ht="39.6" x14ac:dyDescent="0.25">
      <c r="A134" s="11">
        <v>133</v>
      </c>
      <c r="B134" s="12" t="b">
        <v>1</v>
      </c>
      <c r="C134" s="12" t="s">
        <v>247</v>
      </c>
      <c r="D134" s="13" t="str">
        <f ca="1">IFERROR(__xludf.DUMMYFUNCTION("IF(NOT(ISBLANK(G134)), REGEXEXTRACT(G134, ""\)\. (.*?)\.""), """")"),"An experimental evaluation of the understanding of safety compliance needs with models")</f>
        <v>An experimental evaluation of the understanding of safety compliance needs with models</v>
      </c>
      <c r="E134" s="12" t="str">
        <f t="shared" si="0"/>
        <v>Vara González</v>
      </c>
      <c r="F134" s="14" t="str">
        <f ca="1">IFERROR(__xludf.DUMMYFUNCTION("IF(NOT(ISBLANK(G134)), REGEXEXTRACT(G134, ""\((\d{4})""), """")"),"2017")</f>
        <v>2017</v>
      </c>
      <c r="G134" s="36" t="s">
        <v>228</v>
      </c>
      <c r="H134" s="15">
        <v>0</v>
      </c>
      <c r="I134" s="13" t="s">
        <v>25</v>
      </c>
      <c r="J134" s="13"/>
      <c r="K134" s="16" t="b">
        <v>0</v>
      </c>
      <c r="L134" s="13" t="b">
        <v>0</v>
      </c>
      <c r="M134" s="13" t="b">
        <v>0</v>
      </c>
      <c r="N134" s="13" t="b">
        <v>0</v>
      </c>
      <c r="O134" s="13" t="b">
        <v>0</v>
      </c>
      <c r="P134" s="17" t="b">
        <v>0</v>
      </c>
      <c r="Q134" s="13" t="b">
        <v>0</v>
      </c>
      <c r="R134" s="13" t="b">
        <v>1</v>
      </c>
      <c r="S134" s="13" t="b">
        <v>0</v>
      </c>
      <c r="T134" s="18" t="b">
        <f t="shared" si="1"/>
        <v>0</v>
      </c>
      <c r="U134" s="19" t="b">
        <v>0</v>
      </c>
      <c r="V134" s="13" t="s">
        <v>229</v>
      </c>
      <c r="W134" s="13"/>
    </row>
    <row r="135" spans="1:23" ht="26.4" x14ac:dyDescent="0.25">
      <c r="A135" s="11">
        <v>134</v>
      </c>
      <c r="B135" s="12" t="b">
        <v>1</v>
      </c>
      <c r="C135" s="12" t="s">
        <v>248</v>
      </c>
      <c r="D135" s="13" t="str">
        <f ca="1">IFERROR(__xludf.DUMMYFUNCTION("IF(NOT(ISBLANK(G135)), REGEXEXTRACT(G135, ""\)\. (.*?)\.""), """")"),"The E ect of Noise on Requirements Comprehension")</f>
        <v>The E ect of Noise on Requirements Comprehension</v>
      </c>
      <c r="E135" s="12" t="str">
        <f t="shared" si="0"/>
        <v>Romano</v>
      </c>
      <c r="F135" s="14" t="str">
        <f ca="1">IFERROR(__xludf.DUMMYFUNCTION("IF(NOT(ISBLANK(G135)), REGEXEXTRACT(G135, ""\((\d{4})""), """")"),"2016")</f>
        <v>2016</v>
      </c>
      <c r="G135" s="36" t="s">
        <v>230</v>
      </c>
      <c r="H135" s="15">
        <v>0</v>
      </c>
      <c r="I135" s="13" t="s">
        <v>25</v>
      </c>
      <c r="J135" s="13" t="s">
        <v>231</v>
      </c>
      <c r="K135" s="16" t="b">
        <v>0</v>
      </c>
      <c r="L135" s="13" t="b">
        <v>0</v>
      </c>
      <c r="M135" s="13" t="b">
        <v>0</v>
      </c>
      <c r="N135" s="13" t="b">
        <v>0</v>
      </c>
      <c r="O135" s="13" t="b">
        <v>0</v>
      </c>
      <c r="P135" s="17" t="b">
        <v>0</v>
      </c>
      <c r="Q135" s="13" t="b">
        <v>0</v>
      </c>
      <c r="R135" s="13" t="b">
        <v>1</v>
      </c>
      <c r="S135" s="13" t="b">
        <v>0</v>
      </c>
      <c r="T135" s="18" t="b">
        <f t="shared" si="1"/>
        <v>0</v>
      </c>
      <c r="U135" s="19" t="b">
        <v>0</v>
      </c>
      <c r="V135" s="13" t="s">
        <v>232</v>
      </c>
      <c r="W135" s="13"/>
    </row>
    <row r="136" spans="1:23" ht="52.8" x14ac:dyDescent="0.25">
      <c r="A136" s="11">
        <v>135</v>
      </c>
      <c r="B136" s="12" t="b">
        <v>1</v>
      </c>
      <c r="C136" s="12" t="s">
        <v>247</v>
      </c>
      <c r="D136" s="13" t="str">
        <f ca="1">IFERROR(__xludf.DUMMYFUNCTION("IF(NOT(ISBLANK(G136)), REGEXEXTRACT(G136, ""\)\. (.*?)\.""), """")"),"Dead code: Study and detection (Doctoral dissertation, Ph")</f>
        <v>Dead code: Study and detection (Doctoral dissertation, Ph</v>
      </c>
      <c r="E136" s="12" t="str">
        <f t="shared" si="0"/>
        <v>Romano</v>
      </c>
      <c r="F136" s="14" t="str">
        <f ca="1">IFERROR(__xludf.DUMMYFUNCTION("IF(NOT(ISBLANK(G136)), REGEXEXTRACT(G136, ""\((\d{4})""), """")"),"2018")</f>
        <v>2018</v>
      </c>
      <c r="G136" s="36" t="s">
        <v>233</v>
      </c>
      <c r="H136" s="15">
        <v>2</v>
      </c>
      <c r="I136" s="13" t="s">
        <v>25</v>
      </c>
      <c r="J136" s="13" t="s">
        <v>213</v>
      </c>
      <c r="K136" s="16" t="b">
        <v>0</v>
      </c>
      <c r="L136" s="13" t="b">
        <v>0</v>
      </c>
      <c r="M136" s="13" t="b">
        <v>0</v>
      </c>
      <c r="N136" s="13" t="b">
        <v>0</v>
      </c>
      <c r="O136" s="13" t="b">
        <v>0</v>
      </c>
      <c r="P136" s="17" t="b">
        <v>0</v>
      </c>
      <c r="Q136" s="13" t="b">
        <v>0</v>
      </c>
      <c r="R136" s="13" t="b">
        <v>0</v>
      </c>
      <c r="S136" s="13" t="b">
        <v>1</v>
      </c>
      <c r="T136" s="18" t="b">
        <f t="shared" si="1"/>
        <v>0</v>
      </c>
      <c r="U136" s="19" t="b">
        <v>0</v>
      </c>
      <c r="V136" s="13"/>
      <c r="W136" s="13"/>
    </row>
    <row r="137" spans="1:23" ht="26.4" x14ac:dyDescent="0.25">
      <c r="A137" s="11">
        <v>136</v>
      </c>
      <c r="B137" s="12" t="b">
        <v>1</v>
      </c>
      <c r="C137" s="12" t="s">
        <v>247</v>
      </c>
      <c r="D137" s="13" t="str">
        <f ca="1">IFERROR(__xludf.DUMMYFUNCTION("IF(NOT(ISBLANK(G137)), REGEXEXTRACT(G137, ""\)\. (.*?)\.""), """")"),"#N/A")</f>
        <v>#N/A</v>
      </c>
      <c r="E137" s="12" t="str">
        <f t="shared" si="0"/>
        <v>Nowak</v>
      </c>
      <c r="F137" s="14" t="str">
        <f ca="1">IFERROR(__xludf.DUMMYFUNCTION("IF(NOT(ISBLANK(G137)), REGEXEXTRACT(G137, ""\((\d{4})""), """")"),"#N/A")</f>
        <v>#N/A</v>
      </c>
      <c r="G137" s="36" t="s">
        <v>234</v>
      </c>
      <c r="H137" s="15">
        <v>0</v>
      </c>
      <c r="I137" s="13" t="s">
        <v>41</v>
      </c>
      <c r="J137" s="13" t="s">
        <v>235</v>
      </c>
      <c r="K137" s="16" t="b">
        <v>0</v>
      </c>
      <c r="L137" s="13" t="b">
        <v>0</v>
      </c>
      <c r="M137" s="13" t="b">
        <v>0</v>
      </c>
      <c r="N137" s="13" t="b">
        <v>0</v>
      </c>
      <c r="O137" s="13" t="b">
        <v>0</v>
      </c>
      <c r="P137" s="17" t="b">
        <v>0</v>
      </c>
      <c r="Q137" s="13" t="b">
        <v>0</v>
      </c>
      <c r="R137" s="13" t="b">
        <v>1</v>
      </c>
      <c r="S137" s="13" t="b">
        <v>0</v>
      </c>
      <c r="T137" s="18" t="b">
        <f t="shared" si="1"/>
        <v>0</v>
      </c>
      <c r="U137" s="19" t="b">
        <v>0</v>
      </c>
      <c r="V137" s="13"/>
      <c r="W137" s="13"/>
    </row>
  </sheetData>
  <autoFilter ref="I1:I137" xr:uid="{00000000-0009-0000-0000-000000000000}"/>
  <customSheetViews>
    <customSheetView guid="{F5328ED1-9A2D-41A0-8B04-6123B3BDF08B}" filter="1" showAutoFilter="1">
      <pageMargins left="0.7" right="0.7" top="0.75" bottom="0.75" header="0.3" footer="0.3"/>
      <autoFilter ref="A1:V137" xr:uid="{139A2C4E-5E2B-4705-94D1-47732D09695E}"/>
    </customSheetView>
  </customSheetViews>
  <conditionalFormatting sqref="B2:C137">
    <cfRule type="cellIs" dxfId="16" priority="3" operator="equal">
      <formula>"TRUE"</formula>
    </cfRule>
  </conditionalFormatting>
  <conditionalFormatting sqref="K2:O137">
    <cfRule type="cellIs" dxfId="15" priority="4" operator="equal">
      <formula>"TRUE"</formula>
    </cfRule>
  </conditionalFormatting>
  <conditionalFormatting sqref="P2:S137">
    <cfRule type="cellIs" dxfId="14" priority="5" operator="equal">
      <formula>"TRUE"</formula>
    </cfRule>
  </conditionalFormatting>
  <conditionalFormatting sqref="T2:T137">
    <cfRule type="cellIs" dxfId="3" priority="6" operator="equal">
      <formula>"TRUE"</formula>
    </cfRule>
    <cfRule type="cellIs" dxfId="4" priority="2" operator="equal">
      <formula>FALSE</formula>
    </cfRule>
    <cfRule type="cellIs" dxfId="2" priority="1" operator="equal">
      <formula>TRUE</formula>
    </cfRule>
  </conditionalFormatting>
  <conditionalFormatting sqref="U2:U137">
    <cfRule type="cellIs" dxfId="13" priority="7" operator="equal">
      <formula>"TRUE"</formula>
    </cfRule>
  </conditionalFormatting>
  <dataValidations count="2">
    <dataValidation type="list" allowBlank="1" showErrorMessage="1" sqref="C2:C137" xr:uid="{00000000-0002-0000-0000-000000000000}">
      <formula1>"jfr,dfu"</formula1>
    </dataValidation>
    <dataValidation type="list" allowBlank="1" showErrorMessage="1" sqref="I2:I137" xr:uid="{00000000-0002-0000-0000-000001000000}">
      <formula1>"methodology,empirical,secondary,irrelevant"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5"/>
  <sheetViews>
    <sheetView workbookViewId="0">
      <pane xSplit="2" ySplit="1" topLeftCell="C2" activePane="bottomRight" state="frozen"/>
      <selection pane="topRight" activeCell="C1" sqref="C1"/>
      <selection pane="bottomLeft" activeCell="A2" sqref="A2"/>
      <selection pane="bottomRight" activeCell="G11" sqref="G11"/>
    </sheetView>
  </sheetViews>
  <sheetFormatPr defaultColWidth="12.6640625" defaultRowHeight="15.75" customHeight="1" x14ac:dyDescent="0.25"/>
  <cols>
    <col min="1" max="1" width="3.6640625" customWidth="1"/>
    <col min="2" max="2" width="6.77734375" customWidth="1"/>
    <col min="3" max="3" width="8.88671875" customWidth="1"/>
    <col min="4" max="4" width="37.6640625" customWidth="1"/>
    <col min="5" max="5" width="16.44140625" customWidth="1"/>
    <col min="6" max="6" width="6.33203125" customWidth="1"/>
    <col min="7" max="7" width="56.21875" style="37" customWidth="1"/>
    <col min="8" max="8" width="5.109375" customWidth="1"/>
    <col min="9" max="19" width="6.77734375" customWidth="1"/>
    <col min="20" max="20" width="50.109375" customWidth="1"/>
  </cols>
  <sheetData>
    <row r="1" spans="1:20" ht="13.2" x14ac:dyDescent="0.25">
      <c r="A1" s="1" t="s">
        <v>0</v>
      </c>
      <c r="B1" s="2" t="b">
        <v>0</v>
      </c>
      <c r="C1" s="3" t="s">
        <v>1</v>
      </c>
      <c r="D1" s="4" t="s">
        <v>2</v>
      </c>
      <c r="E1" s="2" t="s">
        <v>3</v>
      </c>
      <c r="F1" s="5" t="s">
        <v>4</v>
      </c>
      <c r="G1" s="35" t="s">
        <v>5</v>
      </c>
      <c r="H1" s="2" t="s">
        <v>6</v>
      </c>
      <c r="I1" s="7" t="s">
        <v>9</v>
      </c>
      <c r="J1" s="8" t="s">
        <v>10</v>
      </c>
      <c r="K1" s="8" t="s">
        <v>11</v>
      </c>
      <c r="L1" s="8" t="s">
        <v>12</v>
      </c>
      <c r="M1" s="8" t="s">
        <v>13</v>
      </c>
      <c r="N1" s="9" t="s">
        <v>14</v>
      </c>
      <c r="O1" s="8" t="s">
        <v>15</v>
      </c>
      <c r="P1" s="8" t="s">
        <v>16</v>
      </c>
      <c r="Q1" s="8" t="s">
        <v>17</v>
      </c>
      <c r="R1" s="7" t="s">
        <v>18</v>
      </c>
      <c r="S1" s="10" t="s">
        <v>19</v>
      </c>
      <c r="T1" s="6" t="s">
        <v>8</v>
      </c>
    </row>
    <row r="2" spans="1:20" ht="52.8" x14ac:dyDescent="0.25">
      <c r="A2" s="11">
        <v>6</v>
      </c>
      <c r="B2" s="12" t="b">
        <v>1</v>
      </c>
      <c r="C2" s="12" t="s">
        <v>247</v>
      </c>
      <c r="D2" s="13" t="str">
        <f ca="1">IFERROR(__xludf.DUMMYFUNCTION("IF(NOT(ISBLANK(G2)), REGEXEXTRACT(G2, ""\)\. (.*?)\.""), """")"),"Impact of the conceptual model's representation format on identifying and understanding user stories")</f>
        <v>Impact of the conceptual model's representation format on identifying and understanding user stories</v>
      </c>
      <c r="E2" s="12" t="str">
        <f t="shared" ref="E2:E15" si="0">IF(NOT(ISBLANK(G2)), LEFT(G2, FIND(", ", G2)-1), "")</f>
        <v>Trkman</v>
      </c>
      <c r="F2" s="14" t="str">
        <f ca="1">IFERROR(__xludf.DUMMYFUNCTION("IF(NOT(ISBLANK(G2)), REGEXEXTRACT(G2, ""\((\d{4})""), """")"),"2019")</f>
        <v>2019</v>
      </c>
      <c r="G2" s="36" t="s">
        <v>31</v>
      </c>
      <c r="H2" s="15">
        <v>26</v>
      </c>
      <c r="I2" s="16" t="b">
        <v>1</v>
      </c>
      <c r="J2" s="13" t="b">
        <v>1</v>
      </c>
      <c r="K2" s="13" t="b">
        <v>1</v>
      </c>
      <c r="L2" s="13" t="b">
        <v>1</v>
      </c>
      <c r="M2" s="13" t="b">
        <v>1</v>
      </c>
      <c r="N2" s="17" t="b">
        <v>0</v>
      </c>
      <c r="O2" s="13" t="b">
        <v>0</v>
      </c>
      <c r="P2" s="13" t="b">
        <v>0</v>
      </c>
      <c r="Q2" s="13" t="b">
        <v>0</v>
      </c>
      <c r="R2" s="18" t="b">
        <f t="shared" ref="R2:R15" si="1">IF(AND(B2,I2,J2,K2,L2,M2,NOT(N2),NOT(O2),NOT(P2),NOT(Q2)), TRUE, FALSE)</f>
        <v>1</v>
      </c>
      <c r="S2" s="19" t="b">
        <v>0</v>
      </c>
      <c r="T2" s="13"/>
    </row>
    <row r="3" spans="1:20" ht="39.6" x14ac:dyDescent="0.25">
      <c r="A3" s="11">
        <v>9</v>
      </c>
      <c r="B3" s="12" t="b">
        <v>1</v>
      </c>
      <c r="C3" s="12" t="s">
        <v>248</v>
      </c>
      <c r="D3" s="13" t="str">
        <f ca="1">IFERROR(__xludf.DUMMYFUNCTION("IF(NOT(ISBLANK(G3)), REGEXEXTRACT(G3, ""\)\. (.*?)\.""), """")"),"Do RESTful API design rules have an impact on the understandability of Web APIs?")</f>
        <v>Do RESTful API design rules have an impact on the understandability of Web APIs?</v>
      </c>
      <c r="E3" s="12" t="str">
        <f t="shared" si="0"/>
        <v>Bogner</v>
      </c>
      <c r="F3" s="14" t="str">
        <f ca="1">IFERROR(__xludf.DUMMYFUNCTION("IF(NOT(ISBLANK(G3)), REGEXEXTRACT(G3, ""\((\d{4})""), """")"),"2023")</f>
        <v>2023</v>
      </c>
      <c r="G3" s="36" t="s">
        <v>35</v>
      </c>
      <c r="H3" s="15">
        <v>2</v>
      </c>
      <c r="I3" s="16" t="b">
        <v>1</v>
      </c>
      <c r="J3" s="13" t="b">
        <v>1</v>
      </c>
      <c r="K3" s="13" t="b">
        <v>1</v>
      </c>
      <c r="L3" s="13" t="b">
        <v>1</v>
      </c>
      <c r="M3" s="13" t="b">
        <v>1</v>
      </c>
      <c r="N3" s="17" t="b">
        <v>0</v>
      </c>
      <c r="O3" s="13" t="b">
        <v>0</v>
      </c>
      <c r="P3" s="13" t="b">
        <v>0</v>
      </c>
      <c r="Q3" s="13" t="b">
        <v>0</v>
      </c>
      <c r="R3" s="18" t="b">
        <f t="shared" si="1"/>
        <v>1</v>
      </c>
      <c r="S3" s="19" t="b">
        <v>0</v>
      </c>
      <c r="T3" s="13" t="s">
        <v>236</v>
      </c>
    </row>
    <row r="4" spans="1:20" ht="52.8" x14ac:dyDescent="0.25">
      <c r="A4" s="11">
        <v>13</v>
      </c>
      <c r="B4" s="12" t="b">
        <v>1</v>
      </c>
      <c r="C4" s="12" t="s">
        <v>247</v>
      </c>
      <c r="D4" s="13" t="str">
        <f ca="1">IFERROR(__xludf.DUMMYFUNCTION("IF(NOT(ISBLANK(G4)), REGEXEXTRACT(G4, ""\)\. (.*?)\.""), """")"),"Would wider adoption of reproducible research be beneficial for empirical software engineering research?")</f>
        <v>Would wider adoption of reproducible research be beneficial for empirical software engineering research?</v>
      </c>
      <c r="E4" s="12" t="str">
        <f t="shared" si="0"/>
        <v>Madeyski</v>
      </c>
      <c r="F4" s="14" t="str">
        <f ca="1">IFERROR(__xludf.DUMMYFUNCTION("IF(NOT(ISBLANK(G4)), REGEXEXTRACT(G4, ""\((\d{4})""), """")"),"2017")</f>
        <v>2017</v>
      </c>
      <c r="G4" s="36" t="s">
        <v>42</v>
      </c>
      <c r="H4" s="15">
        <v>45</v>
      </c>
      <c r="I4" s="16" t="b">
        <v>1</v>
      </c>
      <c r="J4" s="13" t="b">
        <v>0</v>
      </c>
      <c r="K4" s="13" t="b">
        <v>0</v>
      </c>
      <c r="L4" s="13" t="b">
        <v>0</v>
      </c>
      <c r="M4" s="13" t="b">
        <v>0</v>
      </c>
      <c r="N4" s="17" t="b">
        <v>0</v>
      </c>
      <c r="O4" s="13" t="b">
        <v>0</v>
      </c>
      <c r="P4" s="13" t="b">
        <v>0</v>
      </c>
      <c r="Q4" s="13" t="b">
        <v>0</v>
      </c>
      <c r="R4" s="18" t="b">
        <f t="shared" si="1"/>
        <v>0</v>
      </c>
      <c r="S4" s="19" t="b">
        <v>0</v>
      </c>
      <c r="T4" s="13"/>
    </row>
    <row r="5" spans="1:20" ht="79.2" x14ac:dyDescent="0.25">
      <c r="A5" s="11">
        <v>14</v>
      </c>
      <c r="B5" s="12" t="b">
        <v>1</v>
      </c>
      <c r="C5" s="12" t="s">
        <v>247</v>
      </c>
      <c r="D5" s="13" t="str">
        <f ca="1">IFERROR(__xludf.DUMMYFUNCTION("IF(NOT(ISBLANK(G5)), REGEXEXTRACT(G5, ""\)\. (.*?)\.""), """")"),"An external replication on the effects of test-driven development using a multi-site blind analysis approach")</f>
        <v>An external replication on the effects of test-driven development using a multi-site blind analysis approach</v>
      </c>
      <c r="E5" s="12" t="str">
        <f t="shared" si="0"/>
        <v>Fucci</v>
      </c>
      <c r="F5" s="14" t="str">
        <f ca="1">IFERROR(__xludf.DUMMYFUNCTION("IF(NOT(ISBLANK(G5)), REGEXEXTRACT(G5, ""\((\d{4})""), """")"),"2016")</f>
        <v>2016</v>
      </c>
      <c r="G5" s="36" t="s">
        <v>43</v>
      </c>
      <c r="H5" s="15">
        <v>43</v>
      </c>
      <c r="I5" s="16" t="b">
        <v>1</v>
      </c>
      <c r="J5" s="13" t="b">
        <v>1</v>
      </c>
      <c r="K5" s="13" t="b">
        <v>1</v>
      </c>
      <c r="L5" s="13" t="b">
        <v>1</v>
      </c>
      <c r="M5" s="13" t="b">
        <v>1</v>
      </c>
      <c r="N5" s="17" t="b">
        <v>0</v>
      </c>
      <c r="O5" s="13" t="b">
        <v>0</v>
      </c>
      <c r="P5" s="13" t="b">
        <v>0</v>
      </c>
      <c r="Q5" s="13" t="b">
        <v>0</v>
      </c>
      <c r="R5" s="18" t="b">
        <f t="shared" si="1"/>
        <v>1</v>
      </c>
      <c r="S5" s="19" t="b">
        <v>0</v>
      </c>
      <c r="T5" s="13"/>
    </row>
    <row r="6" spans="1:20" ht="52.8" x14ac:dyDescent="0.25">
      <c r="A6" s="11">
        <v>16</v>
      </c>
      <c r="B6" s="12" t="b">
        <v>1</v>
      </c>
      <c r="C6" s="12" t="s">
        <v>248</v>
      </c>
      <c r="D6" s="13" t="str">
        <f ca="1">IFERROR(__xludf.DUMMYFUNCTION("IF(NOT(ISBLANK(G6)), REGEXEXTRACT(G6, ""\)\. (.*?)\.""), """")"),"Effect sizes and their variance for AB/BA crossover design studies")</f>
        <v>Effect sizes and their variance for AB/BA crossover design studies</v>
      </c>
      <c r="E6" s="12" t="str">
        <f t="shared" si="0"/>
        <v>Madeyski</v>
      </c>
      <c r="F6" s="14" t="str">
        <f ca="1">IFERROR(__xludf.DUMMYFUNCTION("IF(NOT(ISBLANK(G6)), REGEXEXTRACT(G6, ""\((\d{4})""), """")"),"2018")</f>
        <v>2018</v>
      </c>
      <c r="G6" s="36" t="s">
        <v>47</v>
      </c>
      <c r="H6" s="15">
        <v>35</v>
      </c>
      <c r="I6" s="16" t="b">
        <v>1</v>
      </c>
      <c r="J6" s="13" t="b">
        <v>0</v>
      </c>
      <c r="K6" s="13" t="b">
        <v>0</v>
      </c>
      <c r="L6" s="13" t="b">
        <v>0</v>
      </c>
      <c r="M6" s="13" t="b">
        <v>0</v>
      </c>
      <c r="N6" s="17" t="b">
        <v>0</v>
      </c>
      <c r="O6" s="13" t="b">
        <v>0</v>
      </c>
      <c r="P6" s="13" t="b">
        <v>0</v>
      </c>
      <c r="Q6" s="13" t="b">
        <v>0</v>
      </c>
      <c r="R6" s="18" t="b">
        <f t="shared" si="1"/>
        <v>0</v>
      </c>
      <c r="S6" s="19" t="b">
        <v>0</v>
      </c>
      <c r="T6" s="13" t="s">
        <v>237</v>
      </c>
    </row>
    <row r="7" spans="1:20" ht="52.8" x14ac:dyDescent="0.25">
      <c r="A7" s="11">
        <v>40</v>
      </c>
      <c r="B7" s="12" t="b">
        <v>1</v>
      </c>
      <c r="C7" s="12" t="s">
        <v>248</v>
      </c>
      <c r="D7" s="13" t="str">
        <f ca="1">IFERROR(__xludf.DUMMYFUNCTION("IF(NOT(ISBLANK(G7)), REGEXEXTRACT(G7, ""\)\. (.*?)\.""), """")"),"Addressing combinatorial experiments and scarcity of subjects by provably orthogonal and crossover experimental designs")</f>
        <v>Addressing combinatorial experiments and scarcity of subjects by provably orthogonal and crossover experimental designs</v>
      </c>
      <c r="E7" s="12" t="str">
        <f t="shared" si="0"/>
        <v>Massacci</v>
      </c>
      <c r="F7" s="14" t="str">
        <f ca="1">IFERROR(__xludf.DUMMYFUNCTION("IF(NOT(ISBLANK(G7)), REGEXEXTRACT(G7, ""\((\d{4})""), """")"),"2024")</f>
        <v>2024</v>
      </c>
      <c r="G7" s="36" t="s">
        <v>83</v>
      </c>
      <c r="H7" s="15">
        <v>0</v>
      </c>
      <c r="I7" s="16" t="b">
        <v>1</v>
      </c>
      <c r="J7" s="13" t="b">
        <v>0</v>
      </c>
      <c r="K7" s="13" t="b">
        <v>0</v>
      </c>
      <c r="L7" s="13" t="b">
        <v>0</v>
      </c>
      <c r="M7" s="13" t="b">
        <v>0</v>
      </c>
      <c r="N7" s="17" t="b">
        <v>0</v>
      </c>
      <c r="O7" s="13" t="b">
        <v>0</v>
      </c>
      <c r="P7" s="13" t="b">
        <v>0</v>
      </c>
      <c r="Q7" s="13" t="b">
        <v>0</v>
      </c>
      <c r="R7" s="18" t="b">
        <f t="shared" si="1"/>
        <v>0</v>
      </c>
      <c r="S7" s="19" t="b">
        <v>0</v>
      </c>
      <c r="T7" s="13"/>
    </row>
    <row r="8" spans="1:20" ht="39.6" x14ac:dyDescent="0.25">
      <c r="A8" s="11">
        <v>48</v>
      </c>
      <c r="B8" s="12" t="b">
        <v>1</v>
      </c>
      <c r="C8" s="12" t="s">
        <v>247</v>
      </c>
      <c r="D8" s="13" t="str">
        <f ca="1">IFERROR(__xludf.DUMMYFUNCTION("IF(NOT(ISBLANK(G8)), REGEXEXTRACT(G8, ""\)\. (.*?)\.""), """")"),"Increasing validity through replication: an illustrative TDD case")</f>
        <v>Increasing validity through replication: an illustrative TDD case</v>
      </c>
      <c r="E8" s="12" t="str">
        <f t="shared" si="0"/>
        <v>Santos</v>
      </c>
      <c r="F8" s="14" t="str">
        <f ca="1">IFERROR(__xludf.DUMMYFUNCTION("IF(NOT(ISBLANK(G8)), REGEXEXTRACT(G8, ""\((\d{4})""), """")"),"2020")</f>
        <v>2020</v>
      </c>
      <c r="G8" s="36" t="s">
        <v>93</v>
      </c>
      <c r="H8" s="15">
        <v>9</v>
      </c>
      <c r="I8" s="16" t="b">
        <v>1</v>
      </c>
      <c r="J8" s="13" t="b">
        <v>1</v>
      </c>
      <c r="K8" s="13" t="b">
        <v>1</v>
      </c>
      <c r="L8" s="13" t="b">
        <v>1</v>
      </c>
      <c r="M8" s="13" t="b">
        <v>1</v>
      </c>
      <c r="N8" s="17" t="b">
        <v>0</v>
      </c>
      <c r="O8" s="13" t="b">
        <v>0</v>
      </c>
      <c r="P8" s="13" t="b">
        <v>0</v>
      </c>
      <c r="Q8" s="13" t="b">
        <v>0</v>
      </c>
      <c r="R8" s="18" t="b">
        <f t="shared" si="1"/>
        <v>1</v>
      </c>
      <c r="S8" s="19" t="b">
        <v>0</v>
      </c>
      <c r="T8" s="13"/>
    </row>
    <row r="9" spans="1:20" ht="52.8" x14ac:dyDescent="0.25">
      <c r="A9" s="11">
        <v>64</v>
      </c>
      <c r="B9" s="12" t="b">
        <v>1</v>
      </c>
      <c r="C9" s="12" t="s">
        <v>248</v>
      </c>
      <c r="D9" s="13" t="str">
        <f ca="1">IFERROR(__xludf.DUMMYFUNCTION("IF(NOT(ISBLANK(G9)), REGEXEXTRACT(G9, ""\)\. (.*?)\.""), """")"),"A model-driven approach for behavior-driven GUI testing")</f>
        <v>A model-driven approach for behavior-driven GUI testing</v>
      </c>
      <c r="E9" s="12" t="str">
        <f t="shared" si="0"/>
        <v>Bünder</v>
      </c>
      <c r="F9" s="14" t="str">
        <f ca="1">IFERROR(__xludf.DUMMYFUNCTION("IF(NOT(ISBLANK(G9)), REGEXEXTRACT(G9, ""\((\d{4})""), """")"),"2019")</f>
        <v>2019</v>
      </c>
      <c r="G9" s="36" t="s">
        <v>117</v>
      </c>
      <c r="H9" s="15">
        <v>10</v>
      </c>
      <c r="I9" s="16" t="b">
        <v>1</v>
      </c>
      <c r="J9" s="13" t="b">
        <v>1</v>
      </c>
      <c r="K9" s="13" t="b">
        <v>1</v>
      </c>
      <c r="L9" s="13" t="b">
        <v>1</v>
      </c>
      <c r="M9" s="13" t="b">
        <v>1</v>
      </c>
      <c r="N9" s="17" t="b">
        <v>0</v>
      </c>
      <c r="O9" s="13" t="b">
        <v>0</v>
      </c>
      <c r="P9" s="13" t="b">
        <v>0</v>
      </c>
      <c r="Q9" s="13" t="b">
        <v>0</v>
      </c>
      <c r="R9" s="18" t="b">
        <f t="shared" si="1"/>
        <v>1</v>
      </c>
      <c r="S9" s="19" t="b">
        <v>0</v>
      </c>
      <c r="T9" s="13"/>
    </row>
    <row r="10" spans="1:20" ht="52.8" x14ac:dyDescent="0.25">
      <c r="A10" s="11">
        <v>68</v>
      </c>
      <c r="B10" s="12" t="b">
        <v>1</v>
      </c>
      <c r="C10" s="12" t="s">
        <v>248</v>
      </c>
      <c r="D10" s="13" t="str">
        <f ca="1">IFERROR(__xludf.DUMMYFUNCTION("IF(NOT(ISBLANK(G10)), REGEXEXTRACT(G10, ""\)\. (.*?)\.""), """")"),"A Second Look at the Impact of Passive Voice Requirements on Domain Modeling: Bayesian Reanalysis of an Experiment")</f>
        <v>A Second Look at the Impact of Passive Voice Requirements on Domain Modeling: Bayesian Reanalysis of an Experiment</v>
      </c>
      <c r="E10" s="12" t="str">
        <f t="shared" si="0"/>
        <v>Frattini</v>
      </c>
      <c r="F10" s="14" t="str">
        <f ca="1">IFERROR(__xludf.DUMMYFUNCTION("IF(NOT(ISBLANK(G10)), REGEXEXTRACT(G10, ""\((\d{4})""), """")"),"2024")</f>
        <v>2024</v>
      </c>
      <c r="G10" s="36" t="s">
        <v>125</v>
      </c>
      <c r="H10" s="15">
        <v>0</v>
      </c>
      <c r="I10" s="16" t="b">
        <v>1</v>
      </c>
      <c r="J10" s="13" t="b">
        <v>1</v>
      </c>
      <c r="K10" s="13" t="b">
        <v>0</v>
      </c>
      <c r="L10" s="13" t="b">
        <v>0</v>
      </c>
      <c r="M10" s="13" t="b">
        <v>0</v>
      </c>
      <c r="N10" s="17" t="b">
        <v>0</v>
      </c>
      <c r="O10" s="13" t="b">
        <v>0</v>
      </c>
      <c r="P10" s="13" t="b">
        <v>0</v>
      </c>
      <c r="Q10" s="13" t="b">
        <v>0</v>
      </c>
      <c r="R10" s="18" t="b">
        <f t="shared" si="1"/>
        <v>0</v>
      </c>
      <c r="S10" s="19" t="b">
        <v>0</v>
      </c>
      <c r="T10" s="13"/>
    </row>
    <row r="11" spans="1:20" ht="52.8" x14ac:dyDescent="0.25">
      <c r="A11" s="11">
        <v>71</v>
      </c>
      <c r="B11" s="12" t="b">
        <v>1</v>
      </c>
      <c r="C11" s="12" t="s">
        <v>247</v>
      </c>
      <c r="D11" s="13" t="str">
        <f ca="1">IFERROR(__xludf.DUMMYFUNCTION("IF(NOT(ISBLANK(G11)), REGEXEXTRACT(G11, ""\)\. (.*?)\.""), """")"),"A Comparative Evaluation of Tabs and Linked Panels for Program Understanding in Augmented Reality")</f>
        <v>A Comparative Evaluation of Tabs and Linked Panels for Program Understanding in Augmented Reality</v>
      </c>
      <c r="E11" s="12" t="str">
        <f t="shared" si="0"/>
        <v>Kreber</v>
      </c>
      <c r="F11" s="14" t="str">
        <f ca="1">IFERROR(__xludf.DUMMYFUNCTION("IF(NOT(ISBLANK(G11)), REGEXEXTRACT(G11, ""\((\d{4})""), """")"),"2023")</f>
        <v>2023</v>
      </c>
      <c r="G11" s="36" t="s">
        <v>132</v>
      </c>
      <c r="H11" s="15">
        <v>0</v>
      </c>
      <c r="I11" s="16" t="b">
        <v>1</v>
      </c>
      <c r="J11" s="13" t="b">
        <v>1</v>
      </c>
      <c r="K11" s="13" t="b">
        <v>1</v>
      </c>
      <c r="L11" s="13" t="b">
        <v>1</v>
      </c>
      <c r="M11" s="13" t="b">
        <v>1</v>
      </c>
      <c r="N11" s="17" t="b">
        <v>0</v>
      </c>
      <c r="O11" s="13" t="b">
        <v>0</v>
      </c>
      <c r="P11" s="13" t="b">
        <v>0</v>
      </c>
      <c r="Q11" s="13" t="b">
        <v>0</v>
      </c>
      <c r="R11" s="18" t="b">
        <f t="shared" si="1"/>
        <v>1</v>
      </c>
      <c r="S11" s="19" t="b">
        <v>0</v>
      </c>
      <c r="T11" s="13"/>
    </row>
    <row r="12" spans="1:20" ht="66" x14ac:dyDescent="0.25">
      <c r="A12" s="11">
        <v>77</v>
      </c>
      <c r="B12" s="12" t="b">
        <v>1</v>
      </c>
      <c r="C12" s="12" t="s">
        <v>248</v>
      </c>
      <c r="D12" s="13" t="str">
        <f ca="1">IFERROR(__xludf.DUMMYFUNCTION("IF(NOT(ISBLANK(G12)), REGEXEXTRACT(G12, ""\)\. (.*?)\.""), """")"),"Semi-automated test migration for BPMN-based process-driven applications")</f>
        <v>Semi-automated test migration for BPMN-based process-driven applications</v>
      </c>
      <c r="E12" s="12" t="str">
        <f t="shared" si="0"/>
        <v>Schneid</v>
      </c>
      <c r="F12" s="14" t="str">
        <f ca="1">IFERROR(__xludf.DUMMYFUNCTION("IF(NOT(ISBLANK(G12)), REGEXEXTRACT(G12, ""\((\d{4})""), """")"),"2022")</f>
        <v>2022</v>
      </c>
      <c r="G12" s="36" t="s">
        <v>141</v>
      </c>
      <c r="H12" s="15">
        <v>1</v>
      </c>
      <c r="I12" s="16" t="b">
        <v>1</v>
      </c>
      <c r="J12" s="13" t="b">
        <v>1</v>
      </c>
      <c r="K12" s="13" t="b">
        <v>1</v>
      </c>
      <c r="L12" s="13" t="b">
        <v>1</v>
      </c>
      <c r="M12" s="13" t="b">
        <v>1</v>
      </c>
      <c r="N12" s="17" t="b">
        <v>0</v>
      </c>
      <c r="O12" s="13" t="b">
        <v>0</v>
      </c>
      <c r="P12" s="13" t="b">
        <v>0</v>
      </c>
      <c r="Q12" s="13" t="b">
        <v>0</v>
      </c>
      <c r="R12" s="18" t="b">
        <f t="shared" si="1"/>
        <v>1</v>
      </c>
      <c r="S12" s="19" t="b">
        <v>0</v>
      </c>
      <c r="T12" s="13"/>
    </row>
    <row r="13" spans="1:20" ht="39.6" x14ac:dyDescent="0.25">
      <c r="A13" s="11">
        <v>88</v>
      </c>
      <c r="B13" s="12" t="b">
        <v>1</v>
      </c>
      <c r="C13" s="12" t="s">
        <v>248</v>
      </c>
      <c r="D13" s="13" t="str">
        <f ca="1">IFERROR(__xludf.DUMMYFUNCTION("IF(NOT(ISBLANK(G13)), REGEXEXTRACT(G13, ""\)\. (.*?)\.""), """")"),"A Comparative Study on Reward Models for UI Adaptation with Reinforcement Learning")</f>
        <v>A Comparative Study on Reward Models for UI Adaptation with Reinforcement Learning</v>
      </c>
      <c r="E13" s="12" t="str">
        <f t="shared" si="0"/>
        <v>Gaspar-Figueiredo</v>
      </c>
      <c r="F13" s="14" t="str">
        <f ca="1">IFERROR(__xludf.DUMMYFUNCTION("IF(NOT(ISBLANK(G13)), REGEXEXTRACT(G13, ""\((\d{4})""), """")"),"2023")</f>
        <v>2023</v>
      </c>
      <c r="G13" s="36" t="s">
        <v>158</v>
      </c>
      <c r="H13" s="15">
        <v>0</v>
      </c>
      <c r="I13" s="16" t="b">
        <v>1</v>
      </c>
      <c r="J13" s="13" t="b">
        <v>0</v>
      </c>
      <c r="K13" s="13" t="b">
        <v>1</v>
      </c>
      <c r="L13" s="13" t="b">
        <v>1</v>
      </c>
      <c r="M13" s="13" t="b">
        <v>1</v>
      </c>
      <c r="N13" s="17" t="b">
        <v>0</v>
      </c>
      <c r="O13" s="13" t="b">
        <v>0</v>
      </c>
      <c r="P13" s="13" t="b">
        <v>0</v>
      </c>
      <c r="Q13" s="13" t="b">
        <v>0</v>
      </c>
      <c r="R13" s="18" t="b">
        <f t="shared" si="1"/>
        <v>0</v>
      </c>
      <c r="S13" s="19" t="b">
        <v>0</v>
      </c>
      <c r="T13" s="13" t="s">
        <v>238</v>
      </c>
    </row>
    <row r="14" spans="1:20" ht="52.8" x14ac:dyDescent="0.25">
      <c r="A14" s="11">
        <v>104</v>
      </c>
      <c r="B14" s="12" t="b">
        <v>1</v>
      </c>
      <c r="C14" s="12" t="s">
        <v>248</v>
      </c>
      <c r="D14" s="13" t="str">
        <f ca="1">IFERROR(__xludf.DUMMYFUNCTION("IF(NOT(ISBLANK(G14)), REGEXEXTRACT(G14, ""\)\. (.*?)\.""), """")"),"Towards empirical evidence for the impact of microservice API patterns on software quality: a controlled experiment (Master's thesis)")</f>
        <v>Towards empirical evidence for the impact of microservice API patterns on software quality: a controlled experiment (Master's thesis)</v>
      </c>
      <c r="E14" s="12" t="str">
        <f t="shared" si="0"/>
        <v>Wójcik</v>
      </c>
      <c r="F14" s="14" t="str">
        <f ca="1">IFERROR(__xludf.DUMMYFUNCTION("IF(NOT(ISBLANK(G14)), REGEXEXTRACT(G14, ""\((\d{4})""), """")"),"2023")</f>
        <v>2023</v>
      </c>
      <c r="G14" s="36" t="s">
        <v>182</v>
      </c>
      <c r="H14" s="15">
        <v>0</v>
      </c>
      <c r="I14" s="16" t="b">
        <v>0</v>
      </c>
      <c r="J14" s="13" t="b">
        <v>0</v>
      </c>
      <c r="K14" s="13" t="b">
        <v>0</v>
      </c>
      <c r="L14" s="13" t="b">
        <v>0</v>
      </c>
      <c r="M14" s="13" t="b">
        <v>0</v>
      </c>
      <c r="N14" s="17" t="b">
        <v>0</v>
      </c>
      <c r="O14" s="13" t="b">
        <v>0</v>
      </c>
      <c r="P14" s="13" t="b">
        <v>0</v>
      </c>
      <c r="Q14" s="13" t="b">
        <v>1</v>
      </c>
      <c r="R14" s="18" t="b">
        <f t="shared" si="1"/>
        <v>0</v>
      </c>
      <c r="S14" s="19" t="b">
        <v>0</v>
      </c>
      <c r="T14" s="13"/>
    </row>
    <row r="15" spans="1:20" ht="39.6" x14ac:dyDescent="0.25">
      <c r="A15" s="11">
        <v>116</v>
      </c>
      <c r="B15" s="12" t="b">
        <v>1</v>
      </c>
      <c r="C15" s="12" t="s">
        <v>248</v>
      </c>
      <c r="D15" s="13" t="str">
        <f ca="1">IFERROR(__xludf.DUMMYFUNCTION("IF(NOT(ISBLANK(G15)), REGEXEXTRACT(G15, ""\)\. (.*?)\.""), """")"),"A family of experiments for evaluating the usability of a collaborative modelling chatbot")</f>
        <v>A family of experiments for evaluating the usability of a collaborative modelling chatbot</v>
      </c>
      <c r="E15" s="12" t="str">
        <f t="shared" si="0"/>
        <v>Ren</v>
      </c>
      <c r="F15" s="14" t="str">
        <f ca="1">IFERROR(__xludf.DUMMYFUNCTION("IF(NOT(ISBLANK(G15)), REGEXEXTRACT(G15, ""\((\d{4})""), """")"),"2021")</f>
        <v>2021</v>
      </c>
      <c r="G15" s="36" t="s">
        <v>204</v>
      </c>
      <c r="H15" s="15">
        <v>0</v>
      </c>
      <c r="I15" s="16" t="b">
        <v>1</v>
      </c>
      <c r="J15" s="13" t="b">
        <v>1</v>
      </c>
      <c r="K15" s="13" t="b">
        <v>1</v>
      </c>
      <c r="L15" s="13" t="b">
        <v>1</v>
      </c>
      <c r="M15" s="13" t="b">
        <v>1</v>
      </c>
      <c r="N15" s="17" t="b">
        <v>0</v>
      </c>
      <c r="O15" s="13" t="b">
        <v>0</v>
      </c>
      <c r="P15" s="13" t="b">
        <v>0</v>
      </c>
      <c r="Q15" s="13" t="b">
        <v>0</v>
      </c>
      <c r="R15" s="18" t="b">
        <f t="shared" si="1"/>
        <v>1</v>
      </c>
      <c r="S15" s="19" t="b">
        <v>0</v>
      </c>
      <c r="T15" s="13"/>
    </row>
  </sheetData>
  <conditionalFormatting sqref="B2:C15">
    <cfRule type="cellIs" dxfId="12" priority="1" operator="equal">
      <formula>"TRUE"</formula>
    </cfRule>
  </conditionalFormatting>
  <conditionalFormatting sqref="I2:M15">
    <cfRule type="cellIs" dxfId="11" priority="2" operator="equal">
      <formula>"TRUE"</formula>
    </cfRule>
  </conditionalFormatting>
  <conditionalFormatting sqref="N2:Q15">
    <cfRule type="cellIs" dxfId="10" priority="3" operator="equal">
      <formula>"TRUE"</formula>
    </cfRule>
  </conditionalFormatting>
  <conditionalFormatting sqref="R2:R15">
    <cfRule type="cellIs" dxfId="9" priority="4" operator="equal">
      <formula>"TRUE"</formula>
    </cfRule>
  </conditionalFormatting>
  <conditionalFormatting sqref="S2:S15">
    <cfRule type="cellIs" dxfId="8" priority="5" operator="equal">
      <formula>"TRUE"</formula>
    </cfRule>
  </conditionalFormatting>
  <dataValidations count="1">
    <dataValidation type="list" allowBlank="1" showErrorMessage="1" sqref="C2:C15" xr:uid="{00000000-0002-0000-0100-000000000000}">
      <formula1>"jfr,dfu"</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7"/>
  <sheetViews>
    <sheetView workbookViewId="0">
      <selection activeCell="P27" sqref="P27"/>
    </sheetView>
  </sheetViews>
  <sheetFormatPr defaultColWidth="12.6640625" defaultRowHeight="15.75" customHeight="1" x14ac:dyDescent="0.25"/>
  <cols>
    <col min="1" max="1" width="3.88671875" customWidth="1"/>
    <col min="2" max="2" width="5.109375" customWidth="1"/>
    <col min="3" max="3" width="6.33203125" customWidth="1"/>
    <col min="4" max="12" width="6.77734375" customWidth="1"/>
    <col min="13" max="13" width="6.33203125" customWidth="1"/>
    <col min="14" max="22" width="6.77734375" customWidth="1"/>
    <col min="23" max="23" width="50.109375" customWidth="1"/>
  </cols>
  <sheetData>
    <row r="1" spans="1:23" x14ac:dyDescent="0.25">
      <c r="A1" s="21"/>
      <c r="B1" s="33" t="s">
        <v>239</v>
      </c>
      <c r="C1" s="21" t="s">
        <v>247</v>
      </c>
      <c r="D1" s="21"/>
      <c r="E1" s="21"/>
      <c r="F1" s="21"/>
      <c r="G1" s="21"/>
      <c r="H1" s="21"/>
      <c r="I1" s="21"/>
      <c r="J1" s="21"/>
      <c r="K1" s="21"/>
      <c r="L1" s="21"/>
      <c r="M1" s="21" t="s">
        <v>248</v>
      </c>
      <c r="N1" s="21"/>
      <c r="O1" s="21"/>
      <c r="P1" s="21"/>
      <c r="Q1" s="21"/>
      <c r="R1" s="21"/>
      <c r="S1" s="21"/>
      <c r="T1" s="21"/>
      <c r="U1" s="21"/>
      <c r="V1" s="21"/>
      <c r="W1" s="22" t="s">
        <v>8</v>
      </c>
    </row>
    <row r="2" spans="1:23" x14ac:dyDescent="0.25">
      <c r="A2" s="23" t="s">
        <v>0</v>
      </c>
      <c r="B2" s="34"/>
      <c r="C2" s="21" t="s">
        <v>240</v>
      </c>
      <c r="D2" s="21" t="s">
        <v>9</v>
      </c>
      <c r="E2" s="21" t="s">
        <v>10</v>
      </c>
      <c r="F2" s="21" t="s">
        <v>11</v>
      </c>
      <c r="G2" s="21" t="s">
        <v>12</v>
      </c>
      <c r="H2" s="21" t="s">
        <v>13</v>
      </c>
      <c r="I2" s="21" t="s">
        <v>14</v>
      </c>
      <c r="J2" s="21" t="s">
        <v>15</v>
      </c>
      <c r="K2" s="21" t="s">
        <v>16</v>
      </c>
      <c r="L2" s="21" t="s">
        <v>17</v>
      </c>
      <c r="M2" s="21" t="s">
        <v>240</v>
      </c>
      <c r="N2" s="21" t="s">
        <v>9</v>
      </c>
      <c r="O2" s="21" t="s">
        <v>10</v>
      </c>
      <c r="P2" s="21" t="s">
        <v>11</v>
      </c>
      <c r="Q2" s="21" t="s">
        <v>12</v>
      </c>
      <c r="R2" s="21" t="s">
        <v>13</v>
      </c>
      <c r="S2" s="21" t="s">
        <v>14</v>
      </c>
      <c r="T2" s="21" t="s">
        <v>15</v>
      </c>
      <c r="U2" s="21" t="s">
        <v>16</v>
      </c>
      <c r="V2" s="21" t="s">
        <v>17</v>
      </c>
      <c r="W2" s="22"/>
    </row>
    <row r="3" spans="1:23" x14ac:dyDescent="0.25">
      <c r="A3" s="11">
        <v>6</v>
      </c>
      <c r="B3" s="24" t="str">
        <f>VLOOKUP(A3, 'Primary Studies'!A:C, 3, TRUE)</f>
        <v>rater2</v>
      </c>
      <c r="C3" s="25" t="b">
        <f>IF(B3=C$1, VLOOKUP(A3, 'Primary Studies'!A:B, 2, TRUE), VLOOKUP(A3, Overlap!A:B, 2, TRUE))</f>
        <v>1</v>
      </c>
      <c r="D3" s="26" t="b">
        <f>IF(B3=C$1, VLOOKUP(A3, 'Primary Studies'!A:S, 11, TRUE), VLOOKUP(A3, Overlap!A:Q, 9, TRUE))</f>
        <v>1</v>
      </c>
      <c r="E3" s="26" t="b">
        <f>IF(B3=C$1, VLOOKUP(A3, 'Primary Studies'!A:S, 12, TRUE), VLOOKUP(A3, Overlap!A:Q, 10, TRUE))</f>
        <v>1</v>
      </c>
      <c r="F3" s="26" t="b">
        <f>IF(B3=C$1, VLOOKUP(A3, 'Primary Studies'!A:S, 13, TRUE), VLOOKUP(A3, Overlap!A:Q, 11, TRUE))</f>
        <v>1</v>
      </c>
      <c r="G3" s="26" t="b">
        <f>IF(B3=C$1, VLOOKUP(A3, 'Primary Studies'!A:S, 14, TRUE), VLOOKUP(A3, Overlap!A:Q, 12, TRUE))</f>
        <v>1</v>
      </c>
      <c r="H3" s="27" t="b">
        <f>IF(B3=C$1, VLOOKUP(A3, 'Primary Studies'!A:S, 15, TRUE), VLOOKUP(A3, Overlap!A:Q, 13, TRUE))</f>
        <v>1</v>
      </c>
      <c r="I3" s="26" t="b">
        <f>IF(B3=C$1, VLOOKUP(A3, 'Primary Studies'!A:S, 16, TRUE), VLOOKUP(A3, Overlap!A:Q, 14, TRUE))</f>
        <v>0</v>
      </c>
      <c r="J3" s="26" t="b">
        <f>IF(B3=C$1, VLOOKUP(A3, 'Primary Studies'!A:S, 17, TRUE), VLOOKUP(A3, Overlap!A:Q, 15, TRUE))</f>
        <v>0</v>
      </c>
      <c r="K3" s="26" t="b">
        <f>IF(B3=C$1, VLOOKUP(A3, 'Primary Studies'!A:S, 18, TRUE), VLOOKUP(A3, Overlap!A:Q, 16, TRUE))</f>
        <v>0</v>
      </c>
      <c r="L3" s="26" t="b">
        <f>IF(B3=C$1, VLOOKUP(A3, 'Primary Studies'!A:S, 19, TRUE), VLOOKUP(A3, Overlap!A:Q, 17, TRUE))</f>
        <v>0</v>
      </c>
      <c r="M3" s="28" t="b">
        <f>IF(B3=M$1, VLOOKUP(A3, 'Primary Studies'!A:B, 2, TRUE), VLOOKUP(A3, Overlap!A:B, 2, TRUE))</f>
        <v>1</v>
      </c>
      <c r="N3" s="26" t="b">
        <f>IF(B3=M$1, VLOOKUP(A3, 'Primary Studies'!A:S, 11, TRUE), VLOOKUP(A3, Overlap!A:Q, 9, TRUE))</f>
        <v>1</v>
      </c>
      <c r="O3" s="26" t="b">
        <f>IF(B3=M$1, VLOOKUP(A3, 'Primary Studies'!A:S, 12, TRUE), VLOOKUP(A3, Overlap!A:Q, 10, TRUE))</f>
        <v>1</v>
      </c>
      <c r="P3" s="26" t="b">
        <f>IF(B3=M$1, VLOOKUP(A3, 'Primary Studies'!A:S, 13, TRUE), VLOOKUP(A3, Overlap!A:Q, 11, TRUE))</f>
        <v>1</v>
      </c>
      <c r="Q3" s="26" t="b">
        <f>IF(B3=M$1, VLOOKUP(A3, 'Primary Studies'!A:S, 14, TRUE), VLOOKUP(A3, Overlap!A:Q, 12, TRUE))</f>
        <v>1</v>
      </c>
      <c r="R3" s="27" t="b">
        <f>IF(B3=M$1, VLOOKUP(A3, 'Primary Studies'!A:S, 15, TRUE), VLOOKUP(A3, Overlap!A:Q, 13, TRUE))</f>
        <v>1</v>
      </c>
      <c r="S3" s="26" t="b">
        <f>IF(B3=M$1, VLOOKUP(A3, 'Primary Studies'!A:S, 16, TRUE), VLOOKUP(A3, Overlap!A:Q, 14, TRUE))</f>
        <v>0</v>
      </c>
      <c r="T3" s="26" t="b">
        <f>IF(B3=M$1, VLOOKUP(A3, 'Primary Studies'!A:S, 17, TRUE), VLOOKUP(A3, Overlap!A:Q, 15, TRUE))</f>
        <v>0</v>
      </c>
      <c r="U3" s="26" t="b">
        <f>IF(B3=M$1, VLOOKUP(A3, 'Primary Studies'!A:S, 18, TRUE), VLOOKUP(A3, Overlap!A:Q, 16, TRUE))</f>
        <v>0</v>
      </c>
      <c r="V3" s="25" t="b">
        <f>IF(B3=M$1, VLOOKUP(A3, 'Primary Studies'!A:S, 19, TRUE), VLOOKUP(A3, Overlap!A:Q, 17, TRUE))</f>
        <v>0</v>
      </c>
      <c r="W3" s="29"/>
    </row>
    <row r="4" spans="1:23" x14ac:dyDescent="0.25">
      <c r="A4" s="11">
        <v>9</v>
      </c>
      <c r="B4" s="24" t="str">
        <f>VLOOKUP(A4, 'Primary Studies'!A:C, 3, TRUE)</f>
        <v>rater1</v>
      </c>
      <c r="C4" s="25" t="b">
        <f>IF(B4=C$1, VLOOKUP(A4, 'Primary Studies'!A:B, 2, TRUE), VLOOKUP(A4, Overlap!A:B, 2, TRUE))</f>
        <v>1</v>
      </c>
      <c r="D4" s="26" t="b">
        <f>IF(B4=C$1, VLOOKUP(A4, 'Primary Studies'!A:S, 11, TRUE), VLOOKUP(A4, Overlap!A:Q, 9, TRUE))</f>
        <v>1</v>
      </c>
      <c r="E4" s="26" t="b">
        <f>IF(B4=C$1, VLOOKUP(A4, 'Primary Studies'!A:S, 12, TRUE), VLOOKUP(A4, Overlap!A:Q, 10, TRUE))</f>
        <v>1</v>
      </c>
      <c r="F4" s="26" t="b">
        <f>IF(B4=C$1, VLOOKUP(A4, 'Primary Studies'!A:S, 13, TRUE), VLOOKUP(A4, Overlap!A:Q, 11, TRUE))</f>
        <v>1</v>
      </c>
      <c r="G4" s="26" t="b">
        <f>IF(B4=C$1, VLOOKUP(A4, 'Primary Studies'!A:S, 14, TRUE), VLOOKUP(A4, Overlap!A:Q, 12, TRUE))</f>
        <v>1</v>
      </c>
      <c r="H4" s="27" t="b">
        <f>IF(B4=C$1, VLOOKUP(A4, 'Primary Studies'!A:S, 15, TRUE), VLOOKUP(A4, Overlap!A:Q, 13, TRUE))</f>
        <v>1</v>
      </c>
      <c r="I4" s="26" t="b">
        <f>IF(B4=C$1, VLOOKUP(A4, 'Primary Studies'!A:S, 16, TRUE), VLOOKUP(A4, Overlap!A:Q, 14, TRUE))</f>
        <v>0</v>
      </c>
      <c r="J4" s="26" t="b">
        <f>IF(B4=C$1, VLOOKUP(A4, 'Primary Studies'!A:S, 17, TRUE), VLOOKUP(A4, Overlap!A:Q, 15, TRUE))</f>
        <v>0</v>
      </c>
      <c r="K4" s="26" t="b">
        <f>IF(B4=C$1, VLOOKUP(A4, 'Primary Studies'!A:S, 18, TRUE), VLOOKUP(A4, Overlap!A:Q, 16, TRUE))</f>
        <v>0</v>
      </c>
      <c r="L4" s="26" t="b">
        <f>IF(B4=C$1, VLOOKUP(A4, 'Primary Studies'!A:S, 19, TRUE), VLOOKUP(A4, Overlap!A:Q, 17, TRUE))</f>
        <v>0</v>
      </c>
      <c r="M4" s="28" t="b">
        <f>IF(B4=M$1, VLOOKUP(A4, 'Primary Studies'!A:B, 2, TRUE), VLOOKUP(A4, Overlap!A:B, 2, TRUE))</f>
        <v>1</v>
      </c>
      <c r="N4" s="26" t="b">
        <f>IF(B4=M$1, VLOOKUP(A4, 'Primary Studies'!A:S, 11, TRUE), VLOOKUP(A4, Overlap!A:Q, 9, TRUE))</f>
        <v>1</v>
      </c>
      <c r="O4" s="26" t="b">
        <f>IF(B4=M$1, VLOOKUP(A4, 'Primary Studies'!A:S, 12, TRUE), VLOOKUP(A4, Overlap!A:Q, 10, TRUE))</f>
        <v>1</v>
      </c>
      <c r="P4" s="26" t="b">
        <f>IF(B4=M$1, VLOOKUP(A4, 'Primary Studies'!A:S, 13, TRUE), VLOOKUP(A4, Overlap!A:Q, 11, TRUE))</f>
        <v>1</v>
      </c>
      <c r="Q4" s="26" t="b">
        <f>IF(B4=M$1, VLOOKUP(A4, 'Primary Studies'!A:S, 14, TRUE), VLOOKUP(A4, Overlap!A:Q, 12, TRUE))</f>
        <v>1</v>
      </c>
      <c r="R4" s="27" t="b">
        <f>IF(B4=M$1, VLOOKUP(A4, 'Primary Studies'!A:S, 15, TRUE), VLOOKUP(A4, Overlap!A:Q, 13, TRUE))</f>
        <v>1</v>
      </c>
      <c r="S4" s="26" t="b">
        <f>IF(B4=M$1, VLOOKUP(A4, 'Primary Studies'!A:S, 16, TRUE), VLOOKUP(A4, Overlap!A:Q, 14, TRUE))</f>
        <v>0</v>
      </c>
      <c r="T4" s="26" t="b">
        <f>IF(B4=M$1, VLOOKUP(A4, 'Primary Studies'!A:S, 17, TRUE), VLOOKUP(A4, Overlap!A:Q, 15, TRUE))</f>
        <v>0</v>
      </c>
      <c r="U4" s="26" t="b">
        <f>IF(B4=M$1, VLOOKUP(A4, 'Primary Studies'!A:S, 18, TRUE), VLOOKUP(A4, Overlap!A:Q, 16, TRUE))</f>
        <v>0</v>
      </c>
      <c r="V4" s="25" t="b">
        <f>IF(B4=M$1, VLOOKUP(A4, 'Primary Studies'!A:S, 19, TRUE), VLOOKUP(A4, Overlap!A:Q, 17, TRUE))</f>
        <v>0</v>
      </c>
      <c r="W4" s="29"/>
    </row>
    <row r="5" spans="1:23" x14ac:dyDescent="0.25">
      <c r="A5" s="11">
        <v>13</v>
      </c>
      <c r="B5" s="24" t="str">
        <f>VLOOKUP(A5, 'Primary Studies'!A:C, 3, TRUE)</f>
        <v>rater2</v>
      </c>
      <c r="C5" s="25" t="b">
        <f>IF(B5=C$1, VLOOKUP(A5, 'Primary Studies'!A:B, 2, TRUE), VLOOKUP(A5, Overlap!A:B, 2, TRUE))</f>
        <v>1</v>
      </c>
      <c r="D5" s="26" t="b">
        <f>IF(B5=C$1, VLOOKUP(A5, 'Primary Studies'!A:S, 11, TRUE), VLOOKUP(A5, Overlap!A:Q, 9, TRUE))</f>
        <v>1</v>
      </c>
      <c r="E5" s="26" t="b">
        <f>IF(B5=C$1, VLOOKUP(A5, 'Primary Studies'!A:S, 12, TRUE), VLOOKUP(A5, Overlap!A:Q, 10, TRUE))</f>
        <v>0</v>
      </c>
      <c r="F5" s="26" t="b">
        <f>IF(B5=C$1, VLOOKUP(A5, 'Primary Studies'!A:S, 13, TRUE), VLOOKUP(A5, Overlap!A:Q, 11, TRUE))</f>
        <v>0</v>
      </c>
      <c r="G5" s="26" t="b">
        <f>IF(B5=C$1, VLOOKUP(A5, 'Primary Studies'!A:S, 14, TRUE), VLOOKUP(A5, Overlap!A:Q, 12, TRUE))</f>
        <v>0</v>
      </c>
      <c r="H5" s="27" t="b">
        <f>IF(B5=C$1, VLOOKUP(A5, 'Primary Studies'!A:S, 15, TRUE), VLOOKUP(A5, Overlap!A:Q, 13, TRUE))</f>
        <v>0</v>
      </c>
      <c r="I5" s="26" t="b">
        <f>IF(B5=C$1, VLOOKUP(A5, 'Primary Studies'!A:S, 16, TRUE), VLOOKUP(A5, Overlap!A:Q, 14, TRUE))</f>
        <v>0</v>
      </c>
      <c r="J5" s="26" t="b">
        <f>IF(B5=C$1, VLOOKUP(A5, 'Primary Studies'!A:S, 17, TRUE), VLOOKUP(A5, Overlap!A:Q, 15, TRUE))</f>
        <v>0</v>
      </c>
      <c r="K5" s="26" t="b">
        <f>IF(B5=C$1, VLOOKUP(A5, 'Primary Studies'!A:S, 18, TRUE), VLOOKUP(A5, Overlap!A:Q, 16, TRUE))</f>
        <v>0</v>
      </c>
      <c r="L5" s="26" t="b">
        <f>IF(B5=C$1, VLOOKUP(A5, 'Primary Studies'!A:S, 19, TRUE), VLOOKUP(A5, Overlap!A:Q, 17, TRUE))</f>
        <v>0</v>
      </c>
      <c r="M5" s="28" t="b">
        <f>IF(B5=M$1, VLOOKUP(A5, 'Primary Studies'!A:B, 2, TRUE), VLOOKUP(A5, Overlap!A:B, 2, TRUE))</f>
        <v>1</v>
      </c>
      <c r="N5" s="26" t="b">
        <f>IF(B5=M$1, VLOOKUP(A5, 'Primary Studies'!A:S, 11, TRUE), VLOOKUP(A5, Overlap!A:Q, 9, TRUE))</f>
        <v>1</v>
      </c>
      <c r="O5" s="26" t="b">
        <f>IF(B5=M$1, VLOOKUP(A5, 'Primary Studies'!A:S, 12, TRUE), VLOOKUP(A5, Overlap!A:Q, 10, TRUE))</f>
        <v>0</v>
      </c>
      <c r="P5" s="26" t="b">
        <f>IF(B5=M$1, VLOOKUP(A5, 'Primary Studies'!A:S, 13, TRUE), VLOOKUP(A5, Overlap!A:Q, 11, TRUE))</f>
        <v>0</v>
      </c>
      <c r="Q5" s="26" t="b">
        <f>IF(B5=M$1, VLOOKUP(A5, 'Primary Studies'!A:S, 14, TRUE), VLOOKUP(A5, Overlap!A:Q, 12, TRUE))</f>
        <v>0</v>
      </c>
      <c r="R5" s="27" t="b">
        <f>IF(B5=M$1, VLOOKUP(A5, 'Primary Studies'!A:S, 15, TRUE), VLOOKUP(A5, Overlap!A:Q, 13, TRUE))</f>
        <v>0</v>
      </c>
      <c r="S5" s="26" t="b">
        <f>IF(B5=M$1, VLOOKUP(A5, 'Primary Studies'!A:S, 16, TRUE), VLOOKUP(A5, Overlap!A:Q, 14, TRUE))</f>
        <v>0</v>
      </c>
      <c r="T5" s="26" t="b">
        <f>IF(B5=M$1, VLOOKUP(A5, 'Primary Studies'!A:S, 17, TRUE), VLOOKUP(A5, Overlap!A:Q, 15, TRUE))</f>
        <v>0</v>
      </c>
      <c r="U5" s="26" t="b">
        <f>IF(B5=M$1, VLOOKUP(A5, 'Primary Studies'!A:S, 18, TRUE), VLOOKUP(A5, Overlap!A:Q, 16, TRUE))</f>
        <v>0</v>
      </c>
      <c r="V5" s="25" t="b">
        <f>IF(B5=M$1, VLOOKUP(A5, 'Primary Studies'!A:S, 19, TRUE), VLOOKUP(A5, Overlap!A:Q, 17, TRUE))</f>
        <v>0</v>
      </c>
      <c r="W5" s="29"/>
    </row>
    <row r="6" spans="1:23" x14ac:dyDescent="0.25">
      <c r="A6" s="11">
        <v>14</v>
      </c>
      <c r="B6" s="24" t="str">
        <f>VLOOKUP(A6, 'Primary Studies'!A:C, 3, TRUE)</f>
        <v>rater2</v>
      </c>
      <c r="C6" s="25" t="b">
        <f>IF(B6=C$1, VLOOKUP(A6, 'Primary Studies'!A:B, 2, TRUE), VLOOKUP(A6, Overlap!A:B, 2, TRUE))</f>
        <v>1</v>
      </c>
      <c r="D6" s="26" t="b">
        <f>IF(B6=C$1, VLOOKUP(A6, 'Primary Studies'!A:S, 11, TRUE), VLOOKUP(A6, Overlap!A:Q, 9, TRUE))</f>
        <v>1</v>
      </c>
      <c r="E6" s="26" t="b">
        <f>IF(B6=C$1, VLOOKUP(A6, 'Primary Studies'!A:S, 12, TRUE), VLOOKUP(A6, Overlap!A:Q, 10, TRUE))</f>
        <v>1</v>
      </c>
      <c r="F6" s="26" t="b">
        <f>IF(B6=C$1, VLOOKUP(A6, 'Primary Studies'!A:S, 13, TRUE), VLOOKUP(A6, Overlap!A:Q, 11, TRUE))</f>
        <v>1</v>
      </c>
      <c r="G6" s="26" t="b">
        <f>IF(B6=C$1, VLOOKUP(A6, 'Primary Studies'!A:S, 14, TRUE), VLOOKUP(A6, Overlap!A:Q, 12, TRUE))</f>
        <v>1</v>
      </c>
      <c r="H6" s="27" t="b">
        <f>IF(B6=C$1, VLOOKUP(A6, 'Primary Studies'!A:S, 15, TRUE), VLOOKUP(A6, Overlap!A:Q, 13, TRUE))</f>
        <v>1</v>
      </c>
      <c r="I6" s="26" t="b">
        <f>IF(B6=C$1, VLOOKUP(A6, 'Primary Studies'!A:S, 16, TRUE), VLOOKUP(A6, Overlap!A:Q, 14, TRUE))</f>
        <v>0</v>
      </c>
      <c r="J6" s="26" t="b">
        <f>IF(B6=C$1, VLOOKUP(A6, 'Primary Studies'!A:S, 17, TRUE), VLOOKUP(A6, Overlap!A:Q, 15, TRUE))</f>
        <v>0</v>
      </c>
      <c r="K6" s="26" t="b">
        <f>IF(B6=C$1, VLOOKUP(A6, 'Primary Studies'!A:S, 18, TRUE), VLOOKUP(A6, Overlap!A:Q, 16, TRUE))</f>
        <v>0</v>
      </c>
      <c r="L6" s="26" t="b">
        <f>IF(B6=C$1, VLOOKUP(A6, 'Primary Studies'!A:S, 19, TRUE), VLOOKUP(A6, Overlap!A:Q, 17, TRUE))</f>
        <v>0</v>
      </c>
      <c r="M6" s="28" t="b">
        <f>IF(B6=M$1, VLOOKUP(A6, 'Primary Studies'!A:B, 2, TRUE), VLOOKUP(A6, Overlap!A:B, 2, TRUE))</f>
        <v>1</v>
      </c>
      <c r="N6" s="26" t="b">
        <f>IF(B6=M$1, VLOOKUP(A6, 'Primary Studies'!A:S, 11, TRUE), VLOOKUP(A6, Overlap!A:Q, 9, TRUE))</f>
        <v>1</v>
      </c>
      <c r="O6" s="26" t="b">
        <f>IF(B6=M$1, VLOOKUP(A6, 'Primary Studies'!A:S, 12, TRUE), VLOOKUP(A6, Overlap!A:Q, 10, TRUE))</f>
        <v>1</v>
      </c>
      <c r="P6" s="26" t="b">
        <f>IF(B6=M$1, VLOOKUP(A6, 'Primary Studies'!A:S, 13, TRUE), VLOOKUP(A6, Overlap!A:Q, 11, TRUE))</f>
        <v>1</v>
      </c>
      <c r="Q6" s="26" t="b">
        <f>IF(B6=M$1, VLOOKUP(A6, 'Primary Studies'!A:S, 14, TRUE), VLOOKUP(A6, Overlap!A:Q, 12, TRUE))</f>
        <v>1</v>
      </c>
      <c r="R6" s="27" t="b">
        <f>IF(B6=M$1, VLOOKUP(A6, 'Primary Studies'!A:S, 15, TRUE), VLOOKUP(A6, Overlap!A:Q, 13, TRUE))</f>
        <v>1</v>
      </c>
      <c r="S6" s="26" t="b">
        <f>IF(B6=M$1, VLOOKUP(A6, 'Primary Studies'!A:S, 16, TRUE), VLOOKUP(A6, Overlap!A:Q, 14, TRUE))</f>
        <v>0</v>
      </c>
      <c r="T6" s="26" t="b">
        <f>IF(B6=M$1, VLOOKUP(A6, 'Primary Studies'!A:S, 17, TRUE), VLOOKUP(A6, Overlap!A:Q, 15, TRUE))</f>
        <v>0</v>
      </c>
      <c r="U6" s="26" t="b">
        <f>IF(B6=M$1, VLOOKUP(A6, 'Primary Studies'!A:S, 18, TRUE), VLOOKUP(A6, Overlap!A:Q, 16, TRUE))</f>
        <v>0</v>
      </c>
      <c r="V6" s="25" t="b">
        <f>IF(B6=M$1, VLOOKUP(A6, 'Primary Studies'!A:S, 19, TRUE), VLOOKUP(A6, Overlap!A:Q, 17, TRUE))</f>
        <v>0</v>
      </c>
      <c r="W6" s="29"/>
    </row>
    <row r="7" spans="1:23" x14ac:dyDescent="0.25">
      <c r="A7" s="11">
        <v>16</v>
      </c>
      <c r="B7" s="24" t="str">
        <f>VLOOKUP(A7, 'Primary Studies'!A:C, 3, TRUE)</f>
        <v>rater1</v>
      </c>
      <c r="C7" s="25" t="b">
        <f>IF(B7=C$1, VLOOKUP(A7, 'Primary Studies'!A:B, 2, TRUE), VLOOKUP(A7, Overlap!A:B, 2, TRUE))</f>
        <v>1</v>
      </c>
      <c r="D7" s="26" t="b">
        <f>IF(B7=C$1, VLOOKUP(A7, 'Primary Studies'!A:S, 11, TRUE), VLOOKUP(A7, Overlap!A:Q, 9, TRUE))</f>
        <v>1</v>
      </c>
      <c r="E7" s="26" t="b">
        <f>IF(B7=C$1, VLOOKUP(A7, 'Primary Studies'!A:S, 12, TRUE), VLOOKUP(A7, Overlap!A:Q, 10, TRUE))</f>
        <v>0</v>
      </c>
      <c r="F7" s="26" t="b">
        <f>IF(B7=C$1, VLOOKUP(A7, 'Primary Studies'!A:S, 13, TRUE), VLOOKUP(A7, Overlap!A:Q, 11, TRUE))</f>
        <v>0</v>
      </c>
      <c r="G7" s="26" t="b">
        <f>IF(B7=C$1, VLOOKUP(A7, 'Primary Studies'!A:S, 14, TRUE), VLOOKUP(A7, Overlap!A:Q, 12, TRUE))</f>
        <v>0</v>
      </c>
      <c r="H7" s="27" t="b">
        <f>IF(B7=C$1, VLOOKUP(A7, 'Primary Studies'!A:S, 15, TRUE), VLOOKUP(A7, Overlap!A:Q, 13, TRUE))</f>
        <v>0</v>
      </c>
      <c r="I7" s="26" t="b">
        <f>IF(B7=C$1, VLOOKUP(A7, 'Primary Studies'!A:S, 16, TRUE), VLOOKUP(A7, Overlap!A:Q, 14, TRUE))</f>
        <v>0</v>
      </c>
      <c r="J7" s="26" t="b">
        <f>IF(B7=C$1, VLOOKUP(A7, 'Primary Studies'!A:S, 17, TRUE), VLOOKUP(A7, Overlap!A:Q, 15, TRUE))</f>
        <v>0</v>
      </c>
      <c r="K7" s="26" t="b">
        <f>IF(B7=C$1, VLOOKUP(A7, 'Primary Studies'!A:S, 18, TRUE), VLOOKUP(A7, Overlap!A:Q, 16, TRUE))</f>
        <v>0</v>
      </c>
      <c r="L7" s="26" t="b">
        <f>IF(B7=C$1, VLOOKUP(A7, 'Primary Studies'!A:S, 19, TRUE), VLOOKUP(A7, Overlap!A:Q, 17, TRUE))</f>
        <v>0</v>
      </c>
      <c r="M7" s="28" t="b">
        <f>IF(B7=M$1, VLOOKUP(A7, 'Primary Studies'!A:B, 2, TRUE), VLOOKUP(A7, Overlap!A:B, 2, TRUE))</f>
        <v>1</v>
      </c>
      <c r="N7" s="26" t="b">
        <f>IF(B7=M$1, VLOOKUP(A7, 'Primary Studies'!A:S, 11, TRUE), VLOOKUP(A7, Overlap!A:Q, 9, TRUE))</f>
        <v>1</v>
      </c>
      <c r="O7" s="26" t="b">
        <f>IF(B7=M$1, VLOOKUP(A7, 'Primary Studies'!A:S, 12, TRUE), VLOOKUP(A7, Overlap!A:Q, 10, TRUE))</f>
        <v>0</v>
      </c>
      <c r="P7" s="26" t="b">
        <f>IF(B7=M$1, VLOOKUP(A7, 'Primary Studies'!A:S, 13, TRUE), VLOOKUP(A7, Overlap!A:Q, 11, TRUE))</f>
        <v>0</v>
      </c>
      <c r="Q7" s="26" t="b">
        <f>IF(B7=M$1, VLOOKUP(A7, 'Primary Studies'!A:S, 14, TRUE), VLOOKUP(A7, Overlap!A:Q, 12, TRUE))</f>
        <v>0</v>
      </c>
      <c r="R7" s="27" t="b">
        <f>IF(B7=M$1, VLOOKUP(A7, 'Primary Studies'!A:S, 15, TRUE), VLOOKUP(A7, Overlap!A:Q, 13, TRUE))</f>
        <v>0</v>
      </c>
      <c r="S7" s="26" t="b">
        <f>IF(B7=M$1, VLOOKUP(A7, 'Primary Studies'!A:S, 16, TRUE), VLOOKUP(A7, Overlap!A:Q, 14, TRUE))</f>
        <v>0</v>
      </c>
      <c r="T7" s="26" t="b">
        <f>IF(B7=M$1, VLOOKUP(A7, 'Primary Studies'!A:S, 17, TRUE), VLOOKUP(A7, Overlap!A:Q, 15, TRUE))</f>
        <v>0</v>
      </c>
      <c r="U7" s="26" t="b">
        <f>IF(B7=M$1, VLOOKUP(A7, 'Primary Studies'!A:S, 18, TRUE), VLOOKUP(A7, Overlap!A:Q, 16, TRUE))</f>
        <v>0</v>
      </c>
      <c r="V7" s="25" t="b">
        <f>IF(B7=M$1, VLOOKUP(A7, 'Primary Studies'!A:S, 19, TRUE), VLOOKUP(A7, Overlap!A:Q, 17, TRUE))</f>
        <v>0</v>
      </c>
      <c r="W7" s="29"/>
    </row>
    <row r="8" spans="1:23" x14ac:dyDescent="0.25">
      <c r="A8" s="11">
        <v>40</v>
      </c>
      <c r="B8" s="24" t="str">
        <f>VLOOKUP(A8, 'Primary Studies'!A:C, 3, TRUE)</f>
        <v>rater1</v>
      </c>
      <c r="C8" s="25" t="b">
        <f>IF(B8=C$1, VLOOKUP(A8, 'Primary Studies'!A:B, 2, TRUE), VLOOKUP(A8, Overlap!A:B, 2, TRUE))</f>
        <v>1</v>
      </c>
      <c r="D8" s="26" t="b">
        <f>IF(B8=C$1, VLOOKUP(A8, 'Primary Studies'!A:S, 11, TRUE), VLOOKUP(A8, Overlap!A:Q, 9, TRUE))</f>
        <v>1</v>
      </c>
      <c r="E8" s="26" t="b">
        <f>IF(B8=C$1, VLOOKUP(A8, 'Primary Studies'!A:S, 12, TRUE), VLOOKUP(A8, Overlap!A:Q, 10, TRUE))</f>
        <v>0</v>
      </c>
      <c r="F8" s="26" t="b">
        <f>IF(B8=C$1, VLOOKUP(A8, 'Primary Studies'!A:S, 13, TRUE), VLOOKUP(A8, Overlap!A:Q, 11, TRUE))</f>
        <v>0</v>
      </c>
      <c r="G8" s="26" t="b">
        <f>IF(B8=C$1, VLOOKUP(A8, 'Primary Studies'!A:S, 14, TRUE), VLOOKUP(A8, Overlap!A:Q, 12, TRUE))</f>
        <v>0</v>
      </c>
      <c r="H8" s="27" t="b">
        <f>IF(B8=C$1, VLOOKUP(A8, 'Primary Studies'!A:S, 15, TRUE), VLOOKUP(A8, Overlap!A:Q, 13, TRUE))</f>
        <v>0</v>
      </c>
      <c r="I8" s="26" t="b">
        <f>IF(B8=C$1, VLOOKUP(A8, 'Primary Studies'!A:S, 16, TRUE), VLOOKUP(A8, Overlap!A:Q, 14, TRUE))</f>
        <v>0</v>
      </c>
      <c r="J8" s="26" t="b">
        <f>IF(B8=C$1, VLOOKUP(A8, 'Primary Studies'!A:S, 17, TRUE), VLOOKUP(A8, Overlap!A:Q, 15, TRUE))</f>
        <v>0</v>
      </c>
      <c r="K8" s="26" t="b">
        <f>IF(B8=C$1, VLOOKUP(A8, 'Primary Studies'!A:S, 18, TRUE), VLOOKUP(A8, Overlap!A:Q, 16, TRUE))</f>
        <v>0</v>
      </c>
      <c r="L8" s="26" t="b">
        <f>IF(B8=C$1, VLOOKUP(A8, 'Primary Studies'!A:S, 19, TRUE), VLOOKUP(A8, Overlap!A:Q, 17, TRUE))</f>
        <v>0</v>
      </c>
      <c r="M8" s="28" t="b">
        <f>IF(B8=M$1, VLOOKUP(A8, 'Primary Studies'!A:B, 2, TRUE), VLOOKUP(A8, Overlap!A:B, 2, TRUE))</f>
        <v>1</v>
      </c>
      <c r="N8" s="26" t="b">
        <f>IF(B8=M$1, VLOOKUP(A8, 'Primary Studies'!A:S, 11, TRUE), VLOOKUP(A8, Overlap!A:Q, 9, TRUE))</f>
        <v>1</v>
      </c>
      <c r="O8" s="26" t="b">
        <f>IF(B8=M$1, VLOOKUP(A8, 'Primary Studies'!A:S, 12, TRUE), VLOOKUP(A8, Overlap!A:Q, 10, TRUE))</f>
        <v>0</v>
      </c>
      <c r="P8" s="26" t="b">
        <f>IF(B8=M$1, VLOOKUP(A8, 'Primary Studies'!A:S, 13, TRUE), VLOOKUP(A8, Overlap!A:Q, 11, TRUE))</f>
        <v>0</v>
      </c>
      <c r="Q8" s="26" t="b">
        <f>IF(B8=M$1, VLOOKUP(A8, 'Primary Studies'!A:S, 14, TRUE), VLOOKUP(A8, Overlap!A:Q, 12, TRUE))</f>
        <v>0</v>
      </c>
      <c r="R8" s="27" t="b">
        <f>IF(B8=M$1, VLOOKUP(A8, 'Primary Studies'!A:S, 15, TRUE), VLOOKUP(A8, Overlap!A:Q, 13, TRUE))</f>
        <v>0</v>
      </c>
      <c r="S8" s="26" t="b">
        <f>IF(B8=M$1, VLOOKUP(A8, 'Primary Studies'!A:S, 16, TRUE), VLOOKUP(A8, Overlap!A:Q, 14, TRUE))</f>
        <v>0</v>
      </c>
      <c r="T8" s="26" t="b">
        <f>IF(B8=M$1, VLOOKUP(A8, 'Primary Studies'!A:S, 17, TRUE), VLOOKUP(A8, Overlap!A:Q, 15, TRUE))</f>
        <v>0</v>
      </c>
      <c r="U8" s="26" t="b">
        <f>IF(B8=M$1, VLOOKUP(A8, 'Primary Studies'!A:S, 18, TRUE), VLOOKUP(A8, Overlap!A:Q, 16, TRUE))</f>
        <v>0</v>
      </c>
      <c r="V8" s="25" t="b">
        <f>IF(B8=M$1, VLOOKUP(A8, 'Primary Studies'!A:S, 19, TRUE), VLOOKUP(A8, Overlap!A:Q, 17, TRUE))</f>
        <v>0</v>
      </c>
      <c r="W8" s="29"/>
    </row>
    <row r="9" spans="1:23" x14ac:dyDescent="0.25">
      <c r="A9" s="11">
        <v>48</v>
      </c>
      <c r="B9" s="24" t="str">
        <f>VLOOKUP(A9, 'Primary Studies'!A:C, 3, TRUE)</f>
        <v>rater2</v>
      </c>
      <c r="C9" s="25" t="b">
        <f>IF(B9=C$1, VLOOKUP(A9, 'Primary Studies'!A:B, 2, TRUE), VLOOKUP(A9, Overlap!A:B, 2, TRUE))</f>
        <v>1</v>
      </c>
      <c r="D9" s="26" t="b">
        <f>IF(B9=C$1, VLOOKUP(A9, 'Primary Studies'!A:S, 11, TRUE), VLOOKUP(A9, Overlap!A:Q, 9, TRUE))</f>
        <v>1</v>
      </c>
      <c r="E9" s="26" t="b">
        <f>IF(B9=C$1, VLOOKUP(A9, 'Primary Studies'!A:S, 12, TRUE), VLOOKUP(A9, Overlap!A:Q, 10, TRUE))</f>
        <v>1</v>
      </c>
      <c r="F9" s="26" t="b">
        <f>IF(B9=C$1, VLOOKUP(A9, 'Primary Studies'!A:S, 13, TRUE), VLOOKUP(A9, Overlap!A:Q, 11, TRUE))</f>
        <v>1</v>
      </c>
      <c r="G9" s="26" t="b">
        <f>IF(B9=C$1, VLOOKUP(A9, 'Primary Studies'!A:S, 14, TRUE), VLOOKUP(A9, Overlap!A:Q, 12, TRUE))</f>
        <v>1</v>
      </c>
      <c r="H9" s="27" t="b">
        <f>IF(B9=C$1, VLOOKUP(A9, 'Primary Studies'!A:S, 15, TRUE), VLOOKUP(A9, Overlap!A:Q, 13, TRUE))</f>
        <v>1</v>
      </c>
      <c r="I9" s="26" t="b">
        <f>IF(B9=C$1, VLOOKUP(A9, 'Primary Studies'!A:S, 16, TRUE), VLOOKUP(A9, Overlap!A:Q, 14, TRUE))</f>
        <v>0</v>
      </c>
      <c r="J9" s="26" t="b">
        <f>IF(B9=C$1, VLOOKUP(A9, 'Primary Studies'!A:S, 17, TRUE), VLOOKUP(A9, Overlap!A:Q, 15, TRUE))</f>
        <v>0</v>
      </c>
      <c r="K9" s="26" t="b">
        <f>IF(B9=C$1, VLOOKUP(A9, 'Primary Studies'!A:S, 18, TRUE), VLOOKUP(A9, Overlap!A:Q, 16, TRUE))</f>
        <v>0</v>
      </c>
      <c r="L9" s="26" t="b">
        <f>IF(B9=C$1, VLOOKUP(A9, 'Primary Studies'!A:S, 19, TRUE), VLOOKUP(A9, Overlap!A:Q, 17, TRUE))</f>
        <v>0</v>
      </c>
      <c r="M9" s="28" t="b">
        <f>IF(B9=M$1, VLOOKUP(A9, 'Primary Studies'!A:B, 2, TRUE), VLOOKUP(A9, Overlap!A:B, 2, TRUE))</f>
        <v>1</v>
      </c>
      <c r="N9" s="26" t="b">
        <f>IF(B9=M$1, VLOOKUP(A9, 'Primary Studies'!A:S, 11, TRUE), VLOOKUP(A9, Overlap!A:Q, 9, TRUE))</f>
        <v>1</v>
      </c>
      <c r="O9" s="26" t="b">
        <f>IF(B9=M$1, VLOOKUP(A9, 'Primary Studies'!A:S, 12, TRUE), VLOOKUP(A9, Overlap!A:Q, 10, TRUE))</f>
        <v>1</v>
      </c>
      <c r="P9" s="26" t="b">
        <f>IF(B9=M$1, VLOOKUP(A9, 'Primary Studies'!A:S, 13, TRUE), VLOOKUP(A9, Overlap!A:Q, 11, TRUE))</f>
        <v>1</v>
      </c>
      <c r="Q9" s="26" t="b">
        <f>IF(B9=M$1, VLOOKUP(A9, 'Primary Studies'!A:S, 14, TRUE), VLOOKUP(A9, Overlap!A:Q, 12, TRUE))</f>
        <v>1</v>
      </c>
      <c r="R9" s="27" t="b">
        <f>IF(B9=M$1, VLOOKUP(A9, 'Primary Studies'!A:S, 15, TRUE), VLOOKUP(A9, Overlap!A:Q, 13, TRUE))</f>
        <v>1</v>
      </c>
      <c r="S9" s="26" t="b">
        <f>IF(B9=M$1, VLOOKUP(A9, 'Primary Studies'!A:S, 16, TRUE), VLOOKUP(A9, Overlap!A:Q, 14, TRUE))</f>
        <v>0</v>
      </c>
      <c r="T9" s="26" t="b">
        <f>IF(B9=M$1, VLOOKUP(A9, 'Primary Studies'!A:S, 17, TRUE), VLOOKUP(A9, Overlap!A:Q, 15, TRUE))</f>
        <v>0</v>
      </c>
      <c r="U9" s="26" t="b">
        <f>IF(B9=M$1, VLOOKUP(A9, 'Primary Studies'!A:S, 18, TRUE), VLOOKUP(A9, Overlap!A:Q, 16, TRUE))</f>
        <v>0</v>
      </c>
      <c r="V9" s="25" t="b">
        <f>IF(B9=M$1, VLOOKUP(A9, 'Primary Studies'!A:S, 19, TRUE), VLOOKUP(A9, Overlap!A:Q, 17, TRUE))</f>
        <v>0</v>
      </c>
      <c r="W9" s="29"/>
    </row>
    <row r="10" spans="1:23" x14ac:dyDescent="0.25">
      <c r="A10" s="11">
        <v>64</v>
      </c>
      <c r="B10" s="24" t="str">
        <f>VLOOKUP(A10, 'Primary Studies'!A:C, 3, TRUE)</f>
        <v>rater1</v>
      </c>
      <c r="C10" s="25" t="b">
        <f>IF(B10=C$1, VLOOKUP(A10, 'Primary Studies'!A:B, 2, TRUE), VLOOKUP(A10, Overlap!A:B, 2, TRUE))</f>
        <v>1</v>
      </c>
      <c r="D10" s="26" t="b">
        <f>IF(B10=C$1, VLOOKUP(A10, 'Primary Studies'!A:S, 11, TRUE), VLOOKUP(A10, Overlap!A:Q, 9, TRUE))</f>
        <v>1</v>
      </c>
      <c r="E10" s="26" t="b">
        <f>IF(B10=C$1, VLOOKUP(A10, 'Primary Studies'!A:S, 12, TRUE), VLOOKUP(A10, Overlap!A:Q, 10, TRUE))</f>
        <v>1</v>
      </c>
      <c r="F10" s="26" t="b">
        <f>IF(B10=C$1, VLOOKUP(A10, 'Primary Studies'!A:S, 13, TRUE), VLOOKUP(A10, Overlap!A:Q, 11, TRUE))</f>
        <v>1</v>
      </c>
      <c r="G10" s="26" t="b">
        <f>IF(B10=C$1, VLOOKUP(A10, 'Primary Studies'!A:S, 14, TRUE), VLOOKUP(A10, Overlap!A:Q, 12, TRUE))</f>
        <v>1</v>
      </c>
      <c r="H10" s="27" t="b">
        <f>IF(B10=C$1, VLOOKUP(A10, 'Primary Studies'!A:S, 15, TRUE), VLOOKUP(A10, Overlap!A:Q, 13, TRUE))</f>
        <v>1</v>
      </c>
      <c r="I10" s="26" t="b">
        <f>IF(B10=C$1, VLOOKUP(A10, 'Primary Studies'!A:S, 16, TRUE), VLOOKUP(A10, Overlap!A:Q, 14, TRUE))</f>
        <v>0</v>
      </c>
      <c r="J10" s="26" t="b">
        <f>IF(B10=C$1, VLOOKUP(A10, 'Primary Studies'!A:S, 17, TRUE), VLOOKUP(A10, Overlap!A:Q, 15, TRUE))</f>
        <v>0</v>
      </c>
      <c r="K10" s="26" t="b">
        <f>IF(B10=C$1, VLOOKUP(A10, 'Primary Studies'!A:S, 18, TRUE), VLOOKUP(A10, Overlap!A:Q, 16, TRUE))</f>
        <v>1</v>
      </c>
      <c r="L10" s="26" t="b">
        <f>IF(B10=C$1, VLOOKUP(A10, 'Primary Studies'!A:S, 19, TRUE), VLOOKUP(A10, Overlap!A:Q, 17, TRUE))</f>
        <v>0</v>
      </c>
      <c r="M10" s="28" t="b">
        <f>IF(B10=M$1, VLOOKUP(A10, 'Primary Studies'!A:B, 2, TRUE), VLOOKUP(A10, Overlap!A:B, 2, TRUE))</f>
        <v>1</v>
      </c>
      <c r="N10" s="26" t="b">
        <f>IF(B10=M$1, VLOOKUP(A10, 'Primary Studies'!A:S, 11, TRUE), VLOOKUP(A10, Overlap!A:Q, 9, TRUE))</f>
        <v>1</v>
      </c>
      <c r="O10" s="26" t="b">
        <f>IF(B10=M$1, VLOOKUP(A10, 'Primary Studies'!A:S, 12, TRUE), VLOOKUP(A10, Overlap!A:Q, 10, TRUE))</f>
        <v>1</v>
      </c>
      <c r="P10" s="26" t="b">
        <f>IF(B10=M$1, VLOOKUP(A10, 'Primary Studies'!A:S, 13, TRUE), VLOOKUP(A10, Overlap!A:Q, 11, TRUE))</f>
        <v>1</v>
      </c>
      <c r="Q10" s="26" t="b">
        <f>IF(B10=M$1, VLOOKUP(A10, 'Primary Studies'!A:S, 14, TRUE), VLOOKUP(A10, Overlap!A:Q, 12, TRUE))</f>
        <v>1</v>
      </c>
      <c r="R10" s="27" t="b">
        <f>IF(B10=M$1, VLOOKUP(A10, 'Primary Studies'!A:S, 15, TRUE), VLOOKUP(A10, Overlap!A:Q, 13, TRUE))</f>
        <v>1</v>
      </c>
      <c r="S10" s="26" t="b">
        <f>IF(B10=M$1, VLOOKUP(A10, 'Primary Studies'!A:S, 16, TRUE), VLOOKUP(A10, Overlap!A:Q, 14, TRUE))</f>
        <v>0</v>
      </c>
      <c r="T10" s="26" t="b">
        <f>IF(B10=M$1, VLOOKUP(A10, 'Primary Studies'!A:S, 17, TRUE), VLOOKUP(A10, Overlap!A:Q, 15, TRUE))</f>
        <v>0</v>
      </c>
      <c r="U10" s="26" t="b">
        <f>IF(B10=M$1, VLOOKUP(A10, 'Primary Studies'!A:S, 18, TRUE), VLOOKUP(A10, Overlap!A:Q, 16, TRUE))</f>
        <v>0</v>
      </c>
      <c r="V10" s="25" t="b">
        <f>IF(B10=M$1, VLOOKUP(A10, 'Primary Studies'!A:S, 19, TRUE), VLOOKUP(A10, Overlap!A:Q, 17, TRUE))</f>
        <v>0</v>
      </c>
      <c r="W10" s="29"/>
    </row>
    <row r="11" spans="1:23" x14ac:dyDescent="0.25">
      <c r="A11" s="11">
        <v>68</v>
      </c>
      <c r="B11" s="24" t="str">
        <f>VLOOKUP(A11, 'Primary Studies'!A:C, 3, TRUE)</f>
        <v>rater1</v>
      </c>
      <c r="C11" s="25" t="b">
        <f>IF(B11=C$1, VLOOKUP(A11, 'Primary Studies'!A:B, 2, TRUE), VLOOKUP(A11, Overlap!A:B, 2, TRUE))</f>
        <v>1</v>
      </c>
      <c r="D11" s="26" t="b">
        <f>IF(B11=C$1, VLOOKUP(A11, 'Primary Studies'!A:S, 11, TRUE), VLOOKUP(A11, Overlap!A:Q, 9, TRUE))</f>
        <v>1</v>
      </c>
      <c r="E11" s="26" t="b">
        <f>IF(B11=C$1, VLOOKUP(A11, 'Primary Studies'!A:S, 12, TRUE), VLOOKUP(A11, Overlap!A:Q, 10, TRUE))</f>
        <v>1</v>
      </c>
      <c r="F11" s="26" t="b">
        <f>IF(B11=C$1, VLOOKUP(A11, 'Primary Studies'!A:S, 13, TRUE), VLOOKUP(A11, Overlap!A:Q, 11, TRUE))</f>
        <v>0</v>
      </c>
      <c r="G11" s="26" t="b">
        <f>IF(B11=C$1, VLOOKUP(A11, 'Primary Studies'!A:S, 14, TRUE), VLOOKUP(A11, Overlap!A:Q, 12, TRUE))</f>
        <v>0</v>
      </c>
      <c r="H11" s="27" t="b">
        <f>IF(B11=C$1, VLOOKUP(A11, 'Primary Studies'!A:S, 15, TRUE), VLOOKUP(A11, Overlap!A:Q, 13, TRUE))</f>
        <v>0</v>
      </c>
      <c r="I11" s="26" t="b">
        <f>IF(B11=C$1, VLOOKUP(A11, 'Primary Studies'!A:S, 16, TRUE), VLOOKUP(A11, Overlap!A:Q, 14, TRUE))</f>
        <v>0</v>
      </c>
      <c r="J11" s="26" t="b">
        <f>IF(B11=C$1, VLOOKUP(A11, 'Primary Studies'!A:S, 17, TRUE), VLOOKUP(A11, Overlap!A:Q, 15, TRUE))</f>
        <v>0</v>
      </c>
      <c r="K11" s="26" t="b">
        <f>IF(B11=C$1, VLOOKUP(A11, 'Primary Studies'!A:S, 18, TRUE), VLOOKUP(A11, Overlap!A:Q, 16, TRUE))</f>
        <v>0</v>
      </c>
      <c r="L11" s="26" t="b">
        <f>IF(B11=C$1, VLOOKUP(A11, 'Primary Studies'!A:S, 19, TRUE), VLOOKUP(A11, Overlap!A:Q, 17, TRUE))</f>
        <v>1</v>
      </c>
      <c r="M11" s="28" t="b">
        <f>IF(B11=M$1, VLOOKUP(A11, 'Primary Studies'!A:B, 2, TRUE), VLOOKUP(A11, Overlap!A:B, 2, TRUE))</f>
        <v>1</v>
      </c>
      <c r="N11" s="26" t="b">
        <f>IF(B11=M$1, VLOOKUP(A11, 'Primary Studies'!A:S, 11, TRUE), VLOOKUP(A11, Overlap!A:Q, 9, TRUE))</f>
        <v>1</v>
      </c>
      <c r="O11" s="26" t="b">
        <f>IF(B11=M$1, VLOOKUP(A11, 'Primary Studies'!A:S, 12, TRUE), VLOOKUP(A11, Overlap!A:Q, 10, TRUE))</f>
        <v>1</v>
      </c>
      <c r="P11" s="26" t="b">
        <f>IF(B11=M$1, VLOOKUP(A11, 'Primary Studies'!A:S, 13, TRUE), VLOOKUP(A11, Overlap!A:Q, 11, TRUE))</f>
        <v>0</v>
      </c>
      <c r="Q11" s="26" t="b">
        <f>IF(B11=M$1, VLOOKUP(A11, 'Primary Studies'!A:S, 14, TRUE), VLOOKUP(A11, Overlap!A:Q, 12, TRUE))</f>
        <v>0</v>
      </c>
      <c r="R11" s="27" t="b">
        <f>IF(B11=M$1, VLOOKUP(A11, 'Primary Studies'!A:S, 15, TRUE), VLOOKUP(A11, Overlap!A:Q, 13, TRUE))</f>
        <v>0</v>
      </c>
      <c r="S11" s="26" t="b">
        <f>IF(B11=M$1, VLOOKUP(A11, 'Primary Studies'!A:S, 16, TRUE), VLOOKUP(A11, Overlap!A:Q, 14, TRUE))</f>
        <v>0</v>
      </c>
      <c r="T11" s="26" t="b">
        <f>IF(B11=M$1, VLOOKUP(A11, 'Primary Studies'!A:S, 17, TRUE), VLOOKUP(A11, Overlap!A:Q, 15, TRUE))</f>
        <v>0</v>
      </c>
      <c r="U11" s="26" t="b">
        <f>IF(B11=M$1, VLOOKUP(A11, 'Primary Studies'!A:S, 18, TRUE), VLOOKUP(A11, Overlap!A:Q, 16, TRUE))</f>
        <v>0</v>
      </c>
      <c r="V11" s="25" t="b">
        <f>IF(B11=M$1, VLOOKUP(A11, 'Primary Studies'!A:S, 19, TRUE), VLOOKUP(A11, Overlap!A:Q, 17, TRUE))</f>
        <v>0</v>
      </c>
      <c r="W11" s="29"/>
    </row>
    <row r="12" spans="1:23" x14ac:dyDescent="0.25">
      <c r="A12" s="11">
        <v>71</v>
      </c>
      <c r="B12" s="24" t="str">
        <f>VLOOKUP(A12, 'Primary Studies'!A:C, 3, TRUE)</f>
        <v>rater2</v>
      </c>
      <c r="C12" s="25" t="b">
        <f>IF(B12=C$1, VLOOKUP(A12, 'Primary Studies'!A:B, 2, TRUE), VLOOKUP(A12, Overlap!A:B, 2, TRUE))</f>
        <v>1</v>
      </c>
      <c r="D12" s="26" t="b">
        <f>IF(B12=C$1, VLOOKUP(A12, 'Primary Studies'!A:S, 11, TRUE), VLOOKUP(A12, Overlap!A:Q, 9, TRUE))</f>
        <v>1</v>
      </c>
      <c r="E12" s="26" t="b">
        <f>IF(B12=C$1, VLOOKUP(A12, 'Primary Studies'!A:S, 12, TRUE), VLOOKUP(A12, Overlap!A:Q, 10, TRUE))</f>
        <v>1</v>
      </c>
      <c r="F12" s="26" t="b">
        <f>IF(B12=C$1, VLOOKUP(A12, 'Primary Studies'!A:S, 13, TRUE), VLOOKUP(A12, Overlap!A:Q, 11, TRUE))</f>
        <v>1</v>
      </c>
      <c r="G12" s="26" t="b">
        <f>IF(B12=C$1, VLOOKUP(A12, 'Primary Studies'!A:S, 14, TRUE), VLOOKUP(A12, Overlap!A:Q, 12, TRUE))</f>
        <v>1</v>
      </c>
      <c r="H12" s="27" t="b">
        <f>IF(B12=C$1, VLOOKUP(A12, 'Primary Studies'!A:S, 15, TRUE), VLOOKUP(A12, Overlap!A:Q, 13, TRUE))</f>
        <v>1</v>
      </c>
      <c r="I12" s="26" t="b">
        <f>IF(B12=C$1, VLOOKUP(A12, 'Primary Studies'!A:S, 16, TRUE), VLOOKUP(A12, Overlap!A:Q, 14, TRUE))</f>
        <v>0</v>
      </c>
      <c r="J12" s="26" t="b">
        <f>IF(B12=C$1, VLOOKUP(A12, 'Primary Studies'!A:S, 17, TRUE), VLOOKUP(A12, Overlap!A:Q, 15, TRUE))</f>
        <v>0</v>
      </c>
      <c r="K12" s="26" t="b">
        <f>IF(B12=C$1, VLOOKUP(A12, 'Primary Studies'!A:S, 18, TRUE), VLOOKUP(A12, Overlap!A:Q, 16, TRUE))</f>
        <v>0</v>
      </c>
      <c r="L12" s="26" t="b">
        <f>IF(B12=C$1, VLOOKUP(A12, 'Primary Studies'!A:S, 19, TRUE), VLOOKUP(A12, Overlap!A:Q, 17, TRUE))</f>
        <v>0</v>
      </c>
      <c r="M12" s="28" t="b">
        <f>IF(B12=M$1, VLOOKUP(A12, 'Primary Studies'!A:B, 2, TRUE), VLOOKUP(A12, Overlap!A:B, 2, TRUE))</f>
        <v>1</v>
      </c>
      <c r="N12" s="26" t="b">
        <f>IF(B12=M$1, VLOOKUP(A12, 'Primary Studies'!A:S, 11, TRUE), VLOOKUP(A12, Overlap!A:Q, 9, TRUE))</f>
        <v>1</v>
      </c>
      <c r="O12" s="26" t="b">
        <f>IF(B12=M$1, VLOOKUP(A12, 'Primary Studies'!A:S, 12, TRUE), VLOOKUP(A12, Overlap!A:Q, 10, TRUE))</f>
        <v>1</v>
      </c>
      <c r="P12" s="26" t="b">
        <f>IF(B12=M$1, VLOOKUP(A12, 'Primary Studies'!A:S, 13, TRUE), VLOOKUP(A12, Overlap!A:Q, 11, TRUE))</f>
        <v>1</v>
      </c>
      <c r="Q12" s="26" t="b">
        <f>IF(B12=M$1, VLOOKUP(A12, 'Primary Studies'!A:S, 14, TRUE), VLOOKUP(A12, Overlap!A:Q, 12, TRUE))</f>
        <v>1</v>
      </c>
      <c r="R12" s="27" t="b">
        <f>IF(B12=M$1, VLOOKUP(A12, 'Primary Studies'!A:S, 15, TRUE), VLOOKUP(A12, Overlap!A:Q, 13, TRUE))</f>
        <v>1</v>
      </c>
      <c r="S12" s="26" t="b">
        <f>IF(B12=M$1, VLOOKUP(A12, 'Primary Studies'!A:S, 16, TRUE), VLOOKUP(A12, Overlap!A:Q, 14, TRUE))</f>
        <v>0</v>
      </c>
      <c r="T12" s="26" t="b">
        <f>IF(B12=M$1, VLOOKUP(A12, 'Primary Studies'!A:S, 17, TRUE), VLOOKUP(A12, Overlap!A:Q, 15, TRUE))</f>
        <v>0</v>
      </c>
      <c r="U12" s="26" t="b">
        <f>IF(B12=M$1, VLOOKUP(A12, 'Primary Studies'!A:S, 18, TRUE), VLOOKUP(A12, Overlap!A:Q, 16, TRUE))</f>
        <v>0</v>
      </c>
      <c r="V12" s="25" t="b">
        <f>IF(B12=M$1, VLOOKUP(A12, 'Primary Studies'!A:S, 19, TRUE), VLOOKUP(A12, Overlap!A:Q, 17, TRUE))</f>
        <v>0</v>
      </c>
      <c r="W12" s="29"/>
    </row>
    <row r="13" spans="1:23" x14ac:dyDescent="0.25">
      <c r="A13" s="11">
        <v>77</v>
      </c>
      <c r="B13" s="24" t="str">
        <f>VLOOKUP(A13, 'Primary Studies'!A:C, 3, TRUE)</f>
        <v>rater1</v>
      </c>
      <c r="C13" s="25" t="b">
        <f>IF(B13=C$1, VLOOKUP(A13, 'Primary Studies'!A:B, 2, TRUE), VLOOKUP(A13, Overlap!A:B, 2, TRUE))</f>
        <v>1</v>
      </c>
      <c r="D13" s="26" t="b">
        <f>IF(B13=C$1, VLOOKUP(A13, 'Primary Studies'!A:S, 11, TRUE), VLOOKUP(A13, Overlap!A:Q, 9, TRUE))</f>
        <v>1</v>
      </c>
      <c r="E13" s="26" t="b">
        <f>IF(B13=C$1, VLOOKUP(A13, 'Primary Studies'!A:S, 12, TRUE), VLOOKUP(A13, Overlap!A:Q, 10, TRUE))</f>
        <v>1</v>
      </c>
      <c r="F13" s="26" t="b">
        <f>IF(B13=C$1, VLOOKUP(A13, 'Primary Studies'!A:S, 13, TRUE), VLOOKUP(A13, Overlap!A:Q, 11, TRUE))</f>
        <v>1</v>
      </c>
      <c r="G13" s="26" t="b">
        <f>IF(B13=C$1, VLOOKUP(A13, 'Primary Studies'!A:S, 14, TRUE), VLOOKUP(A13, Overlap!A:Q, 12, TRUE))</f>
        <v>1</v>
      </c>
      <c r="H13" s="27" t="b">
        <f>IF(B13=C$1, VLOOKUP(A13, 'Primary Studies'!A:S, 15, TRUE), VLOOKUP(A13, Overlap!A:Q, 13, TRUE))</f>
        <v>1</v>
      </c>
      <c r="I13" s="26" t="b">
        <f>IF(B13=C$1, VLOOKUP(A13, 'Primary Studies'!A:S, 16, TRUE), VLOOKUP(A13, Overlap!A:Q, 14, TRUE))</f>
        <v>0</v>
      </c>
      <c r="J13" s="26" t="b">
        <f>IF(B13=C$1, VLOOKUP(A13, 'Primary Studies'!A:S, 17, TRUE), VLOOKUP(A13, Overlap!A:Q, 15, TRUE))</f>
        <v>0</v>
      </c>
      <c r="K13" s="26" t="b">
        <f>IF(B13=C$1, VLOOKUP(A13, 'Primary Studies'!A:S, 18, TRUE), VLOOKUP(A13, Overlap!A:Q, 16, TRUE))</f>
        <v>0</v>
      </c>
      <c r="L13" s="26" t="b">
        <f>IF(B13=C$1, VLOOKUP(A13, 'Primary Studies'!A:S, 19, TRUE), VLOOKUP(A13, Overlap!A:Q, 17, TRUE))</f>
        <v>0</v>
      </c>
      <c r="M13" s="28" t="b">
        <f>IF(B13=M$1, VLOOKUP(A13, 'Primary Studies'!A:B, 2, TRUE), VLOOKUP(A13, Overlap!A:B, 2, TRUE))</f>
        <v>1</v>
      </c>
      <c r="N13" s="26" t="b">
        <f>IF(B13=M$1, VLOOKUP(A13, 'Primary Studies'!A:S, 11, TRUE), VLOOKUP(A13, Overlap!A:Q, 9, TRUE))</f>
        <v>1</v>
      </c>
      <c r="O13" s="26" t="b">
        <f>IF(B13=M$1, VLOOKUP(A13, 'Primary Studies'!A:S, 12, TRUE), VLOOKUP(A13, Overlap!A:Q, 10, TRUE))</f>
        <v>1</v>
      </c>
      <c r="P13" s="26" t="b">
        <f>IF(B13=M$1, VLOOKUP(A13, 'Primary Studies'!A:S, 13, TRUE), VLOOKUP(A13, Overlap!A:Q, 11, TRUE))</f>
        <v>1</v>
      </c>
      <c r="Q13" s="26" t="b">
        <f>IF(B13=M$1, VLOOKUP(A13, 'Primary Studies'!A:S, 14, TRUE), VLOOKUP(A13, Overlap!A:Q, 12, TRUE))</f>
        <v>1</v>
      </c>
      <c r="R13" s="27" t="b">
        <f>IF(B13=M$1, VLOOKUP(A13, 'Primary Studies'!A:S, 15, TRUE), VLOOKUP(A13, Overlap!A:Q, 13, TRUE))</f>
        <v>1</v>
      </c>
      <c r="S13" s="26" t="b">
        <f>IF(B13=M$1, VLOOKUP(A13, 'Primary Studies'!A:S, 16, TRUE), VLOOKUP(A13, Overlap!A:Q, 14, TRUE))</f>
        <v>0</v>
      </c>
      <c r="T13" s="26" t="b">
        <f>IF(B13=M$1, VLOOKUP(A13, 'Primary Studies'!A:S, 17, TRUE), VLOOKUP(A13, Overlap!A:Q, 15, TRUE))</f>
        <v>0</v>
      </c>
      <c r="U13" s="26" t="b">
        <f>IF(B13=M$1, VLOOKUP(A13, 'Primary Studies'!A:S, 18, TRUE), VLOOKUP(A13, Overlap!A:Q, 16, TRUE))</f>
        <v>0</v>
      </c>
      <c r="V13" s="25" t="b">
        <f>IF(B13=M$1, VLOOKUP(A13, 'Primary Studies'!A:S, 19, TRUE), VLOOKUP(A13, Overlap!A:Q, 17, TRUE))</f>
        <v>0</v>
      </c>
      <c r="W13" s="29"/>
    </row>
    <row r="14" spans="1:23" x14ac:dyDescent="0.25">
      <c r="A14" s="11">
        <v>88</v>
      </c>
      <c r="B14" s="24" t="str">
        <f>VLOOKUP(A14, 'Primary Studies'!A:C, 3, TRUE)</f>
        <v>rater1</v>
      </c>
      <c r="C14" s="25" t="b">
        <f>IF(B14=C$1, VLOOKUP(A14, 'Primary Studies'!A:B, 2, TRUE), VLOOKUP(A14, Overlap!A:B, 2, TRUE))</f>
        <v>1</v>
      </c>
      <c r="D14" s="26" t="b">
        <f>IF(B14=C$1, VLOOKUP(A14, 'Primary Studies'!A:S, 11, TRUE), VLOOKUP(A14, Overlap!A:Q, 9, TRUE))</f>
        <v>1</v>
      </c>
      <c r="E14" s="26" t="b">
        <f>IF(B14=C$1, VLOOKUP(A14, 'Primary Studies'!A:S, 12, TRUE), VLOOKUP(A14, Overlap!A:Q, 10, TRUE))</f>
        <v>0</v>
      </c>
      <c r="F14" s="26" t="b">
        <f>IF(B14=C$1, VLOOKUP(A14, 'Primary Studies'!A:S, 13, TRUE), VLOOKUP(A14, Overlap!A:Q, 11, TRUE))</f>
        <v>1</v>
      </c>
      <c r="G14" s="26" t="b">
        <f>IF(B14=C$1, VLOOKUP(A14, 'Primary Studies'!A:S, 14, TRUE), VLOOKUP(A14, Overlap!A:Q, 12, TRUE))</f>
        <v>1</v>
      </c>
      <c r="H14" s="27" t="b">
        <f>IF(B14=C$1, VLOOKUP(A14, 'Primary Studies'!A:S, 15, TRUE), VLOOKUP(A14, Overlap!A:Q, 13, TRUE))</f>
        <v>1</v>
      </c>
      <c r="I14" s="26" t="b">
        <f>IF(B14=C$1, VLOOKUP(A14, 'Primary Studies'!A:S, 16, TRUE), VLOOKUP(A14, Overlap!A:Q, 14, TRUE))</f>
        <v>0</v>
      </c>
      <c r="J14" s="26" t="b">
        <f>IF(B14=C$1, VLOOKUP(A14, 'Primary Studies'!A:S, 17, TRUE), VLOOKUP(A14, Overlap!A:Q, 15, TRUE))</f>
        <v>0</v>
      </c>
      <c r="K14" s="26" t="b">
        <f>IF(B14=C$1, VLOOKUP(A14, 'Primary Studies'!A:S, 18, TRUE), VLOOKUP(A14, Overlap!A:Q, 16, TRUE))</f>
        <v>0</v>
      </c>
      <c r="L14" s="26" t="b">
        <f>IF(B14=C$1, VLOOKUP(A14, 'Primary Studies'!A:S, 19, TRUE), VLOOKUP(A14, Overlap!A:Q, 17, TRUE))</f>
        <v>0</v>
      </c>
      <c r="M14" s="28" t="b">
        <f>IF(B14=M$1, VLOOKUP(A14, 'Primary Studies'!A:B, 2, TRUE), VLOOKUP(A14, Overlap!A:B, 2, TRUE))</f>
        <v>1</v>
      </c>
      <c r="N14" s="26" t="b">
        <f>IF(B14=M$1, VLOOKUP(A14, 'Primary Studies'!A:S, 11, TRUE), VLOOKUP(A14, Overlap!A:Q, 9, TRUE))</f>
        <v>1</v>
      </c>
      <c r="O14" s="26" t="b">
        <f>IF(B14=M$1, VLOOKUP(A14, 'Primary Studies'!A:S, 12, TRUE), VLOOKUP(A14, Overlap!A:Q, 10, TRUE))</f>
        <v>0</v>
      </c>
      <c r="P14" s="26" t="b">
        <f>IF(B14=M$1, VLOOKUP(A14, 'Primary Studies'!A:S, 13, TRUE), VLOOKUP(A14, Overlap!A:Q, 11, TRUE))</f>
        <v>1</v>
      </c>
      <c r="Q14" s="26" t="b">
        <f>IF(B14=M$1, VLOOKUP(A14, 'Primary Studies'!A:S, 14, TRUE), VLOOKUP(A14, Overlap!A:Q, 12, TRUE))</f>
        <v>1</v>
      </c>
      <c r="R14" s="27" t="b">
        <f>IF(B14=M$1, VLOOKUP(A14, 'Primary Studies'!A:S, 15, TRUE), VLOOKUP(A14, Overlap!A:Q, 13, TRUE))</f>
        <v>1</v>
      </c>
      <c r="S14" s="26" t="b">
        <f>IF(B14=M$1, VLOOKUP(A14, 'Primary Studies'!A:S, 16, TRUE), VLOOKUP(A14, Overlap!A:Q, 14, TRUE))</f>
        <v>0</v>
      </c>
      <c r="T14" s="26" t="b">
        <f>IF(B14=M$1, VLOOKUP(A14, 'Primary Studies'!A:S, 17, TRUE), VLOOKUP(A14, Overlap!A:Q, 15, TRUE))</f>
        <v>0</v>
      </c>
      <c r="U14" s="26" t="b">
        <f>IF(B14=M$1, VLOOKUP(A14, 'Primary Studies'!A:S, 18, TRUE), VLOOKUP(A14, Overlap!A:Q, 16, TRUE))</f>
        <v>0</v>
      </c>
      <c r="V14" s="25" t="b">
        <f>IF(B14=M$1, VLOOKUP(A14, 'Primary Studies'!A:S, 19, TRUE), VLOOKUP(A14, Overlap!A:Q, 17, TRUE))</f>
        <v>0</v>
      </c>
      <c r="W14" s="29"/>
    </row>
    <row r="15" spans="1:23" x14ac:dyDescent="0.25">
      <c r="A15" s="11">
        <v>104</v>
      </c>
      <c r="B15" s="24" t="str">
        <f>VLOOKUP(A15, 'Primary Studies'!A:C, 3, TRUE)</f>
        <v>rater1</v>
      </c>
      <c r="C15" s="25" t="b">
        <f>IF(B15=C$1, VLOOKUP(A15, 'Primary Studies'!A:B, 2, TRUE), VLOOKUP(A15, Overlap!A:B, 2, TRUE))</f>
        <v>1</v>
      </c>
      <c r="D15" s="26" t="b">
        <f>IF(B15=C$1, VLOOKUP(A15, 'Primary Studies'!A:S, 11, TRUE), VLOOKUP(A15, Overlap!A:Q, 9, TRUE))</f>
        <v>0</v>
      </c>
      <c r="E15" s="26" t="b">
        <f>IF(B15=C$1, VLOOKUP(A15, 'Primary Studies'!A:S, 12, TRUE), VLOOKUP(A15, Overlap!A:Q, 10, TRUE))</f>
        <v>0</v>
      </c>
      <c r="F15" s="26" t="b">
        <f>IF(B15=C$1, VLOOKUP(A15, 'Primary Studies'!A:S, 13, TRUE), VLOOKUP(A15, Overlap!A:Q, 11, TRUE))</f>
        <v>0</v>
      </c>
      <c r="G15" s="26" t="b">
        <f>IF(B15=C$1, VLOOKUP(A15, 'Primary Studies'!A:S, 14, TRUE), VLOOKUP(A15, Overlap!A:Q, 12, TRUE))</f>
        <v>0</v>
      </c>
      <c r="H15" s="27" t="b">
        <f>IF(B15=C$1, VLOOKUP(A15, 'Primary Studies'!A:S, 15, TRUE), VLOOKUP(A15, Overlap!A:Q, 13, TRUE))</f>
        <v>0</v>
      </c>
      <c r="I15" s="26" t="b">
        <f>IF(B15=C$1, VLOOKUP(A15, 'Primary Studies'!A:S, 16, TRUE), VLOOKUP(A15, Overlap!A:Q, 14, TRUE))</f>
        <v>0</v>
      </c>
      <c r="J15" s="26" t="b">
        <f>IF(B15=C$1, VLOOKUP(A15, 'Primary Studies'!A:S, 17, TRUE), VLOOKUP(A15, Overlap!A:Q, 15, TRUE))</f>
        <v>0</v>
      </c>
      <c r="K15" s="26" t="b">
        <f>IF(B15=C$1, VLOOKUP(A15, 'Primary Studies'!A:S, 18, TRUE), VLOOKUP(A15, Overlap!A:Q, 16, TRUE))</f>
        <v>0</v>
      </c>
      <c r="L15" s="26" t="b">
        <f>IF(B15=C$1, VLOOKUP(A15, 'Primary Studies'!A:S, 19, TRUE), VLOOKUP(A15, Overlap!A:Q, 17, TRUE))</f>
        <v>1</v>
      </c>
      <c r="M15" s="28" t="b">
        <f>IF(B15=M$1, VLOOKUP(A15, 'Primary Studies'!A:B, 2, TRUE), VLOOKUP(A15, Overlap!A:B, 2, TRUE))</f>
        <v>1</v>
      </c>
      <c r="N15" s="26" t="b">
        <f>IF(B15=M$1, VLOOKUP(A15, 'Primary Studies'!A:S, 11, TRUE), VLOOKUP(A15, Overlap!A:Q, 9, TRUE))</f>
        <v>0</v>
      </c>
      <c r="O15" s="26" t="b">
        <f>IF(B15=M$1, VLOOKUP(A15, 'Primary Studies'!A:S, 12, TRUE), VLOOKUP(A15, Overlap!A:Q, 10, TRUE))</f>
        <v>0</v>
      </c>
      <c r="P15" s="26" t="b">
        <f>IF(B15=M$1, VLOOKUP(A15, 'Primary Studies'!A:S, 13, TRUE), VLOOKUP(A15, Overlap!A:Q, 11, TRUE))</f>
        <v>0</v>
      </c>
      <c r="Q15" s="26" t="b">
        <f>IF(B15=M$1, VLOOKUP(A15, 'Primary Studies'!A:S, 14, TRUE), VLOOKUP(A15, Overlap!A:Q, 12, TRUE))</f>
        <v>0</v>
      </c>
      <c r="R15" s="27" t="b">
        <f>IF(B15=M$1, VLOOKUP(A15, 'Primary Studies'!A:S, 15, TRUE), VLOOKUP(A15, Overlap!A:Q, 13, TRUE))</f>
        <v>0</v>
      </c>
      <c r="S15" s="26" t="b">
        <f>IF(B15=M$1, VLOOKUP(A15, 'Primary Studies'!A:S, 16, TRUE), VLOOKUP(A15, Overlap!A:Q, 14, TRUE))</f>
        <v>0</v>
      </c>
      <c r="T15" s="26" t="b">
        <f>IF(B15=M$1, VLOOKUP(A15, 'Primary Studies'!A:S, 17, TRUE), VLOOKUP(A15, Overlap!A:Q, 15, TRUE))</f>
        <v>0</v>
      </c>
      <c r="U15" s="26" t="b">
        <f>IF(B15=M$1, VLOOKUP(A15, 'Primary Studies'!A:S, 18, TRUE), VLOOKUP(A15, Overlap!A:Q, 16, TRUE))</f>
        <v>0</v>
      </c>
      <c r="V15" s="25" t="b">
        <f>IF(B15=M$1, VLOOKUP(A15, 'Primary Studies'!A:S, 19, TRUE), VLOOKUP(A15, Overlap!A:Q, 17, TRUE))</f>
        <v>1</v>
      </c>
      <c r="W15" s="29"/>
    </row>
    <row r="16" spans="1:23" x14ac:dyDescent="0.25">
      <c r="A16" s="11">
        <v>116</v>
      </c>
      <c r="B16" s="24" t="str">
        <f>VLOOKUP(A16, 'Primary Studies'!A:C, 3, TRUE)</f>
        <v>rater1</v>
      </c>
      <c r="C16" s="25" t="b">
        <f>IF(B16=C$1, VLOOKUP(A16, 'Primary Studies'!A:B, 2, TRUE), VLOOKUP(A16, Overlap!A:B, 2, TRUE))</f>
        <v>1</v>
      </c>
      <c r="D16" s="26" t="b">
        <f>IF(B16=C$1, VLOOKUP(A16, 'Primary Studies'!A:S, 11, TRUE), VLOOKUP(A16, Overlap!A:Q, 9, TRUE))</f>
        <v>1</v>
      </c>
      <c r="E16" s="26" t="b">
        <f>IF(B16=C$1, VLOOKUP(A16, 'Primary Studies'!A:S, 12, TRUE), VLOOKUP(A16, Overlap!A:Q, 10, TRUE))</f>
        <v>1</v>
      </c>
      <c r="F16" s="26" t="b">
        <f>IF(B16=C$1, VLOOKUP(A16, 'Primary Studies'!A:S, 13, TRUE), VLOOKUP(A16, Overlap!A:Q, 11, TRUE))</f>
        <v>1</v>
      </c>
      <c r="G16" s="26" t="b">
        <f>IF(B16=C$1, VLOOKUP(A16, 'Primary Studies'!A:S, 14, TRUE), VLOOKUP(A16, Overlap!A:Q, 12, TRUE))</f>
        <v>1</v>
      </c>
      <c r="H16" s="27" t="b">
        <f>IF(B16=C$1, VLOOKUP(A16, 'Primary Studies'!A:S, 15, TRUE), VLOOKUP(A16, Overlap!A:Q, 13, TRUE))</f>
        <v>1</v>
      </c>
      <c r="I16" s="26" t="b">
        <f>IF(B16=C$1, VLOOKUP(A16, 'Primary Studies'!A:S, 16, TRUE), VLOOKUP(A16, Overlap!A:Q, 14, TRUE))</f>
        <v>0</v>
      </c>
      <c r="J16" s="26" t="b">
        <f>IF(B16=C$1, VLOOKUP(A16, 'Primary Studies'!A:S, 17, TRUE), VLOOKUP(A16, Overlap!A:Q, 15, TRUE))</f>
        <v>0</v>
      </c>
      <c r="K16" s="26" t="b">
        <f>IF(B16=C$1, VLOOKUP(A16, 'Primary Studies'!A:S, 18, TRUE), VLOOKUP(A16, Overlap!A:Q, 16, TRUE))</f>
        <v>0</v>
      </c>
      <c r="L16" s="26" t="b">
        <f>IF(B16=C$1, VLOOKUP(A16, 'Primary Studies'!A:S, 19, TRUE), VLOOKUP(A16, Overlap!A:Q, 17, TRUE))</f>
        <v>0</v>
      </c>
      <c r="M16" s="28" t="b">
        <f>IF(B16=M$1, VLOOKUP(A16, 'Primary Studies'!A:B, 2, TRUE), VLOOKUP(A16, Overlap!A:B, 2, TRUE))</f>
        <v>1</v>
      </c>
      <c r="N16" s="26" t="b">
        <f>IF(B16=M$1, VLOOKUP(A16, 'Primary Studies'!A:S, 11, TRUE), VLOOKUP(A16, Overlap!A:Q, 9, TRUE))</f>
        <v>1</v>
      </c>
      <c r="O16" s="26" t="b">
        <f>IF(B16=M$1, VLOOKUP(A16, 'Primary Studies'!A:S, 12, TRUE), VLOOKUP(A16, Overlap!A:Q, 10, TRUE))</f>
        <v>1</v>
      </c>
      <c r="P16" s="26" t="b">
        <f>IF(B16=M$1, VLOOKUP(A16, 'Primary Studies'!A:S, 13, TRUE), VLOOKUP(A16, Overlap!A:Q, 11, TRUE))</f>
        <v>1</v>
      </c>
      <c r="Q16" s="26" t="b">
        <f>IF(B16=M$1, VLOOKUP(A16, 'Primary Studies'!A:S, 14, TRUE), VLOOKUP(A16, Overlap!A:Q, 12, TRUE))</f>
        <v>1</v>
      </c>
      <c r="R16" s="27" t="b">
        <f>IF(B16=M$1, VLOOKUP(A16, 'Primary Studies'!A:S, 15, TRUE), VLOOKUP(A16, Overlap!A:Q, 13, TRUE))</f>
        <v>1</v>
      </c>
      <c r="S16" s="26" t="b">
        <f>IF(B16=M$1, VLOOKUP(A16, 'Primary Studies'!A:S, 16, TRUE), VLOOKUP(A16, Overlap!A:Q, 14, TRUE))</f>
        <v>0</v>
      </c>
      <c r="T16" s="26" t="b">
        <f>IF(B16=M$1, VLOOKUP(A16, 'Primary Studies'!A:S, 17, TRUE), VLOOKUP(A16, Overlap!A:Q, 15, TRUE))</f>
        <v>0</v>
      </c>
      <c r="U16" s="26" t="b">
        <f>IF(B16=M$1, VLOOKUP(A16, 'Primary Studies'!A:S, 18, TRUE), VLOOKUP(A16, Overlap!A:Q, 16, TRUE))</f>
        <v>0</v>
      </c>
      <c r="V16" s="25" t="b">
        <f>IF(B16=M$1, VLOOKUP(A16, 'Primary Studies'!A:S, 19, TRUE), VLOOKUP(A16, Overlap!A:Q, 17, TRUE))</f>
        <v>0</v>
      </c>
      <c r="W16" s="29"/>
    </row>
    <row r="17" spans="1:23" x14ac:dyDescent="0.25">
      <c r="A17" s="21"/>
      <c r="B17" s="21"/>
      <c r="C17" s="21"/>
      <c r="D17" s="21"/>
      <c r="E17" s="21"/>
      <c r="F17" s="21"/>
      <c r="G17" s="21"/>
      <c r="H17" s="21"/>
      <c r="I17" s="21"/>
      <c r="J17" s="21"/>
      <c r="K17" s="21"/>
      <c r="L17" s="21"/>
      <c r="M17" s="21"/>
      <c r="N17" s="21"/>
      <c r="O17" s="21"/>
      <c r="P17" s="21"/>
      <c r="Q17" s="21"/>
      <c r="R17" s="21"/>
      <c r="S17" s="21"/>
      <c r="T17" s="21"/>
      <c r="U17" s="21"/>
      <c r="V17" s="21"/>
      <c r="W17" s="22"/>
    </row>
  </sheetData>
  <mergeCells count="1">
    <mergeCell ref="B1:B2"/>
  </mergeCells>
  <conditionalFormatting sqref="C3:C16 M3:M16">
    <cfRule type="cellIs" dxfId="7" priority="2" operator="equal">
      <formula>"TRUE"</formula>
    </cfRule>
  </conditionalFormatting>
  <conditionalFormatting sqref="N3:V16">
    <cfRule type="expression" dxfId="6" priority="1">
      <formula>AND(M3, D3&lt;&gt;N3)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4"/>
  <sheetViews>
    <sheetView workbookViewId="0">
      <selection activeCell="B4" sqref="B4"/>
    </sheetView>
  </sheetViews>
  <sheetFormatPr defaultColWidth="12.6640625" defaultRowHeight="15.75" customHeight="1" x14ac:dyDescent="0.25"/>
  <cols>
    <col min="1" max="1" width="6.88671875" customWidth="1"/>
    <col min="5" max="5" width="7.6640625" customWidth="1"/>
  </cols>
  <sheetData>
    <row r="1" spans="1:6" x14ac:dyDescent="0.25">
      <c r="A1" s="21" t="s">
        <v>241</v>
      </c>
      <c r="B1" s="21" t="s">
        <v>1</v>
      </c>
      <c r="C1" s="21" t="s">
        <v>242</v>
      </c>
      <c r="D1" s="21" t="s">
        <v>243</v>
      </c>
      <c r="E1" s="21" t="s">
        <v>244</v>
      </c>
      <c r="F1" s="21" t="s">
        <v>245</v>
      </c>
    </row>
    <row r="2" spans="1:6" x14ac:dyDescent="0.25">
      <c r="A2" s="30" t="s">
        <v>247</v>
      </c>
      <c r="B2" s="26" t="s">
        <v>246</v>
      </c>
      <c r="C2" s="26">
        <f>COUNTIF('Primary Studies'!C:C,A2)</f>
        <v>90</v>
      </c>
      <c r="D2" s="26">
        <f>SUMPRODUCT(('Primary Studies'!C:C = A2) * ('Primary Studies'!B:B = TRUE))</f>
        <v>90</v>
      </c>
      <c r="E2" s="31">
        <f t="shared" ref="E2:E4" si="0">D2/C2</f>
        <v>1</v>
      </c>
      <c r="F2" s="26">
        <f t="shared" ref="F2:F4" si="1">C2-D2</f>
        <v>0</v>
      </c>
    </row>
    <row r="3" spans="1:6" x14ac:dyDescent="0.25">
      <c r="A3" s="30" t="s">
        <v>248</v>
      </c>
      <c r="B3" s="26" t="s">
        <v>246</v>
      </c>
      <c r="C3" s="26">
        <f>COUNTIF('Primary Studies'!C:C,A3)</f>
        <v>46</v>
      </c>
      <c r="D3" s="26">
        <f>SUMPRODUCT(('Primary Studies'!C:C = A3) * ('Primary Studies'!B:B = TRUE))</f>
        <v>46</v>
      </c>
      <c r="E3" s="31">
        <f t="shared" si="0"/>
        <v>1</v>
      </c>
      <c r="F3" s="26">
        <f t="shared" si="1"/>
        <v>0</v>
      </c>
    </row>
    <row r="4" spans="1:6" x14ac:dyDescent="0.25">
      <c r="A4" s="21"/>
      <c r="B4" s="21"/>
      <c r="C4" s="21">
        <f t="shared" ref="C4:D4" si="2">SUM(C2:C3)</f>
        <v>136</v>
      </c>
      <c r="D4" s="21">
        <f t="shared" si="2"/>
        <v>136</v>
      </c>
      <c r="E4" s="32">
        <f t="shared" si="0"/>
        <v>1</v>
      </c>
      <c r="F4" s="21">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Primary Studies</vt:lpstr>
      <vt:lpstr>Overlap</vt:lpstr>
      <vt:lpstr>Agreement</vt:lpstr>
      <vt:lpstr>Assignment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Frattini</cp:lastModifiedBy>
  <dcterms:modified xsi:type="dcterms:W3CDTF">2024-06-03T09:04:32Z</dcterms:modified>
</cp:coreProperties>
</file>