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juf\Workspace\BTH\Data Processing\b4c\data\state-of-practice\"/>
    </mc:Choice>
  </mc:AlternateContent>
  <xr:revisionPtr revIDLastSave="0" documentId="13_ncr:1_{5AFE303F-6A48-4924-A838-C80C8B064878}" xr6:coauthVersionLast="47" xr6:coauthVersionMax="47" xr10:uidLastSave="{00000000-0000-0000-0000-000000000000}"/>
  <bookViews>
    <workbookView xWindow="28680" yWindow="-14805" windowWidth="51840" windowHeight="21240" xr2:uid="{00000000-000D-0000-FFFF-FFFF00000000}"/>
  </bookViews>
  <sheets>
    <sheet name="Studies" sheetId="1" r:id="rId1"/>
    <sheet name="Extraction" sheetId="2" r:id="rId2"/>
    <sheet name="Progress" sheetId="4" r:id="rId3"/>
    <sheet name="CategoriesSubjects" sheetId="5" r:id="rId4"/>
    <sheet name="CategoriesMethod" sheetId="6" r:id="rId5"/>
    <sheet name="CategoriesTesttype" sheetId="7" r:id="rId6"/>
    <sheet name="CategoriesAddressal" sheetId="8" r:id="rId7"/>
  </sheets>
  <definedNames>
    <definedName name="_xlnm._FilterDatabase" localSheetId="1" hidden="1">Extraction!$I$3:$J$70</definedName>
    <definedName name="_xlnm._FilterDatabase" localSheetId="0" hidden="1">Studies!$F$1:$F$137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7" i="1" l="1"/>
  <c r="D136" i="1"/>
  <c r="D134" i="1"/>
  <c r="D133" i="1"/>
  <c r="D132" i="1"/>
  <c r="D131" i="1"/>
  <c r="D130" i="1"/>
  <c r="D129" i="1"/>
  <c r="D128" i="1"/>
  <c r="D127" i="1"/>
  <c r="D126" i="1"/>
  <c r="D125" i="1"/>
  <c r="D124" i="1"/>
  <c r="D123" i="1"/>
  <c r="D122" i="1"/>
  <c r="D121" i="1"/>
  <c r="D119" i="1"/>
  <c r="D118" i="1"/>
  <c r="D117" i="1"/>
  <c r="D116" i="1"/>
  <c r="D115" i="1"/>
  <c r="D114" i="1"/>
  <c r="D112" i="1"/>
  <c r="D111" i="1"/>
  <c r="D110" i="1"/>
  <c r="D109" i="1"/>
  <c r="D108" i="1"/>
  <c r="G107" i="1"/>
  <c r="D107" i="1"/>
  <c r="D106" i="1"/>
  <c r="D105" i="1"/>
  <c r="D104" i="1"/>
  <c r="D102" i="1"/>
  <c r="D101" i="1"/>
  <c r="B37" i="2" s="1"/>
  <c r="G100" i="1"/>
  <c r="D100" i="1"/>
  <c r="D99" i="1"/>
  <c r="D98" i="1"/>
  <c r="D97" i="1"/>
  <c r="D95" i="1"/>
  <c r="D94" i="1"/>
  <c r="D93" i="1"/>
  <c r="D92" i="1"/>
  <c r="D91" i="1"/>
  <c r="D89" i="1"/>
  <c r="D88" i="1"/>
  <c r="G87" i="1"/>
  <c r="D87" i="1"/>
  <c r="D86" i="1"/>
  <c r="D85" i="1"/>
  <c r="D83" i="1"/>
  <c r="D82" i="1"/>
  <c r="D80" i="1"/>
  <c r="D78" i="1"/>
  <c r="D77" i="1"/>
  <c r="D75" i="1"/>
  <c r="D74" i="1"/>
  <c r="G73" i="1"/>
  <c r="D71" i="1"/>
  <c r="D69" i="1"/>
  <c r="D67" i="1"/>
  <c r="D65" i="1"/>
  <c r="D64" i="1"/>
  <c r="D62" i="1"/>
  <c r="D60" i="1"/>
  <c r="D59" i="1"/>
  <c r="D57" i="1"/>
  <c r="D55" i="1"/>
  <c r="D53" i="1"/>
  <c r="D52" i="1"/>
  <c r="D51" i="1"/>
  <c r="D47" i="1"/>
  <c r="D45" i="1"/>
  <c r="D42" i="1"/>
  <c r="G41" i="1"/>
  <c r="D41" i="1"/>
  <c r="D38" i="1"/>
  <c r="D35" i="1"/>
  <c r="D34" i="1"/>
  <c r="D32" i="1"/>
  <c r="D29" i="1"/>
  <c r="D27" i="1"/>
  <c r="D25" i="1"/>
  <c r="D23" i="1"/>
  <c r="D21" i="1"/>
  <c r="D19" i="1"/>
  <c r="D17" i="1"/>
  <c r="D13" i="1"/>
  <c r="D12" i="1"/>
  <c r="D10" i="1"/>
  <c r="G8" i="1"/>
  <c r="D8" i="1"/>
  <c r="D6" i="1"/>
  <c r="D4" i="1"/>
  <c r="D3" i="1"/>
  <c r="D2" i="1"/>
  <c r="D135" i="1"/>
  <c r="D120" i="1"/>
  <c r="D113" i="1"/>
  <c r="D103" i="1"/>
  <c r="D96" i="1"/>
  <c r="D90" i="1"/>
  <c r="D84" i="1"/>
  <c r="D81" i="1"/>
  <c r="D79" i="1"/>
  <c r="D76" i="1"/>
  <c r="D73" i="1"/>
  <c r="D72" i="1"/>
  <c r="D70" i="1"/>
  <c r="D68" i="1"/>
  <c r="D66" i="1"/>
  <c r="D63" i="1"/>
  <c r="D61" i="1"/>
  <c r="D58" i="1"/>
  <c r="D56" i="1"/>
  <c r="D54" i="1"/>
  <c r="D50" i="1"/>
  <c r="D49" i="1"/>
  <c r="D48" i="1"/>
  <c r="D46" i="1"/>
  <c r="D44" i="1"/>
  <c r="B52" i="2" s="1"/>
  <c r="D43" i="1"/>
  <c r="D40" i="1"/>
  <c r="D39" i="1"/>
  <c r="D37" i="1"/>
  <c r="D36" i="1"/>
  <c r="D33" i="1"/>
  <c r="D31" i="1"/>
  <c r="D30" i="1"/>
  <c r="D28" i="1"/>
  <c r="D26" i="1"/>
  <c r="D24" i="1"/>
  <c r="D22" i="1"/>
  <c r="D20" i="1"/>
  <c r="D18" i="1"/>
  <c r="D16" i="1"/>
  <c r="D15" i="1"/>
  <c r="D14" i="1"/>
  <c r="D11" i="1"/>
  <c r="D9" i="1"/>
  <c r="D7" i="1"/>
  <c r="D5" i="1"/>
  <c r="F7" i="8"/>
  <c r="E7" i="8"/>
  <c r="D7" i="8"/>
  <c r="C7" i="8"/>
  <c r="F6" i="8"/>
  <c r="E6" i="8"/>
  <c r="D6" i="8"/>
  <c r="C6" i="8"/>
  <c r="F5" i="8"/>
  <c r="E5" i="8"/>
  <c r="D5" i="8"/>
  <c r="C5" i="8"/>
  <c r="F4" i="8"/>
  <c r="E4" i="8"/>
  <c r="D4" i="8"/>
  <c r="C4" i="8"/>
  <c r="F3" i="8"/>
  <c r="E3" i="8"/>
  <c r="D3" i="8"/>
  <c r="C3" i="8"/>
  <c r="F2" i="8"/>
  <c r="E2" i="8"/>
  <c r="D2" i="8"/>
  <c r="C2" i="8"/>
  <c r="C9" i="7"/>
  <c r="C8" i="7"/>
  <c r="C7" i="7"/>
  <c r="C6" i="7"/>
  <c r="C5" i="7"/>
  <c r="C4" i="7"/>
  <c r="C3" i="7"/>
  <c r="C2" i="7"/>
  <c r="D7" i="6"/>
  <c r="D6" i="6"/>
  <c r="D5" i="6"/>
  <c r="D4" i="6"/>
  <c r="D3" i="6"/>
  <c r="D2" i="6"/>
  <c r="C10" i="5"/>
  <c r="C9" i="5"/>
  <c r="C8" i="5"/>
  <c r="C7" i="5"/>
  <c r="C6" i="5"/>
  <c r="C5" i="5"/>
  <c r="C4" i="5"/>
  <c r="C3" i="5"/>
  <c r="C2" i="5"/>
  <c r="F137" i="1"/>
  <c r="C137" i="1"/>
  <c r="G137" i="1" s="1"/>
  <c r="B137" i="1"/>
  <c r="F136" i="1"/>
  <c r="C136" i="1"/>
  <c r="G136" i="1" s="1"/>
  <c r="B136" i="1"/>
  <c r="F135" i="1"/>
  <c r="C135" i="1"/>
  <c r="G135" i="1" s="1"/>
  <c r="B135" i="1"/>
  <c r="F134" i="1"/>
  <c r="C134" i="1"/>
  <c r="E134" i="1" s="1"/>
  <c r="B134" i="1"/>
  <c r="F133" i="1"/>
  <c r="C133" i="1"/>
  <c r="G133" i="1" s="1"/>
  <c r="B133" i="1"/>
  <c r="F132" i="1"/>
  <c r="C132" i="1"/>
  <c r="G132" i="1" s="1"/>
  <c r="B132" i="1"/>
  <c r="F131" i="1"/>
  <c r="C131" i="1"/>
  <c r="G131" i="1" s="1"/>
  <c r="B131" i="1"/>
  <c r="F130" i="1"/>
  <c r="C130" i="1"/>
  <c r="G130" i="1" s="1"/>
  <c r="B130" i="1"/>
  <c r="F129" i="1"/>
  <c r="C129" i="1"/>
  <c r="G129" i="1" s="1"/>
  <c r="B129" i="1"/>
  <c r="F128" i="1"/>
  <c r="C128" i="1"/>
  <c r="G128" i="1" s="1"/>
  <c r="B128" i="1"/>
  <c r="F127" i="1"/>
  <c r="C127" i="1"/>
  <c r="E127" i="1" s="1"/>
  <c r="B127" i="1"/>
  <c r="F126" i="1"/>
  <c r="C126" i="1"/>
  <c r="G126" i="1" s="1"/>
  <c r="B126" i="1"/>
  <c r="F125" i="1"/>
  <c r="C125" i="1"/>
  <c r="G125" i="1" s="1"/>
  <c r="B125" i="1"/>
  <c r="F124" i="1"/>
  <c r="C124" i="1"/>
  <c r="G124" i="1" s="1"/>
  <c r="B124" i="1"/>
  <c r="F123" i="1"/>
  <c r="C123" i="1"/>
  <c r="G123" i="1" s="1"/>
  <c r="B123" i="1"/>
  <c r="F122" i="1"/>
  <c r="C122" i="1"/>
  <c r="G122" i="1" s="1"/>
  <c r="B122" i="1"/>
  <c r="F121" i="1"/>
  <c r="C121" i="1"/>
  <c r="G121" i="1" s="1"/>
  <c r="B121" i="1"/>
  <c r="F120" i="1"/>
  <c r="B70" i="2"/>
  <c r="C120" i="1"/>
  <c r="G120" i="1" s="1"/>
  <c r="B120" i="1"/>
  <c r="F119" i="1"/>
  <c r="C119" i="1"/>
  <c r="G119" i="1" s="1"/>
  <c r="B119" i="1"/>
  <c r="F118" i="1"/>
  <c r="C118" i="1"/>
  <c r="E118" i="1" s="1"/>
  <c r="B118" i="1"/>
  <c r="F117" i="1"/>
  <c r="C117" i="1"/>
  <c r="G117" i="1" s="1"/>
  <c r="B117" i="1"/>
  <c r="F116" i="1"/>
  <c r="C116" i="1"/>
  <c r="G116" i="1" s="1"/>
  <c r="B116" i="1"/>
  <c r="F115" i="1"/>
  <c r="C115" i="1"/>
  <c r="E115" i="1" s="1"/>
  <c r="B115" i="1"/>
  <c r="F114" i="1"/>
  <c r="C114" i="1"/>
  <c r="G114" i="1" s="1"/>
  <c r="B114" i="1"/>
  <c r="F113" i="1"/>
  <c r="B69" i="2"/>
  <c r="C113" i="1"/>
  <c r="E113" i="1" s="1"/>
  <c r="B113" i="1"/>
  <c r="F112" i="1"/>
  <c r="C112" i="1"/>
  <c r="G112" i="1" s="1"/>
  <c r="B112" i="1"/>
  <c r="F111" i="1"/>
  <c r="C111" i="1"/>
  <c r="G111" i="1" s="1"/>
  <c r="B111" i="1"/>
  <c r="F110" i="1"/>
  <c r="B38" i="2"/>
  <c r="C110" i="1"/>
  <c r="G110" i="1" s="1"/>
  <c r="B110" i="1"/>
  <c r="F109" i="1"/>
  <c r="C109" i="1"/>
  <c r="G109" i="1" s="1"/>
  <c r="B109" i="1"/>
  <c r="F108" i="1"/>
  <c r="C108" i="1"/>
  <c r="E108" i="1" s="1"/>
  <c r="B108" i="1"/>
  <c r="F107" i="1"/>
  <c r="C107" i="1"/>
  <c r="E107" i="1" s="1"/>
  <c r="B107" i="1"/>
  <c r="F106" i="1"/>
  <c r="C106" i="1"/>
  <c r="E106" i="1" s="1"/>
  <c r="B106" i="1"/>
  <c r="F105" i="1"/>
  <c r="C105" i="1"/>
  <c r="G105" i="1" s="1"/>
  <c r="B105" i="1"/>
  <c r="F104" i="1"/>
  <c r="C104" i="1"/>
  <c r="G104" i="1" s="1"/>
  <c r="B104" i="1"/>
  <c r="F103" i="1"/>
  <c r="C103" i="1"/>
  <c r="E103" i="1" s="1"/>
  <c r="B103" i="1"/>
  <c r="F102" i="1"/>
  <c r="C102" i="1"/>
  <c r="G102" i="1" s="1"/>
  <c r="B102" i="1"/>
  <c r="F101" i="1"/>
  <c r="C101" i="1"/>
  <c r="E101" i="1" s="1"/>
  <c r="B101" i="1"/>
  <c r="F100" i="1"/>
  <c r="B36" i="2"/>
  <c r="C100" i="1"/>
  <c r="B100" i="1"/>
  <c r="F99" i="1"/>
  <c r="C99" i="1"/>
  <c r="E99" i="1" s="1"/>
  <c r="B99" i="1"/>
  <c r="F98" i="1"/>
  <c r="B35" i="2"/>
  <c r="C98" i="1"/>
  <c r="G98" i="1" s="1"/>
  <c r="B98" i="1"/>
  <c r="F97" i="1"/>
  <c r="B34" i="2"/>
  <c r="C97" i="1"/>
  <c r="G97" i="1" s="1"/>
  <c r="B97" i="1"/>
  <c r="F96" i="1"/>
  <c r="C96" i="1"/>
  <c r="G96" i="1" s="1"/>
  <c r="B96" i="1"/>
  <c r="F95" i="1"/>
  <c r="C95" i="1"/>
  <c r="E95" i="1" s="1"/>
  <c r="B95" i="1"/>
  <c r="F94" i="1"/>
  <c r="C94" i="1"/>
  <c r="E94" i="1" s="1"/>
  <c r="B94" i="1"/>
  <c r="F93" i="1"/>
  <c r="B33" i="2"/>
  <c r="C93" i="1"/>
  <c r="G93" i="1" s="1"/>
  <c r="B93" i="1"/>
  <c r="F92" i="1"/>
  <c r="C92" i="1"/>
  <c r="G92" i="1" s="1"/>
  <c r="B92" i="1"/>
  <c r="F91" i="1"/>
  <c r="C91" i="1"/>
  <c r="E91" i="1" s="1"/>
  <c r="B91" i="1"/>
  <c r="F90" i="1"/>
  <c r="C90" i="1"/>
  <c r="G90" i="1" s="1"/>
  <c r="B90" i="1"/>
  <c r="F89" i="1"/>
  <c r="C89" i="1"/>
  <c r="E89" i="1" s="1"/>
  <c r="B89" i="1"/>
  <c r="F88" i="1"/>
  <c r="C88" i="1"/>
  <c r="G88" i="1" s="1"/>
  <c r="B88" i="1"/>
  <c r="F87" i="1"/>
  <c r="B32" i="2"/>
  <c r="C87" i="1"/>
  <c r="E87" i="1" s="1"/>
  <c r="B87" i="1"/>
  <c r="F86" i="1"/>
  <c r="C86" i="1"/>
  <c r="G86" i="1" s="1"/>
  <c r="B86" i="1"/>
  <c r="F85" i="1"/>
  <c r="C85" i="1"/>
  <c r="G85" i="1" s="1"/>
  <c r="B85" i="1"/>
  <c r="F84" i="1"/>
  <c r="C84" i="1"/>
  <c r="E84" i="1" s="1"/>
  <c r="B84" i="1"/>
  <c r="F83" i="1"/>
  <c r="C83" i="1"/>
  <c r="E83" i="1" s="1"/>
  <c r="B83" i="1"/>
  <c r="F82" i="1"/>
  <c r="B31" i="2"/>
  <c r="C82" i="1"/>
  <c r="E82" i="1" s="1"/>
  <c r="B82" i="1"/>
  <c r="F81" i="1"/>
  <c r="B67" i="2"/>
  <c r="C81" i="1"/>
  <c r="G81" i="1" s="1"/>
  <c r="B81" i="1"/>
  <c r="F80" i="1"/>
  <c r="C80" i="1"/>
  <c r="G80" i="1" s="1"/>
  <c r="B80" i="1"/>
  <c r="F79" i="1"/>
  <c r="C79" i="1"/>
  <c r="E79" i="1" s="1"/>
  <c r="B79" i="1"/>
  <c r="F78" i="1"/>
  <c r="B9" i="2"/>
  <c r="C78" i="1"/>
  <c r="G78" i="1" s="1"/>
  <c r="B78" i="1"/>
  <c r="F77" i="1"/>
  <c r="C77" i="1"/>
  <c r="E77" i="1" s="1"/>
  <c r="B77" i="1"/>
  <c r="F76" i="1"/>
  <c r="C76" i="1"/>
  <c r="G76" i="1" s="1"/>
  <c r="B76" i="1"/>
  <c r="F75" i="1"/>
  <c r="C75" i="1"/>
  <c r="E75" i="1" s="1"/>
  <c r="B75" i="1"/>
  <c r="F74" i="1"/>
  <c r="B30" i="2"/>
  <c r="C74" i="1"/>
  <c r="G74" i="1" s="1"/>
  <c r="B74" i="1"/>
  <c r="F73" i="1"/>
  <c r="C73" i="1"/>
  <c r="B73" i="1"/>
  <c r="F72" i="1"/>
  <c r="B8" i="2"/>
  <c r="C72" i="1"/>
  <c r="E72" i="1" s="1"/>
  <c r="B72" i="1"/>
  <c r="F71" i="1"/>
  <c r="C71" i="1"/>
  <c r="E71" i="1" s="1"/>
  <c r="B71" i="1"/>
  <c r="F70" i="1"/>
  <c r="C70" i="1"/>
  <c r="E70" i="1" s="1"/>
  <c r="B70" i="1"/>
  <c r="F69" i="1"/>
  <c r="C69" i="1"/>
  <c r="G69" i="1" s="1"/>
  <c r="B69" i="1"/>
  <c r="F68" i="1"/>
  <c r="C68" i="1"/>
  <c r="G68" i="1" s="1"/>
  <c r="B68" i="1"/>
  <c r="F67" i="1"/>
  <c r="C67" i="1"/>
  <c r="E67" i="1" s="1"/>
  <c r="B67" i="1"/>
  <c r="F66" i="1"/>
  <c r="B65" i="2"/>
  <c r="C66" i="1"/>
  <c r="G66" i="1" s="1"/>
  <c r="B66" i="1"/>
  <c r="F65" i="1"/>
  <c r="C65" i="1"/>
  <c r="E65" i="1" s="1"/>
  <c r="B65" i="1"/>
  <c r="F64" i="1"/>
  <c r="C64" i="1"/>
  <c r="G64" i="1" s="1"/>
  <c r="B64" i="1"/>
  <c r="F63" i="1"/>
  <c r="B61" i="2"/>
  <c r="C63" i="1"/>
  <c r="E63" i="1" s="1"/>
  <c r="B63" i="1"/>
  <c r="F62" i="1"/>
  <c r="B29" i="2"/>
  <c r="C62" i="1"/>
  <c r="G62" i="1" s="1"/>
  <c r="B62" i="1"/>
  <c r="F61" i="1"/>
  <c r="B59" i="2"/>
  <c r="C61" i="1"/>
  <c r="G61" i="1" s="1"/>
  <c r="B61" i="1"/>
  <c r="F60" i="1"/>
  <c r="C60" i="1"/>
  <c r="E60" i="1" s="1"/>
  <c r="B60" i="1"/>
  <c r="F59" i="1"/>
  <c r="C59" i="1"/>
  <c r="G59" i="1" s="1"/>
  <c r="B59" i="1"/>
  <c r="F58" i="1"/>
  <c r="C58" i="1"/>
  <c r="E58" i="1" s="1"/>
  <c r="B58" i="1"/>
  <c r="F57" i="1"/>
  <c r="B28" i="2"/>
  <c r="C57" i="1"/>
  <c r="G57" i="1" s="1"/>
  <c r="B57" i="1"/>
  <c r="F56" i="1"/>
  <c r="B56" i="2"/>
  <c r="C56" i="1"/>
  <c r="G56" i="1" s="1"/>
  <c r="B56" i="1"/>
  <c r="F55" i="1"/>
  <c r="B27" i="2"/>
  <c r="C55" i="1"/>
  <c r="E55" i="1" s="1"/>
  <c r="B55" i="1"/>
  <c r="F54" i="1"/>
  <c r="B55" i="2"/>
  <c r="C54" i="1"/>
  <c r="G54" i="1" s="1"/>
  <c r="B54" i="1"/>
  <c r="F53" i="1"/>
  <c r="C53" i="1"/>
  <c r="E53" i="1" s="1"/>
  <c r="B53" i="1"/>
  <c r="F52" i="1"/>
  <c r="C52" i="1"/>
  <c r="G52" i="1" s="1"/>
  <c r="B52" i="1"/>
  <c r="F51" i="1"/>
  <c r="B26" i="2"/>
  <c r="C51" i="1"/>
  <c r="E51" i="1" s="1"/>
  <c r="B51" i="1"/>
  <c r="F50" i="1"/>
  <c r="G50" i="1" s="1"/>
  <c r="B54" i="2"/>
  <c r="C50" i="1"/>
  <c r="B50" i="1"/>
  <c r="F49" i="1"/>
  <c r="B7" i="2"/>
  <c r="C49" i="1"/>
  <c r="G49" i="1" s="1"/>
  <c r="B49" i="1"/>
  <c r="F48" i="1"/>
  <c r="C48" i="1"/>
  <c r="E48" i="1" s="1"/>
  <c r="B48" i="1"/>
  <c r="F47" i="1"/>
  <c r="C47" i="1"/>
  <c r="G47" i="1" s="1"/>
  <c r="B47" i="1"/>
  <c r="F46" i="1"/>
  <c r="B53" i="2"/>
  <c r="C46" i="1"/>
  <c r="G46" i="1" s="1"/>
  <c r="B46" i="1"/>
  <c r="F45" i="1"/>
  <c r="B24" i="2"/>
  <c r="C45" i="1"/>
  <c r="G45" i="1" s="1"/>
  <c r="B45" i="1"/>
  <c r="F44" i="1"/>
  <c r="C44" i="1"/>
  <c r="G44" i="1" s="1"/>
  <c r="B44" i="1"/>
  <c r="F43" i="1"/>
  <c r="C43" i="1"/>
  <c r="G43" i="1" s="1"/>
  <c r="B43" i="1"/>
  <c r="F42" i="1"/>
  <c r="C42" i="1"/>
  <c r="G42" i="1" s="1"/>
  <c r="B42" i="1"/>
  <c r="F41" i="1"/>
  <c r="C41" i="1"/>
  <c r="E41" i="1" s="1"/>
  <c r="B41" i="1"/>
  <c r="F40" i="1"/>
  <c r="B51" i="2"/>
  <c r="C40" i="1"/>
  <c r="G40" i="1" s="1"/>
  <c r="B40" i="1"/>
  <c r="F39" i="1"/>
  <c r="B48" i="2"/>
  <c r="C39" i="1"/>
  <c r="E39" i="1" s="1"/>
  <c r="B39" i="1"/>
  <c r="F38" i="1"/>
  <c r="C38" i="1"/>
  <c r="G38" i="1" s="1"/>
  <c r="B38" i="1"/>
  <c r="F37" i="1"/>
  <c r="B47" i="2"/>
  <c r="C37" i="1"/>
  <c r="G37" i="1" s="1"/>
  <c r="B37" i="1"/>
  <c r="F36" i="1"/>
  <c r="B46" i="2"/>
  <c r="C36" i="1"/>
  <c r="E36" i="1" s="1"/>
  <c r="B36" i="1"/>
  <c r="F35" i="1"/>
  <c r="C35" i="1"/>
  <c r="G35" i="1" s="1"/>
  <c r="B35" i="1"/>
  <c r="F34" i="1"/>
  <c r="C34" i="1"/>
  <c r="E34" i="1" s="1"/>
  <c r="B34" i="1"/>
  <c r="F33" i="1"/>
  <c r="G33" i="1" s="1"/>
  <c r="B45" i="2"/>
  <c r="C33" i="1"/>
  <c r="B33" i="1"/>
  <c r="F32" i="1"/>
  <c r="B22" i="2"/>
  <c r="C32" i="1"/>
  <c r="G32" i="1" s="1"/>
  <c r="B32" i="1"/>
  <c r="F31" i="1"/>
  <c r="B44" i="2"/>
  <c r="C31" i="1"/>
  <c r="G31" i="1" s="1"/>
  <c r="B31" i="1"/>
  <c r="F30" i="1"/>
  <c r="B43" i="2"/>
  <c r="C30" i="1"/>
  <c r="G30" i="1" s="1"/>
  <c r="B30" i="1"/>
  <c r="F29" i="1"/>
  <c r="C29" i="1"/>
  <c r="E29" i="1" s="1"/>
  <c r="B29" i="1"/>
  <c r="F28" i="1"/>
  <c r="B42" i="2"/>
  <c r="C28" i="1"/>
  <c r="E28" i="1" s="1"/>
  <c r="B28" i="1"/>
  <c r="F27" i="1"/>
  <c r="B19" i="2"/>
  <c r="C27" i="1"/>
  <c r="E27" i="1" s="1"/>
  <c r="B27" i="1"/>
  <c r="F26" i="1"/>
  <c r="C26" i="1"/>
  <c r="G26" i="1" s="1"/>
  <c r="B26" i="1"/>
  <c r="F25" i="1"/>
  <c r="B18" i="2"/>
  <c r="C25" i="1"/>
  <c r="G25" i="1" s="1"/>
  <c r="B25" i="1"/>
  <c r="F24" i="1"/>
  <c r="C24" i="1"/>
  <c r="E24" i="1" s="1"/>
  <c r="B24" i="1"/>
  <c r="F23" i="1"/>
  <c r="C23" i="1"/>
  <c r="G23" i="1" s="1"/>
  <c r="B23" i="1"/>
  <c r="F22" i="1"/>
  <c r="C22" i="1"/>
  <c r="E22" i="1" s="1"/>
  <c r="B22" i="1"/>
  <c r="F21" i="1"/>
  <c r="C21" i="1"/>
  <c r="G21" i="1" s="1"/>
  <c r="B21" i="1"/>
  <c r="F20" i="1"/>
  <c r="C20" i="1"/>
  <c r="G20" i="1" s="1"/>
  <c r="B20" i="1"/>
  <c r="F19" i="1"/>
  <c r="C19" i="1"/>
  <c r="E19" i="1" s="1"/>
  <c r="B19" i="1"/>
  <c r="F18" i="1"/>
  <c r="C18" i="1"/>
  <c r="G18" i="1" s="1"/>
  <c r="B18" i="1"/>
  <c r="F17" i="1"/>
  <c r="C17" i="1"/>
  <c r="E17" i="1" s="1"/>
  <c r="B17" i="1"/>
  <c r="F16" i="1"/>
  <c r="C16" i="1"/>
  <c r="G16" i="1" s="1"/>
  <c r="B16" i="1"/>
  <c r="F15" i="1"/>
  <c r="B6" i="2"/>
  <c r="C15" i="1"/>
  <c r="E15" i="1" s="1"/>
  <c r="B15" i="1"/>
  <c r="F14" i="1"/>
  <c r="C14" i="1"/>
  <c r="G14" i="1" s="1"/>
  <c r="B14" i="1"/>
  <c r="F13" i="1"/>
  <c r="C13" i="1"/>
  <c r="G13" i="1" s="1"/>
  <c r="B13" i="1"/>
  <c r="F12" i="1"/>
  <c r="B17" i="2"/>
  <c r="C12" i="1"/>
  <c r="E12" i="1" s="1"/>
  <c r="B12" i="1"/>
  <c r="F11" i="1"/>
  <c r="C11" i="1"/>
  <c r="G11" i="1" s="1"/>
  <c r="B11" i="1"/>
  <c r="F10" i="1"/>
  <c r="B5" i="2"/>
  <c r="C10" i="1"/>
  <c r="E10" i="1" s="1"/>
  <c r="B10" i="1"/>
  <c r="F9" i="1"/>
  <c r="C9" i="1"/>
  <c r="G9" i="1" s="1"/>
  <c r="B9" i="1"/>
  <c r="F8" i="1"/>
  <c r="B13" i="2"/>
  <c r="C8" i="1"/>
  <c r="B8" i="1"/>
  <c r="F7" i="1"/>
  <c r="B4" i="2"/>
  <c r="C7" i="1"/>
  <c r="G7" i="1" s="1"/>
  <c r="B7" i="1"/>
  <c r="F6" i="1"/>
  <c r="C6" i="1"/>
  <c r="G6" i="1" s="1"/>
  <c r="B6" i="1"/>
  <c r="F5" i="1"/>
  <c r="B16" i="2"/>
  <c r="C5" i="1"/>
  <c r="E5" i="1" s="1"/>
  <c r="B5" i="1"/>
  <c r="F4" i="1"/>
  <c r="C4" i="1"/>
  <c r="G4" i="1" s="1"/>
  <c r="B4" i="1"/>
  <c r="F3" i="1"/>
  <c r="C3" i="1"/>
  <c r="E3" i="1" s="1"/>
  <c r="B3" i="1"/>
  <c r="F2" i="1"/>
  <c r="C2" i="1"/>
  <c r="G2" i="1" s="1"/>
  <c r="B2" i="1"/>
  <c r="G24" i="1" l="1"/>
  <c r="G72" i="1"/>
  <c r="G106" i="1"/>
  <c r="G17" i="1"/>
  <c r="G58" i="1"/>
  <c r="G65" i="1"/>
  <c r="G94" i="1"/>
  <c r="G34" i="1"/>
  <c r="G51" i="1"/>
  <c r="G101" i="1"/>
  <c r="G113" i="1"/>
  <c r="G10" i="1"/>
  <c r="G82" i="1"/>
  <c r="G95" i="1"/>
  <c r="G108" i="1"/>
  <c r="G127" i="1"/>
  <c r="G3" i="1"/>
  <c r="G19" i="1"/>
  <c r="G27" i="1"/>
  <c r="G67" i="1"/>
  <c r="G75" i="1"/>
  <c r="G89" i="1"/>
  <c r="G115" i="1"/>
  <c r="G28" i="1"/>
  <c r="G36" i="1"/>
  <c r="G60" i="1"/>
  <c r="G83" i="1"/>
  <c r="G103" i="1"/>
  <c r="G134" i="1"/>
  <c r="G12" i="1"/>
  <c r="G53" i="1"/>
  <c r="G84" i="1"/>
  <c r="G5" i="1"/>
  <c r="G29" i="1"/>
  <c r="G77" i="1"/>
  <c r="G91" i="1"/>
  <c r="G22" i="1"/>
  <c r="G70" i="1"/>
  <c r="G39" i="1"/>
  <c r="G55" i="1"/>
  <c r="G63" i="1"/>
  <c r="G15" i="1"/>
  <c r="G48" i="1"/>
  <c r="G71" i="1"/>
  <c r="G79" i="1"/>
  <c r="G99" i="1"/>
  <c r="G118" i="1"/>
  <c r="H90" i="1"/>
  <c r="H132" i="1"/>
  <c r="H121" i="1"/>
  <c r="H49" i="1"/>
  <c r="H37" i="1"/>
  <c r="H20" i="1"/>
  <c r="H32" i="1"/>
  <c r="H47" i="1"/>
  <c r="H123" i="1"/>
  <c r="H94" i="1"/>
  <c r="H128" i="1"/>
  <c r="H131" i="1"/>
  <c r="H137" i="1"/>
  <c r="H19" i="1"/>
  <c r="H68" i="1"/>
  <c r="H111" i="1"/>
  <c r="H23" i="1"/>
  <c r="H46" i="1"/>
  <c r="H89" i="1"/>
  <c r="H118" i="1"/>
  <c r="H29" i="1"/>
  <c r="H102" i="1"/>
  <c r="H41" i="1"/>
  <c r="E47" i="1"/>
  <c r="H7" i="1"/>
  <c r="H73" i="1"/>
  <c r="C3" i="4"/>
  <c r="H8" i="1"/>
  <c r="H43" i="1"/>
  <c r="E46" i="1"/>
  <c r="H65" i="1"/>
  <c r="H120" i="1"/>
  <c r="H11" i="1"/>
  <c r="H82" i="1"/>
  <c r="H106" i="1"/>
  <c r="H14" i="1"/>
  <c r="H44" i="1"/>
  <c r="H80" i="1"/>
  <c r="H96" i="1"/>
  <c r="E120" i="1"/>
  <c r="H85" i="1"/>
  <c r="B14" i="2"/>
  <c r="H17" i="1"/>
  <c r="H26" i="1"/>
  <c r="H53" i="1"/>
  <c r="H55" i="1"/>
  <c r="E132" i="1"/>
  <c r="H31" i="1"/>
  <c r="H61" i="1"/>
  <c r="B49" i="2"/>
  <c r="H59" i="1"/>
  <c r="H114" i="1"/>
  <c r="H119" i="1"/>
  <c r="H130" i="1"/>
  <c r="B50" i="2"/>
  <c r="E131" i="1"/>
  <c r="H10" i="1"/>
  <c r="H22" i="1"/>
  <c r="H34" i="1"/>
  <c r="H56" i="1"/>
  <c r="H70" i="1"/>
  <c r="H75" i="1"/>
  <c r="H78" i="1"/>
  <c r="H87" i="1"/>
  <c r="H95" i="1"/>
  <c r="H107" i="1"/>
  <c r="E119" i="1"/>
  <c r="H27" i="1"/>
  <c r="H39" i="1"/>
  <c r="H66" i="1"/>
  <c r="H83" i="1"/>
  <c r="H109" i="1"/>
  <c r="B23" i="2"/>
  <c r="B60" i="2"/>
  <c r="H77" i="1"/>
  <c r="H35" i="1"/>
  <c r="H51" i="1"/>
  <c r="H58" i="1"/>
  <c r="H63" i="1"/>
  <c r="H71" i="1"/>
  <c r="H97" i="1"/>
  <c r="B25" i="2"/>
  <c r="B62" i="2"/>
  <c r="H5" i="1"/>
  <c r="H13" i="1"/>
  <c r="H25" i="1"/>
  <c r="H54" i="1"/>
  <c r="E137" i="1"/>
  <c r="B63" i="2"/>
  <c r="H99" i="1"/>
  <c r="E23" i="1"/>
  <c r="E35" i="1"/>
  <c r="E125" i="1"/>
  <c r="E130" i="1"/>
  <c r="B64" i="2"/>
  <c r="H2" i="1"/>
  <c r="H125" i="1"/>
  <c r="B66" i="2"/>
  <c r="H38" i="1"/>
  <c r="E59" i="1"/>
  <c r="H84" i="1"/>
  <c r="H91" i="1"/>
  <c r="H116" i="1"/>
  <c r="B39" i="2"/>
  <c r="B68" i="2"/>
  <c r="E11" i="1"/>
  <c r="E2" i="1"/>
  <c r="E7" i="1"/>
  <c r="H24" i="1"/>
  <c r="E31" i="1"/>
  <c r="H36" i="1"/>
  <c r="E43" i="1"/>
  <c r="H50" i="1"/>
  <c r="H79" i="1"/>
  <c r="E96" i="1"/>
  <c r="H113" i="1"/>
  <c r="H133" i="1"/>
  <c r="H135" i="1"/>
  <c r="H67" i="1"/>
  <c r="H92" i="1"/>
  <c r="H101" i="1"/>
  <c r="H104" i="1"/>
  <c r="H126" i="1"/>
  <c r="E26" i="1"/>
  <c r="H33" i="1"/>
  <c r="E33" i="1"/>
  <c r="H60" i="1"/>
  <c r="H81" i="1"/>
  <c r="E81" i="1"/>
  <c r="H127" i="1"/>
  <c r="H88" i="1"/>
  <c r="E88" i="1"/>
  <c r="H72" i="1"/>
  <c r="H93" i="1"/>
  <c r="E93" i="1"/>
  <c r="H4" i="1"/>
  <c r="H6" i="1"/>
  <c r="E6" i="1"/>
  <c r="H62" i="1"/>
  <c r="H9" i="1"/>
  <c r="E9" i="1"/>
  <c r="B41" i="2"/>
  <c r="B40" i="2"/>
  <c r="H15" i="1"/>
  <c r="H40" i="1"/>
  <c r="H42" i="1"/>
  <c r="E42" i="1"/>
  <c r="H115" i="1"/>
  <c r="E4" i="1"/>
  <c r="E62" i="1"/>
  <c r="H74" i="1"/>
  <c r="E74" i="1"/>
  <c r="H86" i="1"/>
  <c r="H100" i="1"/>
  <c r="E100" i="1"/>
  <c r="H16" i="1"/>
  <c r="H18" i="1"/>
  <c r="E18" i="1"/>
  <c r="E40" i="1"/>
  <c r="H105" i="1"/>
  <c r="E105" i="1"/>
  <c r="E38" i="1"/>
  <c r="H45" i="1"/>
  <c r="E45" i="1"/>
  <c r="E86" i="1"/>
  <c r="H98" i="1"/>
  <c r="H112" i="1"/>
  <c r="E112" i="1"/>
  <c r="H12" i="1"/>
  <c r="E16" i="1"/>
  <c r="H117" i="1"/>
  <c r="E117" i="1"/>
  <c r="H124" i="1"/>
  <c r="E124" i="1"/>
  <c r="E14" i="1"/>
  <c r="H21" i="1"/>
  <c r="E21" i="1"/>
  <c r="H52" i="1"/>
  <c r="E52" i="1"/>
  <c r="E98" i="1"/>
  <c r="H110" i="1"/>
  <c r="B12" i="2"/>
  <c r="B11" i="2"/>
  <c r="B10" i="2"/>
  <c r="H129" i="1"/>
  <c r="E129" i="1"/>
  <c r="H136" i="1"/>
  <c r="E136" i="1"/>
  <c r="H48" i="1"/>
  <c r="H64" i="1"/>
  <c r="E64" i="1"/>
  <c r="H103" i="1"/>
  <c r="E110" i="1"/>
  <c r="H134" i="1"/>
  <c r="B15" i="2"/>
  <c r="H76" i="1"/>
  <c r="E76" i="1"/>
  <c r="F3" i="4"/>
  <c r="F4" i="4"/>
  <c r="C4" i="4"/>
  <c r="H57" i="1"/>
  <c r="E57" i="1"/>
  <c r="H108" i="1"/>
  <c r="H122" i="1"/>
  <c r="H3" i="1"/>
  <c r="H28" i="1"/>
  <c r="H30" i="1"/>
  <c r="E30" i="1"/>
  <c r="E50" i="1"/>
  <c r="H69" i="1"/>
  <c r="E69" i="1"/>
  <c r="E122" i="1"/>
  <c r="E25" i="1"/>
  <c r="E37" i="1"/>
  <c r="E49" i="1"/>
  <c r="E61" i="1"/>
  <c r="E73" i="1"/>
  <c r="E85" i="1"/>
  <c r="E97" i="1"/>
  <c r="E109" i="1"/>
  <c r="E121" i="1"/>
  <c r="E133" i="1"/>
  <c r="B20" i="2"/>
  <c r="E54" i="1"/>
  <c r="E66" i="1"/>
  <c r="E90" i="1"/>
  <c r="E102" i="1"/>
  <c r="E126" i="1"/>
  <c r="E13" i="1"/>
  <c r="E8" i="1"/>
  <c r="E20" i="1"/>
  <c r="E32" i="1"/>
  <c r="E44" i="1"/>
  <c r="E56" i="1"/>
  <c r="E68" i="1"/>
  <c r="E80" i="1"/>
  <c r="E92" i="1"/>
  <c r="E104" i="1"/>
  <c r="E116" i="1"/>
  <c r="E128" i="1"/>
  <c r="B21" i="2"/>
  <c r="B58" i="2"/>
  <c r="E78" i="1"/>
  <c r="E114" i="1"/>
  <c r="E111" i="1"/>
  <c r="E123" i="1"/>
  <c r="E135" i="1"/>
  <c r="C5" i="4" l="1"/>
  <c r="I4" i="4"/>
  <c r="I3" i="4"/>
  <c r="F5" i="4"/>
  <c r="G3" i="4"/>
  <c r="G4" i="4"/>
  <c r="D3" i="4"/>
  <c r="D4" i="4"/>
  <c r="E4" i="4" s="1"/>
  <c r="L4" i="4"/>
  <c r="L3" i="4"/>
  <c r="J4" i="4" l="1"/>
  <c r="M4" i="4"/>
  <c r="N4" i="4" s="1"/>
  <c r="M3" i="4"/>
  <c r="N3" i="4" s="1"/>
  <c r="D5" i="4"/>
  <c r="E5" i="4" s="1"/>
  <c r="E3" i="4"/>
  <c r="J3" i="4"/>
  <c r="J5" i="4" s="1"/>
  <c r="G5" i="4"/>
  <c r="H5" i="4" s="1"/>
  <c r="H3" i="4"/>
  <c r="I5" i="4"/>
  <c r="H4" i="4"/>
  <c r="K4" i="4" s="1"/>
  <c r="L5" i="4"/>
  <c r="K3" i="4" l="1"/>
  <c r="K5" i="4" s="1"/>
  <c r="M5" i="4"/>
  <c r="N5" i="4" s="1"/>
</calcChain>
</file>

<file path=xl/sharedStrings.xml><?xml version="1.0" encoding="utf-8"?>
<sst xmlns="http://schemas.openxmlformats.org/spreadsheetml/2006/main" count="1069" uniqueCount="361">
  <si>
    <t>ID</t>
  </si>
  <si>
    <t>Reference</t>
  </si>
  <si>
    <t>Included</t>
  </si>
  <si>
    <t>Rater 1</t>
  </si>
  <si>
    <t>#Exp</t>
  </si>
  <si>
    <t>Overlap</t>
  </si>
  <si>
    <t>Rater 2</t>
  </si>
  <si>
    <t>#Exp 2</t>
  </si>
  <si>
    <t>Comments</t>
  </si>
  <si>
    <t>Variables</t>
  </si>
  <si>
    <t>Subjects</t>
  </si>
  <si>
    <t>Analysis</t>
  </si>
  <si>
    <t>Material</t>
  </si>
  <si>
    <t>Factors</t>
  </si>
  <si>
    <t>Response Variables</t>
  </si>
  <si>
    <t>Threats to Validity</t>
  </si>
  <si>
    <t>Data</t>
  </si>
  <si>
    <t>Paper-ID</t>
  </si>
  <si>
    <t>Extractor</t>
  </si>
  <si>
    <t>Factor-Constructs</t>
  </si>
  <si>
    <t>Factor-Measurement</t>
  </si>
  <si>
    <t>Response-Constructs</t>
  </si>
  <si>
    <t>Response-Measurement</t>
  </si>
  <si>
    <t>Subject-Number</t>
  </si>
  <si>
    <t>Subject-Type</t>
  </si>
  <si>
    <t>Method</t>
  </si>
  <si>
    <t>Test Type</t>
  </si>
  <si>
    <t>Period</t>
  </si>
  <si>
    <t>Sequence</t>
  </si>
  <si>
    <t>Skill</t>
  </si>
  <si>
    <t>Carryover</t>
  </si>
  <si>
    <t>Washout</t>
  </si>
  <si>
    <t>Data-Availability</t>
  </si>
  <si>
    <t>Data-URL</t>
  </si>
  <si>
    <t>Analysis-Availability</t>
  </si>
  <si>
    <t>Analysis-URL</t>
  </si>
  <si>
    <t>Comment</t>
  </si>
  <si>
    <t>?</t>
  </si>
  <si>
    <t>Response</t>
  </si>
  <si>
    <t xml:space="preserve">business process model </t>
  </si>
  <si>
    <t>[textual; visual]</t>
  </si>
  <si>
    <t>identification of user stories
understading execution order
integration dependencies</t>
  </si>
  <si>
    <t>Identification_sum
ExecOrder_sum 
Integration_sum
(see table 6)</t>
  </si>
  <si>
    <t>NA</t>
  </si>
  <si>
    <t>Students</t>
  </si>
  <si>
    <t>NHST</t>
  </si>
  <si>
    <t>Mann-Whitney U</t>
  </si>
  <si>
    <t>Acknowledged</t>
  </si>
  <si>
    <t>Ignored</t>
  </si>
  <si>
    <t>Unavailable</t>
  </si>
  <si>
    <t>Adherence to REST API design rules; being from Germany; being from academia (vs. industry); being a student, being an API developer / designer, years of professional experience with REST, having knowledge of the Richardson maturity model, and the preferred minimal maturity level</t>
  </si>
  <si>
    <t>[rule; violation]; [?]; [API user/client developer; API developer/designer; both]; #years of professional experience with REST; [?]; [?]</t>
  </si>
  <si>
    <t>Understandability; Perceived difficulty</t>
  </si>
  <si>
    <t>Timed Actual Understandability; 5-point ordinal scale</t>
  </si>
  <si>
    <t>Both</t>
  </si>
  <si>
    <t>Neglected</t>
  </si>
  <si>
    <t>Archived</t>
  </si>
  <si>
    <t>https://zenodo.org/records/8100380</t>
  </si>
  <si>
    <t>The authors mention that the "crossover design is fairly robust against many confounders by reducing the impact of inter-participant differences." They acknowledge the threat of individual skill, but do not model it.</t>
  </si>
  <si>
    <t>Testing approach</t>
  </si>
  <si>
    <t>[TDD; TLD]</t>
  </si>
  <si>
    <t>testing effort
external quality
productivity</t>
  </si>
  <si>
    <t xml:space="preserve">number of Junit assert statements
passing asserts of acceptance test suite of tackled user stories
percentage of assert statements in the acceptance test suite passed
</t>
  </si>
  <si>
    <t>Kruskal-Wallis</t>
  </si>
  <si>
    <t>Isolated</t>
  </si>
  <si>
    <t>the point of having a replication with repeated measures was to reduce the effect of skills. I am not sure what to select in this case.</t>
  </si>
  <si>
    <t>[TDD; ITL]</t>
  </si>
  <si>
    <t>quality (functional correctness)</t>
  </si>
  <si>
    <t>he proportion of passing assert statements (#assert(pass)) over the total number of assert statements (#assert(all)).</t>
  </si>
  <si>
    <t>GLMM</t>
  </si>
  <si>
    <t>They call their method a "Linear Marginal Model" (LMM) but describe it as "LMMs are linear models in which the residuals are not assumed to be independent of each other or have constant variance", which sounds to me like a GLMM.</t>
  </si>
  <si>
    <t>I know this paper 😊. We used a Linear Mixed Model. There is an error in "Linear Marginal Model". We did not use a Generalized Linear Model.</t>
  </si>
  <si>
    <t>Tool version</t>
  </si>
  <si>
    <t>[tab;panels]</t>
  </si>
  <si>
    <t>task performance;Usability</t>
  </si>
  <si>
    <t>bugs found:time;SUS:UEQ</t>
  </si>
  <si>
    <t>Wilcoxon signed-rank</t>
  </si>
  <si>
    <t>Test migration process</t>
  </si>
  <si>
    <t>[manual; tool]</t>
  </si>
  <si>
    <t>efficiency;test code quality</t>
  </si>
  <si>
    <t>time required for migration;valid test rate</t>
  </si>
  <si>
    <t>Unknown</t>
  </si>
  <si>
    <t>Other</t>
  </si>
  <si>
    <t>Reachable</t>
  </si>
  <si>
    <t>https://fh-muenster.sciebo.de/s/6ZEmMeo6Quh6vaH</t>
  </si>
  <si>
    <t>Not really a test at all: the manuscript only compares the mean values of the two response variables</t>
  </si>
  <si>
    <t>Modelling tool</t>
  </si>
  <si>
    <t>[SOCIO chatbot; Creately web tool]</t>
  </si>
  <si>
    <t>efficiency;effectiveness;satisfaction</t>
  </si>
  <si>
    <t>speed (time taken to complete the task) and fluency (number of discussion messages exchanged between teammates); completeness (comparison to gold standard); SUS questionnaire</t>
  </si>
  <si>
    <t>Student Groups</t>
  </si>
  <si>
    <t>Modeled</t>
  </si>
  <si>
    <t>Broken</t>
  </si>
  <si>
    <t>https://bit.ly/34v7OTs</t>
  </si>
  <si>
    <t>"We chose a crossover design to avoid the influence of the period on the treatment and assure that there was no learning effect between the two periods". The authors perform a IDP meta-analysis with the experiment as an individual factor.</t>
  </si>
  <si>
    <t>Correctness of ChatGPT's answers</t>
  </si>
  <si>
    <t>[CORRECT; FAKE]</t>
  </si>
  <si>
    <t>trust;satisfaction;usability;recommendability</t>
  </si>
  <si>
    <t>questionnaire;questionnaire;questionnaire;net promoter score</t>
  </si>
  <si>
    <t>This experiment contains an additional group which applies the baseline factor (CORRECT) twice.</t>
  </si>
  <si>
    <t>Cloud infrastructure tools</t>
  </si>
  <si>
    <t>[Argon (model based); Ansible (code based)]</t>
  </si>
  <si>
    <t>effectiveness;efficiency;easiness;usefulness;intendend use</t>
  </si>
  <si>
    <t>correct_req/total_req;effectiveness/time;5point_likert;5point_likert;5point_likert</t>
  </si>
  <si>
    <t>specification of safety compliance needs</t>
  </si>
  <si>
    <t>[text;model]</t>
  </si>
  <si>
    <t>effectiveness;efficiency;perceived benefits</t>
  </si>
  <si>
    <t>F-measure;F/time;questionnaire</t>
  </si>
  <si>
    <t>Paired T</t>
  </si>
  <si>
    <t>The period effect was analyzed using ANOVA. The skill differences are neglected ("Although the random heterogeneity of participants is a threat that might affect our conclusions, this threat is usually reduced when using students with the same or a similar background"). The evaluation method of the three dependent variables differed (Paired T, and Wilxocon) depending on the normal distribution of the response variables.</t>
  </si>
  <si>
    <t>model layout</t>
  </si>
  <si>
    <t>[i* conformant;bad layout]</t>
  </si>
  <si>
    <t>success;effort</t>
  </si>
  <si>
    <t>precision,recall,F-measure;duration, perceived complexity (NASA TLX), eye tracking data</t>
  </si>
  <si>
    <t>The authors understood the guidelines as they state: "This design choice allows controlling the variability among subjects and dealing with the relatively low number of participants (18), but requires controlling the potential carryover effect (i.e., the potential persistence of the effect of a treatment when another treatment is applied later). In this case, there is a potential learning effect to consider. Following the guidelines of [20], we use a linear mixed model, which is adequate for mitigating this threat." However, their analysis method does not reflect this: "We used linear mixed models for testing our hypotheses. The models included the following terms: layout and domain, as fixed factors, and participant as random factor within sequence." Period, sequence, and carryover are not addressed.</t>
  </si>
  <si>
    <t>Code smell detection technique</t>
  </si>
  <si>
    <t>[Non-interactive detection (NID); interactive detection (ID)]</t>
  </si>
  <si>
    <t>defect detection effectiveness;refactoring quality;perceived usefulness</t>
  </si>
  <si>
    <t>precision,recall</t>
  </si>
  <si>
    <t>The employed NHST method differed for the dependent variables (paired t-test and Wilcoxon signed-rank test)</t>
  </si>
  <si>
    <t>identifier names;programming language</t>
  </si>
  <si>
    <t>[abbreviated; full-word];[Java; C]</t>
  </si>
  <si>
    <t>effort;effectiveness;efficiency</t>
  </si>
  <si>
    <t>task completion time; task effectiveness; task efficiency</t>
  </si>
  <si>
    <t>http://www2.unibas.it/gscanniello/Identifiers/</t>
  </si>
  <si>
    <t>All four experiments of #31 seem to be analyzed in one big IPD meta-analysis (with the experiment as a random effect). The threats to internal validity mention "Maturation" but do not acknowledge the effect of the period variable, rather mention the carryover effect.</t>
  </si>
  <si>
    <t>Practitioners</t>
  </si>
  <si>
    <t>software management process</t>
  </si>
  <si>
    <t>[Scrum+ EPG; Scrum EPG]</t>
  </si>
  <si>
    <t>usability</t>
  </si>
  <si>
    <t>questionnaire of usefulness, ease of use, compatibility, value, normative beliefs, and attitude</t>
  </si>
  <si>
    <t>https://static-content.springer.com/esm/art%3A10.1007%2Fs11219-021-09552-3/MediaObjects/11219_2021_9552_MOESM2_ESM.xlsx</t>
  </si>
  <si>
    <t>Development approach</t>
  </si>
  <si>
    <t>[code and own; software product line]</t>
  </si>
  <si>
    <t>correctness; efficiency; user satisfaction</t>
  </si>
  <si>
    <t>correction template; duration; questionnaire (PEOU, PU, ITU)</t>
  </si>
  <si>
    <t>https://svit.usj.es/spl-vs-cao-mdd-cdd/</t>
  </si>
  <si>
    <t>Experiment 1 (paradigm = model-driven development). The two experiments were analyzed together.</t>
  </si>
  <si>
    <t>Experiment 2 (paradigm = code-driven development)</t>
  </si>
  <si>
    <t>Modeling language</t>
  </si>
  <si>
    <t>[fCML; fCM]</t>
  </si>
  <si>
    <t>interpretation effectiveness; effort; efficiency</t>
  </si>
  <si>
    <t>questionnaire correctness; duration; correctness/duration</t>
  </si>
  <si>
    <t>https://tinyurl.com/u7ogtyb</t>
  </si>
  <si>
    <t>They call their analysis "linear mixed-effects (LME) model", which seems equivalent to a GLMM</t>
  </si>
  <si>
    <t>Test smell detection tool</t>
  </si>
  <si>
    <t>[RAIDE; tsDetect]</t>
  </si>
  <si>
    <t>smell detection performance; smell refactoring performance</t>
  </si>
  <si>
    <t>detection time; refactoring time</t>
  </si>
  <si>
    <t>https://zenodo.org/records/8030790</t>
  </si>
  <si>
    <t>[refactored; non-refactored]</t>
  </si>
  <si>
    <t>understandability; modifiability</t>
  </si>
  <si>
    <t>questionnaire, duration; questionnaire, duration</t>
  </si>
  <si>
    <t>alarcos.esi.uclm.es/per/mfernandez/material5.html</t>
  </si>
  <si>
    <t>use of repair recommendations for repairing design models</t>
  </si>
  <si>
    <t>[repair recommendations; no repair recommendations]</t>
  </si>
  <si>
    <t>efficiency; effectiveness</t>
  </si>
  <si>
    <t>duration; number of inconsistencies per task, number of inconsistencies fixed per task</t>
  </si>
  <si>
    <t>https://sites.google.com/view/rrexperiment/home#h.4ncksemt92xg</t>
  </si>
  <si>
    <t>microservice-based system visualzation approach; system size; practitioner experience</t>
  </si>
  <si>
    <t>[2D; 3D]; number of microservices; development experience levels</t>
  </si>
  <si>
    <t>understandability</t>
  </si>
  <si>
    <t>identification of dependencies, identification of degree of dependency, detection of the most dependent microservice</t>
  </si>
  <si>
    <t>https://zenodo.org/records/7693694#.ZAEi_S2B3RY</t>
  </si>
  <si>
    <t>The GLMM is "controlling for possible effects derived from the chosen crossover design (session and group)", where "session" is assumed to represent period and "group" the sequence.</t>
  </si>
  <si>
    <t>experimentation plattform</t>
  </si>
  <si>
    <t>[sixpack; Wasabi]</t>
  </si>
  <si>
    <t>technological acceptance</t>
  </si>
  <si>
    <t>PEOU, PU, self-predicted future usage</t>
  </si>
  <si>
    <t>I am not sure whether this counts as a crossover design. Section IV.D and figure 2 suggest that some sequence groups (group AW and BW) never applied the treatment (called "Sixpack") which should disqualify this design as a crossover.</t>
  </si>
  <si>
    <t>This is an interesting case. A complex design. If we consider that there are 3 treatments in the experiment (which is not totally clear): Wasabi, infrastructure with wasabi and infrastructure with sixpack, it can still be a crossover design. In crossover designs, participants apply more than one treatment, but not necessarily ALL treatments. This would be one of such case. This type of design is very uncommon, but probably the authors want to avoid the validity threat related to using 2 times the proposed infrastructure.</t>
  </si>
  <si>
    <t>GUI test specification approach/technique</t>
  </si>
  <si>
    <t>[Slang;JBehave]</t>
  </si>
  <si>
    <t>efficiency</t>
  </si>
  <si>
    <t>test case generation duration</t>
  </si>
  <si>
    <t>https://www.dropbox.com/scl/fo/jp4qi7xgiamxb5z45ggjl/ACK1ECptEMJ0UN0C3a4JqV8?rlkey=w4lnd0007dlzvv29mv7oifpe3&amp;e=1&amp;dl=0</t>
  </si>
  <si>
    <t>I am not sure whether the threat to validity through carryover is properly addressed. The authors state that "a factor for carryover was included in the design" but they also claim that "[a]s stated by Vegas et al [ 27 ] three variables are unavoidably confounded in AB/BA crossover designs, namely sequence, carryover, period*treatment interaction" and, hence, "sequence as a factor was included." I do not think sequence subsumes carryover.</t>
  </si>
  <si>
    <t>You are right. Sequence does not subsume carryover. Strictly speaking, they are not including a factor for carryover, it is the sequence. But the conclusion from the analysis viewpoint is correct. Since sequence is not significant, there does not seem to be carryover. I would say the claim in page 11 is not correct, although the interpretation of the analysis is. Not sure if I am making sense.</t>
  </si>
  <si>
    <t>effectiveness; efficiency; perceived benefits</t>
  </si>
  <si>
    <t>Approach</t>
  </si>
  <si>
    <t>[Java; DroidEH; ACEM]</t>
  </si>
  <si>
    <t>effectiveness</t>
  </si>
  <si>
    <t>implementation time; number of exceptions uncaught; number of crashes; startup time</t>
  </si>
  <si>
    <t>ANOVA</t>
  </si>
  <si>
    <t>Tool for active learning for inferring API usage patterns</t>
  </si>
  <si>
    <t>[baseline tool; SURF]</t>
  </si>
  <si>
    <t>comprehensibility; effort reduction; perceived usefulness</t>
  </si>
  <si>
    <t>usage comprehension question; duration; questionnaire</t>
  </si>
  <si>
    <t>Open Source</t>
  </si>
  <si>
    <t>https://github.com/UCLA-SEAL/SURF</t>
  </si>
  <si>
    <t>technology</t>
  </si>
  <si>
    <t>[Android; Ionic]</t>
  </si>
  <si>
    <t>affective reactions; user experience</t>
  </si>
  <si>
    <t>questionnaire (pleasure, arousal, dominance); questionnaire (UEQ)</t>
  </si>
  <si>
    <t>ANOVA-type Statistics</t>
  </si>
  <si>
    <t>The authors use a "ANOVA Type Statistic (ATS)" analysis method (section 4.7), which I am unfamiliar with - is this just "ANOVA"? Another paper (#49) claims that ATS is a non-parametric alternative to the ANOVA method. If so, how is it related to the Kruskal-Wallis test? Is a KW-test a type of ATS?</t>
  </si>
  <si>
    <t>I have googled it and it seems to be exactly what paper 49 says. It is a non-parametric test. It is described in this paper (https://www.jstor.org/stable/2965420). Seems to be something different from KW. KW can be used to analyze 1-factor experiments only. ATS is used in the paper to analyze several factors.</t>
  </si>
  <si>
    <t>Design of UIs for analysing large volumes of data</t>
  </si>
  <si>
    <t>[using proposed patterns; original]</t>
  </si>
  <si>
    <t>effectiveness; efficiency; satisfaction</t>
  </si>
  <si>
    <t>proportion of the completed tasks; duration; IBM CSUQ questionnaire</t>
  </si>
  <si>
    <t>Researchers</t>
  </si>
  <si>
    <t>comprehension anti-pattern</t>
  </si>
  <si>
    <t>[blob;spaghetti code]</t>
  </si>
  <si>
    <t>program comprehension</t>
  </si>
  <si>
    <t>time_understanding;avg_correct_answers</t>
  </si>
  <si>
    <t>Mixed Groups</t>
  </si>
  <si>
    <t>code isolation system in block programming</t>
  </si>
  <si>
    <t>[with support system; no support system]</t>
  </si>
  <si>
    <t>code reuse</t>
  </si>
  <si>
    <t>time to complete;correct implementation</t>
  </si>
  <si>
    <t>programming approach</t>
  </si>
  <si>
    <t>TDD;YourWay</t>
  </si>
  <si>
    <t>quality;productivity;testing_effort</t>
  </si>
  <si>
    <t>ratio of passing asserts over all user stories;percentage of all asserts passing;number of unit tests</t>
  </si>
  <si>
    <t>https://figshare.com/articles/dataset/Lab_Package_Longitudinal_Study_of_TDD_UniBA/6850013/1</t>
  </si>
  <si>
    <t>modelling language</t>
  </si>
  <si>
    <t>UML;DSL</t>
  </si>
  <si>
    <t>correctness; efficiency;satisfaction</t>
  </si>
  <si>
    <t>correction;time_to_finish;TAM_questionnaire</t>
  </si>
  <si>
    <t>task description</t>
  </si>
  <si>
    <t>fine;coarse</t>
  </si>
  <si>
    <t>correctness;completeness</t>
  </si>
  <si>
    <t>% asserts passing; % covered features by asserts</t>
  </si>
  <si>
    <t>https://figshare.com/articles/dataset/Replication_Package_for_Task_Description_Granularity_Experiment_TSE-2018-06-0206_/7957652</t>
  </si>
  <si>
    <t>metrics visualization</t>
  </si>
  <si>
    <t>2d screen;VR</t>
  </si>
  <si>
    <t>correctness;completion</t>
  </si>
  <si>
    <t>correct answers to question on CR; time to complete</t>
  </si>
  <si>
    <t>https://zenodo.org/records/8011220</t>
  </si>
  <si>
    <t>We are not in agreement regarding the addressal of the "skill" threat yet (see comment on cell M46). Since skill represents a subject-specific variance that needs to be modeled with a random effect, it should not suffice to include an experience factor in the (G)LMM - as this would be a population-level effect.</t>
  </si>
  <si>
    <t>I might have a third different view. To me, there is no evidence in the paper that they have incorporated the experience variables into the LMM. But they report the Kendall Tau. I vote for "isolated"?</t>
  </si>
  <si>
    <t>ways of operating on collection</t>
  </si>
  <si>
    <t>imperative;streamAPI</t>
  </si>
  <si>
    <t>understability</t>
  </si>
  <si>
    <t>technique;correctness;perception</t>
  </si>
  <si>
    <t>https://github.com/nilsmehlhorn/loop-stream-rct/</t>
  </si>
  <si>
    <t>modeling tool</t>
  </si>
  <si>
    <t>SOCIO;Creatively</t>
  </si>
  <si>
    <t>effectiveness;efficiency;satisfaction;quality</t>
  </si>
  <si>
    <t>completeness_elements;time_to_complete;SUS_questionnaire;TP/ideal_diagram</t>
  </si>
  <si>
    <t>https://ieee-dataport.org/documents/using-socio-chatbot-uml-modeling-second-family-experiments-usability-academic-settings</t>
  </si>
  <si>
    <t>review method</t>
  </si>
  <si>
    <t>CBR;EQI</t>
  </si>
  <si>
    <t>defects;time</t>
  </si>
  <si>
    <t>defects_team;defect_group;time_to_complete</t>
  </si>
  <si>
    <t>https://github.com/Zhi-JSNU/EQI</t>
  </si>
  <si>
    <t>noise exposure</t>
  </si>
  <si>
    <t>normal_env;noisy_env</t>
  </si>
  <si>
    <t>requirements_comprehension;fault_fixing</t>
  </si>
  <si>
    <t>Precision_requirements;Recall_requirements;Precision_fault;Recall_fault</t>
  </si>
  <si>
    <t>OCL specification</t>
  </si>
  <si>
    <t>traditional OCL; AspecOCL</t>
  </si>
  <si>
    <t>time_changes;accuracy_changes</t>
  </si>
  <si>
    <t>time_completion;marks</t>
  </si>
  <si>
    <t>https://github.com/hassansartaj/aocl</t>
  </si>
  <si>
    <t>TDD;non-TDD</t>
  </si>
  <si>
    <t>affective reactions</t>
  </si>
  <si>
    <t>pleasure,arousal,dominance,liking</t>
  </si>
  <si>
    <t>https://figshare.com/articles/online_resource/Affective_Reactions_and_Test-driven_Development_Experimental_Package/15015837/1</t>
  </si>
  <si>
    <t>The authors talk about ANOVA-type statistics (ATS). For the addressal of the "skill" threat, we are not in agreement yet (see the comment on the "Skill" cell (M55).</t>
  </si>
  <si>
    <t>There are several analyses in this paper and I think it is important to make explicit which is/are the ones we are focusing on. There is only one crossover out of the 3 experiments (Salerno). I understand we are focusing on this one only, aren´t we? Then there are the analyses corresponding to the aggregation of the 3 experiments conducted. But we are not focusing on these. So, I would say it is "neglected". They focus on the differences between participants during the aggregation of results only.</t>
  </si>
  <si>
    <t>Development approach;task</t>
  </si>
  <si>
    <t>TDD,ITL;TDD-favorable,ITL-favorable</t>
  </si>
  <si>
    <t>quality;productivity</t>
  </si>
  <si>
    <t>ratio of passing asserts;</t>
  </si>
  <si>
    <t xml:space="preserve">https://doi.org/10.6084/m9.figshare.3502808.v7 </t>
  </si>
  <si>
    <t>Manual exploratory GUI testing</t>
  </si>
  <si>
    <t>gamified;non-gamified</t>
  </si>
  <si>
    <t>effectiveness;efficiency;test_quality;UX</t>
  </si>
  <si>
    <t>mutation_coverage;bugs_over_time;breadth-depth_ratio;assertion_page;TAM_survey</t>
  </si>
  <si>
    <t>https://figshare.com/projects/GamificationReplicationPackage/127202</t>
  </si>
  <si>
    <t>The authors call their method a "repeated measures linear mixed model", which is assumed to be a GLMM/LMM.</t>
  </si>
  <si>
    <t>Debugger;FailingObject;FailingObjectPositionOP;FailingObjectPositionFP</t>
  </si>
  <si>
    <t>stepwise,stream;FailingObject_yes,FailingObject_no;FailingObjectPositionOP_1,FailingObjectPositionOP_3;FailingObjectPositionFP_1,FailingObjectPositionFP_3</t>
  </si>
  <si>
    <t>response_time</t>
  </si>
  <si>
    <t>time_to_solve_task</t>
  </si>
  <si>
    <r>
      <rPr>
        <u/>
        <sz val="10"/>
        <color rgb="FF1155CC"/>
        <rFont val="Arial"/>
      </rPr>
      <t>https://drive.google.com/drive/folders/14Eg4krlQWZO8yrZlWMp325GGn4</t>
    </r>
    <r>
      <rPr>
        <sz val="10"/>
        <color rgb="FF000000"/>
        <rFont val="Arial"/>
        <scheme val="minor"/>
      </rPr>
      <t xml:space="preserve"> 2GtC2h </t>
    </r>
  </si>
  <si>
    <t>class diagramming tool</t>
  </si>
  <si>
    <t>effeciency;effectiveness;satisfaction;quality</t>
  </si>
  <si>
    <t>time,fluency;completeness;SUS;Precision,Recall,Accuracy,Error,Success</t>
  </si>
  <si>
    <t>https://figshare.com/articles/dataset/Using_the_SOCIO_Chatbot_for_UML_Modelling_A_Family_of_Experiments/19142012</t>
  </si>
  <si>
    <t>Feature Location scopes</t>
  </si>
  <si>
    <t>Single Product Models;Product Model Families</t>
  </si>
  <si>
    <t>performance;productivity;difficulty</t>
  </si>
  <si>
    <t>recall,precision,f-measure;performance/time;Likert_scale</t>
  </si>
  <si>
    <t>https://svit.usj.es/ManualFL-experiment</t>
  </si>
  <si>
    <t>software architecture evaluation method</t>
  </si>
  <si>
    <t>QuaDAI;ATAM</t>
  </si>
  <si>
    <t>quality;effciency;usefulness</t>
  </si>
  <si>
    <t>euclidean_distance_NFR;effectiveness/time;TAM_questionnaire</t>
  </si>
  <si>
    <t>https://goo.gl/JPl47C</t>
  </si>
  <si>
    <t>development approach</t>
  </si>
  <si>
    <t>external_quality;productivity</t>
  </si>
  <si>
    <t>passing_asserts_us;ratio_passing_asserts</t>
  </si>
  <si>
    <t>https://figshare.com/articles/online_resource/Replication_Package_of_Test-Driven_Development_and_Embedded_Systems_An_Exploratory_Investigation_/22047764</t>
  </si>
  <si>
    <t>Noise exposure</t>
  </si>
  <si>
    <t>normal;noisy</t>
  </si>
  <si>
    <t>fault_fixing</t>
  </si>
  <si>
    <t>faults_F</t>
  </si>
  <si>
    <t>http://www2.unibas.it/sromano/downloads/NoiseExpsReplicationPackage.zip</t>
  </si>
  <si>
    <t>requirements_comprehension</t>
  </si>
  <si>
    <t>requirements_F</t>
  </si>
  <si>
    <t>software miniaturization</t>
  </si>
  <si>
    <t>manual;miniJava</t>
  </si>
  <si>
    <t>affective reactions;user experience</t>
  </si>
  <si>
    <t>SAM_questionnaire;UEQ_questionnaire</t>
  </si>
  <si>
    <t>Acronym</t>
  </si>
  <si>
    <t>Rater</t>
  </si>
  <si>
    <t>Assignment</t>
  </si>
  <si>
    <t>Completed</t>
  </si>
  <si>
    <t>Percent</t>
  </si>
  <si>
    <t>Remaining</t>
  </si>
  <si>
    <t>Study</t>
  </si>
  <si>
    <t>Total</t>
  </si>
  <si>
    <t>Type</t>
  </si>
  <si>
    <t>Description</t>
  </si>
  <si>
    <t>#</t>
  </si>
  <si>
    <t>The participants are (university) students (including graduate students)</t>
  </si>
  <si>
    <t>The subject of the experiment are two or more students working together</t>
  </si>
  <si>
    <t>The participants are practitioners working in industry</t>
  </si>
  <si>
    <t>Pracititioner Groups</t>
  </si>
  <si>
    <t>The subject of the experiment are two or more practitioners working together</t>
  </si>
  <si>
    <t>The subject of the experiment are groups of at least one student and at least on practitioner</t>
  </si>
  <si>
    <t>The experiment involved both students and practitioners</t>
  </si>
  <si>
    <t>The authors do not specify the type of subjects participating in the experiment</t>
  </si>
  <si>
    <t>The participants are researchers at an academic institution</t>
  </si>
  <si>
    <t>The participants are known but do not follow in the above types</t>
  </si>
  <si>
    <t>Code</t>
  </si>
  <si>
    <t>Null-hypothesis significance test</t>
  </si>
  <si>
    <t>One- or two-tailed test of statistically significant difference in the distribution of the response variable stratified by the levels of the main factor</t>
  </si>
  <si>
    <t>GLM</t>
  </si>
  <si>
    <t>Generalized Linear Model</t>
  </si>
  <si>
    <t>Fixed-effects linear model, based on the maximum likelihood theory of independent observations</t>
  </si>
  <si>
    <t>Generalized Linear Mixed Model</t>
  </si>
  <si>
    <t>GLM, including random effects</t>
  </si>
  <si>
    <t>GEE</t>
  </si>
  <si>
    <t>Generalized Estimating Equation</t>
  </si>
  <si>
    <t>Parameter estimation of a GLM with a possibly unmeasured correlation based on quasi-likelihood theory with no assumption about the distribution of the response variable [2].</t>
  </si>
  <si>
    <t>Any other method</t>
  </si>
  <si>
    <t>Method not mentioned</t>
  </si>
  <si>
    <t>Unpaired T</t>
  </si>
  <si>
    <t>Parametric test for unrelated data points</t>
  </si>
  <si>
    <t>Parametric test for related data points</t>
  </si>
  <si>
    <t>Nonparametric test for unrelated data points</t>
  </si>
  <si>
    <t>Nonparametric test for related data points</t>
  </si>
  <si>
    <t>Parametric test for unrelated data points of three or more samples</t>
  </si>
  <si>
    <t>Nonparametric test for unrelated data poitns of three or more samples</t>
  </si>
  <si>
    <t>Nonparametric test for unrelated data points of three or more samples for a one-way layout</t>
  </si>
  <si>
    <t>In case none of the types fit</t>
  </si>
  <si>
    <t>Variance</t>
  </si>
  <si>
    <t>The authors address the threat to validity by modeling the factor in the analysis (e.g., as a parameter in a GLM or GLMM).</t>
  </si>
  <si>
    <t>Stratified</t>
  </si>
  <si>
    <t>The authors address the threat to validity by stratifying the data by the levels of the confounding factor and conducting separate analyses.</t>
  </si>
  <si>
    <t>The authors analyze the threat to validity in isolation, i.e., conduct a statistical test with the threat variable as the only independent variable</t>
  </si>
  <si>
    <t>The authors do not address the threat in the analysis, but acknowledge its (unaddressed) influence in the threats to validity section.</t>
  </si>
  <si>
    <t>The authors do not address the threat to validity in the analysis, but claim it is negligible due to the employed design.</t>
  </si>
  <si>
    <t>The authors neither address nor acknowledge the threat to validity.</t>
  </si>
  <si>
    <t>(anonymized)</t>
  </si>
  <si>
    <t>rater2</t>
  </si>
  <si>
    <t>rater1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</si>
</sst>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0"/>
      <color rgb="FF000000"/>
      <name val="Arial"/>
      <scheme val="minor"/>
    </font>
    <font>
      <b/>
      <sz val="10"/>
      <color rgb="FFFFFFFF"/>
      <name val="Arial"/>
      <scheme val="minor"/>
    </font>
    <font>
      <sz val="10"/>
      <color theme="1"/>
      <name val="Arial"/>
      <scheme val="minor"/>
    </font>
    <font>
      <sz val="10"/>
      <name val="Arial"/>
    </font>
    <font>
      <u/>
      <sz val="10"/>
      <color rgb="FF0000FF"/>
      <name val="Arial"/>
    </font>
    <font>
      <u/>
      <sz val="10"/>
      <color rgb="FF0000FF"/>
      <name val="Arial"/>
    </font>
    <font>
      <u/>
      <sz val="10"/>
      <color rgb="FF0000FF"/>
      <name val="Arial"/>
    </font>
    <font>
      <u/>
      <sz val="10"/>
      <color rgb="FF0000FF"/>
      <name val="Arial"/>
    </font>
    <font>
      <sz val="10"/>
      <color rgb="FF000000"/>
      <name val="Arial"/>
    </font>
    <font>
      <b/>
      <sz val="10"/>
      <color rgb="FFFFFFFF"/>
      <name val="Arial"/>
    </font>
    <font>
      <b/>
      <sz val="10"/>
      <color theme="1"/>
      <name val="Arial"/>
    </font>
    <font>
      <sz val="10"/>
      <color theme="1"/>
      <name val="Arial"/>
    </font>
    <font>
      <b/>
      <sz val="10"/>
      <color theme="1"/>
      <name val="Arial"/>
      <scheme val="minor"/>
    </font>
    <font>
      <u/>
      <sz val="10"/>
      <color rgb="FF1155CC"/>
      <name val="Arial"/>
    </font>
  </fonts>
  <fills count="12">
    <fill>
      <patternFill patternType="none"/>
    </fill>
    <fill>
      <patternFill patternType="gray125"/>
    </fill>
    <fill>
      <patternFill patternType="solid">
        <fgColor rgb="FF666666"/>
        <bgColor rgb="FF666666"/>
      </patternFill>
    </fill>
    <fill>
      <patternFill patternType="solid">
        <fgColor rgb="FFFFFFFF"/>
        <bgColor rgb="FFFFFFFF"/>
      </patternFill>
    </fill>
    <fill>
      <patternFill patternType="solid">
        <fgColor rgb="FFFCE5CD"/>
        <bgColor rgb="FFFCE5CD"/>
      </patternFill>
    </fill>
    <fill>
      <patternFill patternType="solid">
        <fgColor rgb="FFF4CCCC"/>
        <bgColor rgb="FFF4CCCC"/>
      </patternFill>
    </fill>
    <fill>
      <patternFill patternType="solid">
        <fgColor rgb="FF3D85C6"/>
        <bgColor rgb="FF3D85C6"/>
      </patternFill>
    </fill>
    <fill>
      <patternFill patternType="solid">
        <fgColor rgb="FF6AA84F"/>
        <bgColor rgb="FF6AA84F"/>
      </patternFill>
    </fill>
    <fill>
      <patternFill patternType="solid">
        <fgColor rgb="FF674EA7"/>
        <bgColor rgb="FF674EA7"/>
      </patternFill>
    </fill>
    <fill>
      <patternFill patternType="solid">
        <fgColor rgb="FFF1C232"/>
        <bgColor rgb="FFF1C232"/>
      </patternFill>
    </fill>
    <fill>
      <patternFill patternType="solid">
        <fgColor rgb="FFB45F06"/>
        <bgColor rgb="FFB45F06"/>
      </patternFill>
    </fill>
    <fill>
      <patternFill patternType="solid">
        <fgColor rgb="FF990000"/>
        <bgColor rgb="FF990000"/>
      </patternFill>
    </fill>
  </fills>
  <borders count="5">
    <border>
      <left/>
      <right/>
      <top/>
      <bottom/>
      <diagonal/>
    </border>
    <border>
      <left style="thin">
        <color rgb="FF000000"/>
      </left>
      <right/>
      <top/>
      <bottom/>
      <diagonal/>
    </border>
    <border>
      <left/>
      <right style="thin">
        <color rgb="FF000000"/>
      </right>
      <top/>
      <bottom/>
      <diagonal/>
    </border>
    <border>
      <left/>
      <right style="dotted">
        <color rgb="FF000000"/>
      </right>
      <top/>
      <bottom/>
      <diagonal/>
    </border>
    <border>
      <left style="dotted">
        <color rgb="FF000000"/>
      </left>
      <right/>
      <top/>
      <bottom/>
      <diagonal/>
    </border>
  </borders>
  <cellStyleXfs count="1">
    <xf numFmtId="0" fontId="0" fillId="0" borderId="0"/>
  </cellStyleXfs>
  <cellXfs count="55">
    <xf numFmtId="0" fontId="0" fillId="0" borderId="0" xfId="0"/>
    <xf numFmtId="0" fontId="1" fillId="2" borderId="0" xfId="0" applyFont="1" applyFill="1"/>
    <xf numFmtId="0" fontId="1" fillId="2" borderId="0" xfId="0" applyFont="1" applyFill="1" applyAlignment="1">
      <alignment wrapText="1"/>
    </xf>
    <xf numFmtId="0" fontId="1" fillId="2" borderId="1" xfId="0" applyFont="1" applyFill="1" applyBorder="1"/>
    <xf numFmtId="0" fontId="1" fillId="2" borderId="2" xfId="0" applyFont="1" applyFill="1" applyBorder="1"/>
    <xf numFmtId="0" fontId="2" fillId="0" borderId="0" xfId="0" applyFont="1"/>
    <xf numFmtId="0" fontId="2" fillId="0" borderId="0" xfId="0" applyFont="1" applyAlignment="1">
      <alignment wrapText="1"/>
    </xf>
    <xf numFmtId="0" fontId="2" fillId="0" borderId="1" xfId="0" applyFont="1" applyBorder="1"/>
    <xf numFmtId="0" fontId="2" fillId="0" borderId="2" xfId="0" applyFont="1" applyBorder="1"/>
    <xf numFmtId="0" fontId="1" fillId="2" borderId="0" xfId="0" applyFont="1" applyFill="1" applyAlignment="1">
      <alignment horizontal="center" wrapText="1"/>
    </xf>
    <xf numFmtId="0" fontId="1" fillId="2" borderId="2" xfId="0" applyFont="1" applyFill="1" applyBorder="1" applyAlignment="1">
      <alignment horizontal="center"/>
    </xf>
    <xf numFmtId="0" fontId="1" fillId="2" borderId="3" xfId="0" applyFont="1" applyFill="1" applyBorder="1"/>
    <xf numFmtId="0" fontId="1" fillId="2" borderId="3" xfId="0" applyFont="1" applyFill="1" applyBorder="1" applyAlignment="1">
      <alignment wrapText="1"/>
    </xf>
    <xf numFmtId="0" fontId="1" fillId="2" borderId="2" xfId="0" applyFont="1" applyFill="1" applyBorder="1" applyAlignment="1">
      <alignment wrapText="1"/>
    </xf>
    <xf numFmtId="0" fontId="2" fillId="0" borderId="3" xfId="0" applyFont="1" applyBorder="1" applyAlignment="1">
      <alignment wrapText="1"/>
    </xf>
    <xf numFmtId="0" fontId="2" fillId="0" borderId="2" xfId="0" applyFont="1" applyBorder="1" applyAlignment="1">
      <alignment wrapText="1"/>
    </xf>
    <xf numFmtId="0" fontId="2" fillId="0" borderId="3" xfId="0" applyFont="1" applyBorder="1"/>
    <xf numFmtId="0" fontId="2" fillId="0" borderId="0" xfId="0" applyFont="1" applyAlignment="1">
      <alignment horizontal="center" wrapText="1"/>
    </xf>
    <xf numFmtId="0" fontId="4" fillId="0" borderId="3" xfId="0" applyFont="1" applyBorder="1" applyAlignment="1">
      <alignment wrapText="1"/>
    </xf>
    <xf numFmtId="0" fontId="5" fillId="0" borderId="2" xfId="0" applyFont="1" applyBorder="1" applyAlignment="1">
      <alignment wrapText="1"/>
    </xf>
    <xf numFmtId="0" fontId="6" fillId="0" borderId="3" xfId="0" applyFont="1" applyBorder="1" applyAlignment="1">
      <alignment wrapText="1"/>
    </xf>
    <xf numFmtId="0" fontId="7" fillId="0" borderId="2" xfId="0" applyFont="1" applyBorder="1" applyAlignment="1">
      <alignment wrapText="1"/>
    </xf>
    <xf numFmtId="0" fontId="8" fillId="3" borderId="0" xfId="0" applyFont="1" applyFill="1" applyAlignment="1">
      <alignment horizontal="left"/>
    </xf>
    <xf numFmtId="0" fontId="9" fillId="2" borderId="0" xfId="0" applyFont="1" applyFill="1"/>
    <xf numFmtId="0" fontId="9" fillId="2" borderId="1" xfId="0" applyFont="1" applyFill="1" applyBorder="1"/>
    <xf numFmtId="0" fontId="9" fillId="2" borderId="4" xfId="0" applyFont="1" applyFill="1" applyBorder="1"/>
    <xf numFmtId="0" fontId="10" fillId="4" borderId="0" xfId="0" applyFont="1" applyFill="1"/>
    <xf numFmtId="0" fontId="11" fillId="0" borderId="0" xfId="0" applyFont="1"/>
    <xf numFmtId="0" fontId="11" fillId="0" borderId="1" xfId="0" applyFont="1" applyBorder="1" applyAlignment="1">
      <alignment horizontal="right"/>
    </xf>
    <xf numFmtId="0" fontId="11" fillId="0" borderId="0" xfId="0" applyFont="1" applyAlignment="1">
      <alignment horizontal="right"/>
    </xf>
    <xf numFmtId="0" fontId="11" fillId="0" borderId="4" xfId="0" applyFont="1" applyBorder="1" applyAlignment="1">
      <alignment horizontal="right"/>
    </xf>
    <xf numFmtId="164" fontId="11" fillId="0" borderId="1" xfId="0" applyNumberFormat="1" applyFont="1" applyBorder="1" applyAlignment="1">
      <alignment horizontal="right"/>
    </xf>
    <xf numFmtId="164" fontId="11" fillId="0" borderId="0" xfId="0" applyNumberFormat="1" applyFont="1" applyAlignment="1">
      <alignment horizontal="right"/>
    </xf>
    <xf numFmtId="164" fontId="11" fillId="0" borderId="4" xfId="0" applyNumberFormat="1" applyFont="1" applyBorder="1" applyAlignment="1">
      <alignment horizontal="right"/>
    </xf>
    <xf numFmtId="0" fontId="10" fillId="0" borderId="4" xfId="0" applyFont="1" applyBorder="1" applyAlignment="1">
      <alignment horizontal="right"/>
    </xf>
    <xf numFmtId="0" fontId="10" fillId="5" borderId="0" xfId="0" applyFont="1" applyFill="1"/>
    <xf numFmtId="0" fontId="9" fillId="2" borderId="1" xfId="0" applyFont="1" applyFill="1" applyBorder="1" applyAlignment="1">
      <alignment horizontal="right"/>
    </xf>
    <xf numFmtId="0" fontId="9" fillId="2" borderId="0" xfId="0" applyFont="1" applyFill="1" applyAlignment="1">
      <alignment horizontal="right"/>
    </xf>
    <xf numFmtId="0" fontId="9" fillId="2" borderId="4" xfId="0" applyFont="1" applyFill="1" applyBorder="1" applyAlignment="1">
      <alignment horizontal="right"/>
    </xf>
    <xf numFmtId="164" fontId="9" fillId="2" borderId="1" xfId="0" applyNumberFormat="1" applyFont="1" applyFill="1" applyBorder="1" applyAlignment="1">
      <alignment horizontal="right"/>
    </xf>
    <xf numFmtId="164" fontId="9" fillId="2" borderId="0" xfId="0" applyNumberFormat="1" applyFont="1" applyFill="1" applyAlignment="1">
      <alignment horizontal="right"/>
    </xf>
    <xf numFmtId="164" fontId="9" fillId="2" borderId="4" xfId="0" applyNumberFormat="1" applyFont="1" applyFill="1" applyBorder="1" applyAlignment="1">
      <alignment horizontal="right"/>
    </xf>
    <xf numFmtId="0" fontId="12" fillId="0" borderId="0" xfId="0" applyFont="1" applyAlignment="1">
      <alignment wrapText="1"/>
    </xf>
    <xf numFmtId="0" fontId="12" fillId="0" borderId="0" xfId="0" applyFont="1"/>
    <xf numFmtId="0" fontId="1" fillId="6" borderId="0" xfId="0" applyFont="1" applyFill="1"/>
    <xf numFmtId="0" fontId="12" fillId="7" borderId="0" xfId="0" applyFont="1" applyFill="1"/>
    <xf numFmtId="0" fontId="1" fillId="8" borderId="0" xfId="0" applyFont="1" applyFill="1"/>
    <xf numFmtId="0" fontId="12" fillId="9" borderId="0" xfId="0" applyFont="1" applyFill="1"/>
    <xf numFmtId="0" fontId="1" fillId="10" borderId="0" xfId="0" applyFont="1" applyFill="1"/>
    <xf numFmtId="0" fontId="1" fillId="11" borderId="0" xfId="0" applyFont="1" applyFill="1"/>
    <xf numFmtId="0" fontId="1" fillId="2" borderId="0" xfId="0" applyFont="1" applyFill="1" applyAlignment="1">
      <alignment horizontal="center"/>
    </xf>
    <xf numFmtId="0" fontId="0" fillId="0" borderId="0" xfId="0"/>
    <xf numFmtId="0" fontId="3" fillId="0" borderId="2" xfId="0" applyFont="1" applyBorder="1"/>
    <xf numFmtId="0" fontId="1" fillId="2" borderId="0" xfId="0" applyFont="1" applyFill="1" applyAlignment="1">
      <alignment horizontal="center" wrapText="1"/>
    </xf>
    <xf numFmtId="0" fontId="9" fillId="2" borderId="1" xfId="0" applyFont="1" applyFill="1" applyBorder="1" applyAlignment="1">
      <alignment horizontal="center"/>
    </xf>
  </cellXfs>
  <cellStyles count="1">
    <cellStyle name="Normal" xfId="0" builtinId="0"/>
  </cellStyles>
  <dxfs count="8">
    <dxf>
      <fill>
        <patternFill patternType="solid">
          <fgColor rgb="FFF1C232"/>
          <bgColor rgb="FFF1C232"/>
        </patternFill>
      </fill>
    </dxf>
    <dxf>
      <font>
        <color rgb="FF000000"/>
      </font>
      <fill>
        <patternFill patternType="solid">
          <fgColor rgb="FFF1C232"/>
          <bgColor rgb="FFF1C232"/>
        </patternFill>
      </fill>
    </dxf>
    <dxf>
      <font>
        <color rgb="FFEFEFEF"/>
      </font>
      <fill>
        <patternFill patternType="solid">
          <fgColor rgb="FFFFFFFF"/>
          <bgColor rgb="FFFFFFFF"/>
        </patternFill>
      </fill>
    </dxf>
    <dxf>
      <font>
        <color rgb="FFFFFFFF"/>
      </font>
      <fill>
        <patternFill patternType="solid">
          <fgColor rgb="FF38761D"/>
          <bgColor rgb="FF38761D"/>
        </patternFill>
      </fill>
    </dxf>
    <dxf>
      <font>
        <color rgb="FFFFFFFF"/>
      </font>
      <fill>
        <patternFill patternType="solid">
          <fgColor rgb="FF990000"/>
          <bgColor rgb="FF990000"/>
        </patternFill>
      </fill>
    </dxf>
    <dxf>
      <font>
        <color rgb="FFB7B7B7"/>
      </font>
      <fill>
        <patternFill patternType="solid">
          <fgColor rgb="FFEFEFEF"/>
          <bgColor rgb="FFEFEFEF"/>
        </patternFill>
      </fill>
    </dxf>
    <dxf>
      <font>
        <color rgb="FFD9D9D9"/>
      </font>
      <fill>
        <patternFill patternType="none"/>
      </fill>
    </dxf>
    <dxf>
      <font>
        <color rgb="FFD9D9D9"/>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www2.unibas.it/gscanniello/Identifiers/" TargetMode="External"/><Relationship Id="rId18" Type="http://schemas.openxmlformats.org/officeDocument/2006/relationships/hyperlink" Target="https://svit.usj.es/spl-vs-cao-mdd-cdd/" TargetMode="External"/><Relationship Id="rId26" Type="http://schemas.openxmlformats.org/officeDocument/2006/relationships/hyperlink" Target="https://www.dropbox.com/scl/fo/jp4qi7xgiamxb5z45ggjl/ACK1ECptEMJ0UN0C3a4JqV8?rlkey=w4lnd0007dlzvv29mv7oifpe3&amp;e=1&amp;dl=0" TargetMode="External"/><Relationship Id="rId39" Type="http://schemas.openxmlformats.org/officeDocument/2006/relationships/hyperlink" Target="https://ieee-dataport.org/documents/using-socio-chatbot-uml-modeling-second-family-experiments-usability-academic-settings" TargetMode="External"/><Relationship Id="rId21" Type="http://schemas.openxmlformats.org/officeDocument/2006/relationships/hyperlink" Target="https://zenodo.org/records/8030790" TargetMode="External"/><Relationship Id="rId34" Type="http://schemas.openxmlformats.org/officeDocument/2006/relationships/hyperlink" Target="https://github.com/nilsmehlhorn/loop-stream-rct/releases" TargetMode="External"/><Relationship Id="rId42" Type="http://schemas.openxmlformats.org/officeDocument/2006/relationships/hyperlink" Target="https://github.com/hassansartaj/aocl" TargetMode="External"/><Relationship Id="rId47" Type="http://schemas.openxmlformats.org/officeDocument/2006/relationships/hyperlink" Target="https://figshare.com/projects/GamificationReplicationPackage/127202" TargetMode="External"/><Relationship Id="rId50" Type="http://schemas.openxmlformats.org/officeDocument/2006/relationships/hyperlink" Target="https://figshare.com/articles/dataset/Using_the_SOCIO_Chatbot_for_UML_Modelling_A_Family_of_Experiments/19142012" TargetMode="External"/><Relationship Id="rId55" Type="http://schemas.openxmlformats.org/officeDocument/2006/relationships/hyperlink" Target="https://figshare.com/articles/dataset/Using_the_SOCIO_Chatbot_for_UML_Modelling_A_Family_of_Experiments/19142012" TargetMode="External"/><Relationship Id="rId63" Type="http://schemas.openxmlformats.org/officeDocument/2006/relationships/hyperlink" Target="https://figshare.com/articles/online_resource/Replication_Package_of_Test-Driven_Development_and_Embedded_Systems_An_Exploratory_Investigation_/22047764" TargetMode="External"/><Relationship Id="rId68" Type="http://schemas.openxmlformats.org/officeDocument/2006/relationships/hyperlink" Target="http://www2.unibas.it/sromano/downloads/NoiseExpsReplicationPackage.zip" TargetMode="External"/><Relationship Id="rId7" Type="http://schemas.openxmlformats.org/officeDocument/2006/relationships/hyperlink" Target="https://bit.ly/34v7OTs" TargetMode="External"/><Relationship Id="rId2" Type="http://schemas.openxmlformats.org/officeDocument/2006/relationships/hyperlink" Target="https://zenodo.org/records/8100380" TargetMode="External"/><Relationship Id="rId16" Type="http://schemas.openxmlformats.org/officeDocument/2006/relationships/hyperlink" Target="https://svit.usj.es/spl-vs-cao-mdd-cdd/" TargetMode="External"/><Relationship Id="rId29" Type="http://schemas.openxmlformats.org/officeDocument/2006/relationships/hyperlink" Target="https://figshare.com/articles/dataset/Lab_Package_Longitudinal_Study_of_TDD_UniBA/6850013/1" TargetMode="External"/><Relationship Id="rId1" Type="http://schemas.openxmlformats.org/officeDocument/2006/relationships/hyperlink" Target="https://zenodo.org/records/8100380" TargetMode="External"/><Relationship Id="rId6" Type="http://schemas.openxmlformats.org/officeDocument/2006/relationships/hyperlink" Target="https://bit.ly/34v7OTs" TargetMode="External"/><Relationship Id="rId11" Type="http://schemas.openxmlformats.org/officeDocument/2006/relationships/hyperlink" Target="http://www2.unibas.it/gscanniello/Identifiers/" TargetMode="External"/><Relationship Id="rId24" Type="http://schemas.openxmlformats.org/officeDocument/2006/relationships/hyperlink" Target="https://sites.google.com/view/rrexperiment/home" TargetMode="External"/><Relationship Id="rId32" Type="http://schemas.openxmlformats.org/officeDocument/2006/relationships/hyperlink" Target="https://zenodo.org/records/8011220" TargetMode="External"/><Relationship Id="rId37" Type="http://schemas.openxmlformats.org/officeDocument/2006/relationships/hyperlink" Target="https://ieee-dataport.org/documents/using-socio-chatbot-uml-modeling-second-family-experiments-usability-academic-settings" TargetMode="External"/><Relationship Id="rId40" Type="http://schemas.openxmlformats.org/officeDocument/2006/relationships/hyperlink" Target="https://ieee-dataport.org/documents/using-socio-chatbot-uml-modeling-second-family-experiments-usability-academic-settings" TargetMode="External"/><Relationship Id="rId45" Type="http://schemas.openxmlformats.org/officeDocument/2006/relationships/hyperlink" Target="https://doi.org/10.6084/m9.figshare.3502808.v7" TargetMode="External"/><Relationship Id="rId53" Type="http://schemas.openxmlformats.org/officeDocument/2006/relationships/hyperlink" Target="https://figshare.com/articles/dataset/Using_the_SOCIO_Chatbot_for_UML_Modelling_A_Family_of_Experiments/19142012" TargetMode="External"/><Relationship Id="rId58" Type="http://schemas.openxmlformats.org/officeDocument/2006/relationships/hyperlink" Target="https://goo.gl/JPl47C." TargetMode="External"/><Relationship Id="rId66" Type="http://schemas.openxmlformats.org/officeDocument/2006/relationships/hyperlink" Target="http://www2.unibas.it/sromano/downloads/NoiseExpsReplicationPackage.zip" TargetMode="External"/><Relationship Id="rId5" Type="http://schemas.openxmlformats.org/officeDocument/2006/relationships/hyperlink" Target="https://bit.ly/34v7OTs" TargetMode="External"/><Relationship Id="rId15" Type="http://schemas.openxmlformats.org/officeDocument/2006/relationships/hyperlink" Target="https://svit.usj.es/spl-vs-cao-mdd-cdd/" TargetMode="External"/><Relationship Id="rId23" Type="http://schemas.openxmlformats.org/officeDocument/2006/relationships/hyperlink" Target="http://alarcos.esi.uclm.es/per/mfernandez/material5.html" TargetMode="External"/><Relationship Id="rId28" Type="http://schemas.openxmlformats.org/officeDocument/2006/relationships/hyperlink" Target="https://figshare.com/articles/dataset/Lab_Package_Longitudinal_Study_of_TDD_UniBA/6850013/1" TargetMode="External"/><Relationship Id="rId36" Type="http://schemas.openxmlformats.org/officeDocument/2006/relationships/hyperlink" Target="https://ieee-dataport.org/documents/using-socio-chatbot-uml-modeling-second-family-experiments-usability-academic-settings" TargetMode="External"/><Relationship Id="rId49" Type="http://schemas.openxmlformats.org/officeDocument/2006/relationships/hyperlink" Target="https://drive.google.com/drive/folders/14Eg4krlQWZO8yrZlWMp325GGn4" TargetMode="External"/><Relationship Id="rId57" Type="http://schemas.openxmlformats.org/officeDocument/2006/relationships/hyperlink" Target="https://svit.usj.es/ManualFL-experiment" TargetMode="External"/><Relationship Id="rId61" Type="http://schemas.openxmlformats.org/officeDocument/2006/relationships/hyperlink" Target="https://goo.gl/JPl47C." TargetMode="External"/><Relationship Id="rId10" Type="http://schemas.openxmlformats.org/officeDocument/2006/relationships/hyperlink" Target="http://www2.unibas.it/gscanniello/Identifiers/" TargetMode="External"/><Relationship Id="rId19" Type="http://schemas.openxmlformats.org/officeDocument/2006/relationships/hyperlink" Target="https://tinyurl.com/u7ogtyb" TargetMode="External"/><Relationship Id="rId31" Type="http://schemas.openxmlformats.org/officeDocument/2006/relationships/hyperlink" Target="https://figshare.com/articles/dataset/Replication_Package_for_Task_Description_Granularity_Experiment_TSE-2018-06-0206_/7957652" TargetMode="External"/><Relationship Id="rId44" Type="http://schemas.openxmlformats.org/officeDocument/2006/relationships/hyperlink" Target="https://figshare.com/articles/online_resource/Affective_Reactions_and_Test-driven_Development_Experimental_Package/15015837/1" TargetMode="External"/><Relationship Id="rId52" Type="http://schemas.openxmlformats.org/officeDocument/2006/relationships/hyperlink" Target="https://figshare.com/articles/dataset/Using_the_SOCIO_Chatbot_for_UML_Modelling_A_Family_of_Experiments/19142012" TargetMode="External"/><Relationship Id="rId60" Type="http://schemas.openxmlformats.org/officeDocument/2006/relationships/hyperlink" Target="https://goo.gl/JPl47C." TargetMode="External"/><Relationship Id="rId65" Type="http://schemas.openxmlformats.org/officeDocument/2006/relationships/hyperlink" Target="http://www2.unibas.it/sromano/downloads/NoiseExpsReplicationPackage.zip" TargetMode="External"/><Relationship Id="rId4" Type="http://schemas.openxmlformats.org/officeDocument/2006/relationships/hyperlink" Target="https://bit.ly/34v7OTs" TargetMode="External"/><Relationship Id="rId9" Type="http://schemas.openxmlformats.org/officeDocument/2006/relationships/hyperlink" Target="https://bit.ly/34v7OTs" TargetMode="External"/><Relationship Id="rId14" Type="http://schemas.openxmlformats.org/officeDocument/2006/relationships/hyperlink" Target="https://static-content.springer.com/esm/art%3A10.1007%2Fs11219-021-09552-3/MediaObjects/11219_2021_9552_MOESM2_ESM.xlsx" TargetMode="External"/><Relationship Id="rId22" Type="http://schemas.openxmlformats.org/officeDocument/2006/relationships/hyperlink" Target="http://alarcos.esi.uclm.es/per/mfernandez/material5.html" TargetMode="External"/><Relationship Id="rId27" Type="http://schemas.openxmlformats.org/officeDocument/2006/relationships/hyperlink" Target="https://github.com/UCLA-SEAL/SURF" TargetMode="External"/><Relationship Id="rId30" Type="http://schemas.openxmlformats.org/officeDocument/2006/relationships/hyperlink" Target="https://figshare.com/articles/dataset/Replication_Package_for_Task_Description_Granularity_Experiment_TSE-2018-06-0206_/7957652" TargetMode="External"/><Relationship Id="rId35" Type="http://schemas.openxmlformats.org/officeDocument/2006/relationships/hyperlink" Target="https://ieee-dataport.org/documents/using-socio-chatbot-uml-modeling-second-family-experiments-usability-academic-settings" TargetMode="External"/><Relationship Id="rId43" Type="http://schemas.openxmlformats.org/officeDocument/2006/relationships/hyperlink" Target="https://figshare.com/articles/online_resource/Affective_Reactions_and_Test-driven_Development_Experimental_Package/15015837/1" TargetMode="External"/><Relationship Id="rId48" Type="http://schemas.openxmlformats.org/officeDocument/2006/relationships/hyperlink" Target="https://figshare.com/projects/GamificationReplicationPackage/127202" TargetMode="External"/><Relationship Id="rId56" Type="http://schemas.openxmlformats.org/officeDocument/2006/relationships/hyperlink" Target="https://svit.usj.es/ManualFL-experiment" TargetMode="External"/><Relationship Id="rId64" Type="http://schemas.openxmlformats.org/officeDocument/2006/relationships/hyperlink" Target="https://figshare.com/articles/online_resource/Replication_Package_of_Test-Driven_Development_and_Embedded_Systems_An_Exploratory_Investigation_/22047764" TargetMode="External"/><Relationship Id="rId8" Type="http://schemas.openxmlformats.org/officeDocument/2006/relationships/hyperlink" Target="https://bit.ly/34v7OTs" TargetMode="External"/><Relationship Id="rId51" Type="http://schemas.openxmlformats.org/officeDocument/2006/relationships/hyperlink" Target="https://figshare.com/articles/dataset/Using_the_SOCIO_Chatbot_for_UML_Modelling_A_Family_of_Experiments/19142012" TargetMode="External"/><Relationship Id="rId3" Type="http://schemas.openxmlformats.org/officeDocument/2006/relationships/hyperlink" Target="https://fh-muenster.sciebo.de/s/6ZEmMeo6Quh6vaH" TargetMode="External"/><Relationship Id="rId12" Type="http://schemas.openxmlformats.org/officeDocument/2006/relationships/hyperlink" Target="http://www2.unibas.it/gscanniello/Identifiers/" TargetMode="External"/><Relationship Id="rId17" Type="http://schemas.openxmlformats.org/officeDocument/2006/relationships/hyperlink" Target="https://svit.usj.es/spl-vs-cao-mdd-cdd/" TargetMode="External"/><Relationship Id="rId25" Type="http://schemas.openxmlformats.org/officeDocument/2006/relationships/hyperlink" Target="https://zenodo.org/records/7693694" TargetMode="External"/><Relationship Id="rId33" Type="http://schemas.openxmlformats.org/officeDocument/2006/relationships/hyperlink" Target="https://zenodo.org/records/8011220" TargetMode="External"/><Relationship Id="rId38" Type="http://schemas.openxmlformats.org/officeDocument/2006/relationships/hyperlink" Target="https://ieee-dataport.org/documents/using-socio-chatbot-uml-modeling-second-family-experiments-usability-academic-settings" TargetMode="External"/><Relationship Id="rId46" Type="http://schemas.openxmlformats.org/officeDocument/2006/relationships/hyperlink" Target="https://doi.org/10.6084/m9.figshare.3502808.v7" TargetMode="External"/><Relationship Id="rId59" Type="http://schemas.openxmlformats.org/officeDocument/2006/relationships/hyperlink" Target="https://goo.gl/JPl47C." TargetMode="External"/><Relationship Id="rId67" Type="http://schemas.openxmlformats.org/officeDocument/2006/relationships/hyperlink" Target="http://www2.unibas.it/sromano/downloads/NoiseExpsReplicationPackage.zip" TargetMode="External"/><Relationship Id="rId20" Type="http://schemas.openxmlformats.org/officeDocument/2006/relationships/hyperlink" Target="https://zenodo.org/records/8030790" TargetMode="External"/><Relationship Id="rId41" Type="http://schemas.openxmlformats.org/officeDocument/2006/relationships/hyperlink" Target="https://github.com/Zhi-JSNU/EQI" TargetMode="External"/><Relationship Id="rId54" Type="http://schemas.openxmlformats.org/officeDocument/2006/relationships/hyperlink" Target="https://figshare.com/articles/dataset/Using_the_SOCIO_Chatbot_for_UML_Modelling_A_Family_of_Experiments/19142012" TargetMode="External"/><Relationship Id="rId62" Type="http://schemas.openxmlformats.org/officeDocument/2006/relationships/hyperlink" Target="https://goo.gl/JPl47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37"/>
  <sheetViews>
    <sheetView tabSelected="1" workbookViewId="0">
      <pane ySplit="1" topLeftCell="A2" activePane="bottomLeft" state="frozen"/>
      <selection pane="bottomLeft" activeCell="I29" sqref="I29"/>
    </sheetView>
  </sheetViews>
  <sheetFormatPr defaultColWidth="12.6640625" defaultRowHeight="15.75" customHeight="1" x14ac:dyDescent="0.25"/>
  <cols>
    <col min="1" max="1" width="3.88671875" customWidth="1"/>
    <col min="2" max="2" width="62.6640625" customWidth="1"/>
    <col min="3" max="3" width="7.6640625" customWidth="1"/>
    <col min="4" max="4" width="8.88671875" customWidth="1"/>
    <col min="5" max="5" width="6.33203125" customWidth="1"/>
    <col min="6" max="6" width="7.6640625" customWidth="1"/>
    <col min="7" max="7" width="8.88671875" customWidth="1"/>
    <col min="8" max="8" width="6.33203125" customWidth="1"/>
    <col min="9" max="9" width="50.109375" customWidth="1"/>
  </cols>
  <sheetData>
    <row r="1" spans="1:9" x14ac:dyDescent="0.25">
      <c r="A1" s="1" t="s">
        <v>0</v>
      </c>
      <c r="B1" s="2" t="s">
        <v>1</v>
      </c>
      <c r="C1" s="3" t="s">
        <v>2</v>
      </c>
      <c r="D1" s="1" t="s">
        <v>3</v>
      </c>
      <c r="E1" s="1" t="s">
        <v>4</v>
      </c>
      <c r="F1" s="3" t="s">
        <v>5</v>
      </c>
      <c r="G1" s="1" t="s">
        <v>6</v>
      </c>
      <c r="H1" s="4" t="s">
        <v>7</v>
      </c>
      <c r="I1" s="2" t="s">
        <v>8</v>
      </c>
    </row>
    <row r="2" spans="1:9" x14ac:dyDescent="0.25">
      <c r="A2" s="5">
        <v>1</v>
      </c>
      <c r="B2" s="6" t="str">
        <f ca="1">IFERROR(__xludf.DUMMYFUNCTION("IMPORTRANGE(""https://docs.google.com/spreadsheets/d/1XUJGjtfB9SoW1rbohdkE9Z52MKac6AJzLHIsCSLTjGo/edit#gid=0"", ""Primary Studies!G2:G137"")"),"Wyrich, M., Bogner, J., &amp; Wagner, S. (2023). 40 years of designing code comprehension experiments: A systematic mapping study. ACM Computing Surveys, 56(4), 1-42.")</f>
        <v>Wyrich, M., Bogner, J., &amp; Wagner, S. (2023). 40 years of designing code comprehension experiments: A systematic mapping study. ACM Computing Surveys, 56(4), 1-42.</v>
      </c>
      <c r="C2" s="7" t="b">
        <f ca="1">IFERROR(__xludf.DUMMYFUNCTION("IMPORTRANGE(""https://docs.google.com/spreadsheets/d/1XUJGjtfB9SoW1rbohdkE9Z52MKac6AJzLHIsCSLTjGo/edit#gid=0"", ""Primary Studies!T2:T137"")"),FALSE)</f>
        <v>0</v>
      </c>
      <c r="D2" s="5" t="str">
        <f ca="1">IFERROR(__xludf.DUMMYFUNCTION("IMPORTRANGE(""https://docs.google.com/spreadsheets/d/1XUJGjtfB9SoW1rbohdkE9Z52MKac6AJzLHIsCSLTjGo/edit#gid=0"", ""Primary Studies!C2:C137"")"),"rater1")</f>
        <v>rater1</v>
      </c>
      <c r="E2" s="5" t="str">
        <f ca="1">IF(C2, COUNTIF(Extraction!A:A, A2), "-")</f>
        <v>-</v>
      </c>
      <c r="F2" s="7" t="b">
        <f ca="1">IFERROR(__xludf.DUMMYFUNCTION("(COUNTIF(IMPORTRANGE(""https://docs.google.com/spreadsheets/d/1XUJGjtfB9SoW1rbohdkE9Z52MKac6AJzLHIsCSLTjGo/edit#gid=0"", ""Overlap!A2:A15""), A2)&gt;0)"),FALSE)</f>
        <v>0</v>
      </c>
      <c r="G2" s="5" t="str">
        <f ca="1">IF(OR(NOT(C2), NOT(F2)), " ", IF(D2="rater1","rater2","rater1"))</f>
        <v xml:space="preserve"> </v>
      </c>
      <c r="H2" s="8" t="str">
        <f ca="1">IF(AND(C2,F2), COUNTIF(#REF!, A2), "-")</f>
        <v>-</v>
      </c>
      <c r="I2" s="6"/>
    </row>
    <row r="3" spans="1:9" x14ac:dyDescent="0.25">
      <c r="A3" s="5">
        <v>2</v>
      </c>
      <c r="B3" s="6" t="str">
        <f ca="1">IFERROR(__xludf.DUMMYFUNCTION("""COMPUTED_VALUE"""),"Kitchenham, B., Madeyski, L., &amp; Brereton, P. (2020). Meta-analysis for families of experiments in software engineering: a systematic review and reproducibility and validity assessment. Empirical Software Engineering, 25, 353-401.")</f>
        <v>Kitchenham, B., Madeyski, L., &amp; Brereton, P. (2020). Meta-analysis for families of experiments in software engineering: a systematic review and reproducibility and validity assessment. Empirical Software Engineering, 25, 353-401.</v>
      </c>
      <c r="C3" s="7" t="b">
        <f ca="1">IFERROR(__xludf.DUMMYFUNCTION("""COMPUTED_VALUE"""),FALSE)</f>
        <v>0</v>
      </c>
      <c r="D3" s="5" t="str">
        <f ca="1">IFERROR(__xludf.DUMMYFUNCTION("""COMPUTED_VALUE"""),"rater1")</f>
        <v>rater1</v>
      </c>
      <c r="E3" s="5" t="str">
        <f ca="1">IF(C3, COUNTIF(Extraction!A:A, A3), "-")</f>
        <v>-</v>
      </c>
      <c r="F3" s="7" t="b">
        <f ca="1">IFERROR(__xludf.DUMMYFUNCTION("(COUNTIF(IMPORTRANGE(""https://docs.google.com/spreadsheets/d/1XUJGjtfB9SoW1rbohdkE9Z52MKac6AJzLHIsCSLTjGo/edit#gid=0"", ""Overlap!A2:A15""), A3)&gt;0)"),FALSE)</f>
        <v>0</v>
      </c>
      <c r="G3" s="5" t="str">
        <f ca="1">IF(OR(NOT(C3), NOT(F3)), " ", IF(D3="rater1","rater2","rater1"))</f>
        <v xml:space="preserve"> </v>
      </c>
      <c r="H3" s="8" t="str">
        <f ca="1">IF(AND(C3,F3), COUNTIF(#REF!, A3), "-")</f>
        <v>-</v>
      </c>
      <c r="I3" s="6"/>
    </row>
    <row r="4" spans="1:9" x14ac:dyDescent="0.25">
      <c r="A4" s="5">
        <v>3</v>
      </c>
      <c r="B4" s="6" t="str">
        <f ca="1">IFERROR(__xludf.DUMMYFUNCTION("""COMPUTED_VALUE"""),"Rezaei, J., Arab, A., &amp; Mehregan, M. (2024). Analyzing anchoring bias in attribute weight elicitation of SMART, Swing, and best‐worst method. International Transactions in Operational Research, 31(2), 918-948.")</f>
        <v>Rezaei, J., Arab, A., &amp; Mehregan, M. (2024). Analyzing anchoring bias in attribute weight elicitation of SMART, Swing, and best‐worst method. International Transactions in Operational Research, 31(2), 918-948.</v>
      </c>
      <c r="C4" s="7" t="b">
        <f ca="1">IFERROR(__xludf.DUMMYFUNCTION("""COMPUTED_VALUE"""),FALSE)</f>
        <v>0</v>
      </c>
      <c r="D4" s="5" t="str">
        <f ca="1">IFERROR(__xludf.DUMMYFUNCTION("""COMPUTED_VALUE"""),"rater1")</f>
        <v>rater1</v>
      </c>
      <c r="E4" s="5" t="str">
        <f ca="1">IF(C4, COUNTIF(Extraction!A:A, A4), "-")</f>
        <v>-</v>
      </c>
      <c r="F4" s="7" t="b">
        <f ca="1">IFERROR(__xludf.DUMMYFUNCTION("(COUNTIF(IMPORTRANGE(""https://docs.google.com/spreadsheets/d/1XUJGjtfB9SoW1rbohdkE9Z52MKac6AJzLHIsCSLTjGo/edit#gid=0"", ""Overlap!A2:A15""), A4)&gt;0)"),FALSE)</f>
        <v>0</v>
      </c>
      <c r="G4" s="5" t="str">
        <f ca="1">IF(OR(NOT(C4), NOT(F4)), " ", IF(D4="rater1","rater2","rater1"))</f>
        <v xml:space="preserve"> </v>
      </c>
      <c r="H4" s="8" t="str">
        <f ca="1">IF(AND(C4,F4), COUNTIF(#REF!, A4), "-")</f>
        <v>-</v>
      </c>
      <c r="I4" s="6"/>
    </row>
    <row r="5" spans="1:9" x14ac:dyDescent="0.25">
      <c r="A5" s="5">
        <v>4</v>
      </c>
      <c r="B5" s="6" t="str">
        <f ca="1">IFERROR(__xludf.DUMMYFUNCTION("""COMPUTED_VALUE"""),"Sandobalin, J., Insfran, E., &amp; Abrahao, S. (2020). On the effectiveness of tools to support infrastructure as code: Model-driven versus code-centric. IEEE Access, 8, 17734-17761.")</f>
        <v>Sandobalin, J., Insfran, E., &amp; Abrahao, S. (2020). On the effectiveness of tools to support infrastructure as code: Model-driven versus code-centric. IEEE Access, 8, 17734-17761.</v>
      </c>
      <c r="C5" s="7" t="b">
        <f ca="1">IFERROR(__xludf.DUMMYFUNCTION("""COMPUTED_VALUE"""),TRUE)</f>
        <v>1</v>
      </c>
      <c r="D5" s="5" t="str">
        <f ca="1">IFERROR(__xludf.DUMMYFUNCTION("""COMPUTED_VALUE"""),"rater2")</f>
        <v>rater2</v>
      </c>
      <c r="E5" s="5">
        <f ca="1">IF(C5, COUNTIF(Extraction!A:A, A5), "-")</f>
        <v>3</v>
      </c>
      <c r="F5" s="7" t="b">
        <f ca="1">IFERROR(__xludf.DUMMYFUNCTION("(COUNTIF(IMPORTRANGE(""https://docs.google.com/spreadsheets/d/1XUJGjtfB9SoW1rbohdkE9Z52MKac6AJzLHIsCSLTjGo/edit#gid=0"", ""Overlap!A2:A15""), A5)&gt;0)"),FALSE)</f>
        <v>0</v>
      </c>
      <c r="G5" s="5" t="str">
        <f ca="1">IF(OR(NOT(C5), NOT(F5)), " ", IF(D5="rater1","rater2","rater1"))</f>
        <v xml:space="preserve"> </v>
      </c>
      <c r="H5" s="8" t="str">
        <f ca="1">IF(AND(C5,F5), COUNTIF(#REF!, A5), "-")</f>
        <v>-</v>
      </c>
      <c r="I5" s="6"/>
    </row>
    <row r="6" spans="1:9" x14ac:dyDescent="0.25">
      <c r="A6" s="5">
        <v>5</v>
      </c>
      <c r="B6" s="6" t="str">
        <f ca="1">IFERROR(__xludf.DUMMYFUNCTION("""COMPUTED_VALUE"""),"Zhang, D. Y., Wang, D., &amp; Zhang, Y. (2017, December). Constraint-aware dynamic truth discovery in big data social media sensing. In 2017 IEEE International Conference on Big Data (Big Data) (pp. 57-66). IEEE.")</f>
        <v>Zhang, D. Y., Wang, D., &amp; Zhang, Y. (2017, December). Constraint-aware dynamic truth discovery in big data social media sensing. In 2017 IEEE International Conference on Big Data (Big Data) (pp. 57-66). IEEE.</v>
      </c>
      <c r="C6" s="7" t="b">
        <f ca="1">IFERROR(__xludf.DUMMYFUNCTION("""COMPUTED_VALUE"""),FALSE)</f>
        <v>0</v>
      </c>
      <c r="D6" s="5" t="str">
        <f ca="1">IFERROR(__xludf.DUMMYFUNCTION("""COMPUTED_VALUE"""),"rater1")</f>
        <v>rater1</v>
      </c>
      <c r="E6" s="5" t="str">
        <f ca="1">IF(C6, COUNTIF(Extraction!A:A, A6), "-")</f>
        <v>-</v>
      </c>
      <c r="F6" s="7" t="b">
        <f ca="1">IFERROR(__xludf.DUMMYFUNCTION("(COUNTIF(IMPORTRANGE(""https://docs.google.com/spreadsheets/d/1XUJGjtfB9SoW1rbohdkE9Z52MKac6AJzLHIsCSLTjGo/edit#gid=0"", ""Overlap!A2:A15""), A6)&gt;0)"),FALSE)</f>
        <v>0</v>
      </c>
      <c r="G6" s="5" t="str">
        <f ca="1">IF(OR(NOT(C6), NOT(F6)), " ", IF(D6="rater1","rater2","rater1"))</f>
        <v xml:space="preserve"> </v>
      </c>
      <c r="H6" s="8" t="str">
        <f ca="1">IF(AND(C6,F6), COUNTIF(#REF!, A6), "-")</f>
        <v>-</v>
      </c>
      <c r="I6" s="6"/>
    </row>
    <row r="7" spans="1:9" x14ac:dyDescent="0.25">
      <c r="A7" s="5">
        <v>6</v>
      </c>
      <c r="B7" s="6" t="str">
        <f ca="1">IFERROR(__xludf.DUMMYFUNCTION("""COMPUTED_VALUE"""),"Trkman, M., Mendling, J., Trkman, P., &amp; Krisper, M. (2019). Impact of the conceptual model's representation format on identifying and understanding user stories. Information and software technology, 116, 106169.")</f>
        <v>Trkman, M., Mendling, J., Trkman, P., &amp; Krisper, M. (2019). Impact of the conceptual model's representation format on identifying and understanding user stories. Information and software technology, 116, 106169.</v>
      </c>
      <c r="C7" s="7" t="b">
        <f ca="1">IFERROR(__xludf.DUMMYFUNCTION("""COMPUTED_VALUE"""),TRUE)</f>
        <v>1</v>
      </c>
      <c r="D7" s="5" t="str">
        <f ca="1">IFERROR(__xludf.DUMMYFUNCTION("""COMPUTED_VALUE"""),"rater2")</f>
        <v>rater2</v>
      </c>
      <c r="E7" s="5">
        <f ca="1">IF(C7, COUNTIF(Extraction!A:A, A7), "-")</f>
        <v>1</v>
      </c>
      <c r="F7" s="7" t="b">
        <f ca="1">IFERROR(__xludf.DUMMYFUNCTION("(COUNTIF(IMPORTRANGE(""https://docs.google.com/spreadsheets/d/1XUJGjtfB9SoW1rbohdkE9Z52MKac6AJzLHIsCSLTjGo/edit#gid=0"", ""Overlap!A2:A15""), A7)&gt;0)"),TRUE)</f>
        <v>1</v>
      </c>
      <c r="G7" s="5" t="str">
        <f ca="1">IF(OR(NOT(C7), NOT(F7)), " ", IF(D7="rater1","rater2","rater1"))</f>
        <v>rater1</v>
      </c>
      <c r="H7" s="8" t="e">
        <f ca="1">IF(AND(C7,F7), COUNTIF(#REF!, A7), "-")</f>
        <v>#REF!</v>
      </c>
      <c r="I7" s="6"/>
    </row>
    <row r="8" spans="1:9" x14ac:dyDescent="0.25">
      <c r="A8" s="5">
        <v>7</v>
      </c>
      <c r="B8" s="6" t="str">
        <f ca="1">IFERROR(__xludf.DUMMYFUNCTION("""COMPUTED_VALUE"""),"Amaro, I., Barra, P., Della Greca, A., Francese, R., &amp; Tucci, C. (2023). Believe in Artificial Intelligence? A User Study on the ChatGPT’s Fake Information Impact. IEEE Transactions on Computational Social Systems.")</f>
        <v>Amaro, I., Barra, P., Della Greca, A., Francese, R., &amp; Tucci, C. (2023). Believe in Artificial Intelligence? A User Study on the ChatGPT’s Fake Information Impact. IEEE Transactions on Computational Social Systems.</v>
      </c>
      <c r="C8" s="7" t="b">
        <f ca="1">IFERROR(__xludf.DUMMYFUNCTION("""COMPUTED_VALUE"""),TRUE)</f>
        <v>1</v>
      </c>
      <c r="D8" s="5" t="str">
        <f ca="1">IFERROR(__xludf.DUMMYFUNCTION("""COMPUTED_VALUE"""),"rater1")</f>
        <v>rater1</v>
      </c>
      <c r="E8" s="5">
        <f ca="1">IF(C8, COUNTIF(Extraction!A:A, A8), "-")</f>
        <v>1</v>
      </c>
      <c r="F8" s="7" t="b">
        <f ca="1">IFERROR(__xludf.DUMMYFUNCTION("(COUNTIF(IMPORTRANGE(""https://docs.google.com/spreadsheets/d/1XUJGjtfB9SoW1rbohdkE9Z52MKac6AJzLHIsCSLTjGo/edit#gid=0"", ""Overlap!A2:A15""), A8)&gt;0)"),FALSE)</f>
        <v>0</v>
      </c>
      <c r="G8" s="5" t="str">
        <f ca="1">IF(OR(NOT(C8), NOT(F8)), " ", IF(D8="rater1","rater2","rater1"))</f>
        <v xml:space="preserve"> </v>
      </c>
      <c r="H8" s="8" t="str">
        <f ca="1">IF(AND(C8,F8), COUNTIF(#REF!, A8), "-")</f>
        <v>-</v>
      </c>
      <c r="I8" s="6"/>
    </row>
    <row r="9" spans="1:9" x14ac:dyDescent="0.25">
      <c r="A9" s="5">
        <v>8</v>
      </c>
      <c r="B9" s="6" t="str">
        <f ca="1">IFERROR(__xludf.DUMMYFUNCTION("""COMPUTED_VALUE"""),"Kummer, T. F., &amp; Mendling, J. (2021). The effect of risk representation using colors and symbols in business process models on operational risk management performance. Journal of the Association for Information Systems, 22(3), 649-694.")</f>
        <v>Kummer, T. F., &amp; Mendling, J. (2021). The effect of risk representation using colors and symbols in business process models on operational risk management performance. Journal of the Association for Information Systems, 22(3), 649-694.</v>
      </c>
      <c r="C9" s="7" t="b">
        <f ca="1">IFERROR(__xludf.DUMMYFUNCTION("""COMPUTED_VALUE"""),FALSE)</f>
        <v>0</v>
      </c>
      <c r="D9" s="5" t="str">
        <f ca="1">IFERROR(__xludf.DUMMYFUNCTION("""COMPUTED_VALUE"""),"rater2")</f>
        <v>rater2</v>
      </c>
      <c r="E9" s="5" t="str">
        <f ca="1">IF(C9, COUNTIF(Extraction!A:A, A9), "-")</f>
        <v>-</v>
      </c>
      <c r="F9" s="7" t="b">
        <f ca="1">IFERROR(__xludf.DUMMYFUNCTION("(COUNTIF(IMPORTRANGE(""https://docs.google.com/spreadsheets/d/1XUJGjtfB9SoW1rbohdkE9Z52MKac6AJzLHIsCSLTjGo/edit#gid=0"", ""Overlap!A2:A15""), A9)&gt;0)"),FALSE)</f>
        <v>0</v>
      </c>
      <c r="G9" s="5" t="str">
        <f ca="1">IF(OR(NOT(C9), NOT(F9)), " ", IF(D9="rater1","rater2","rater1"))</f>
        <v xml:space="preserve"> </v>
      </c>
      <c r="H9" s="8" t="str">
        <f ca="1">IF(AND(C9,F9), COUNTIF(#REF!, A9), "-")</f>
        <v>-</v>
      </c>
      <c r="I9" s="6"/>
    </row>
    <row r="10" spans="1:9" x14ac:dyDescent="0.25">
      <c r="A10" s="5">
        <v>9</v>
      </c>
      <c r="B10" s="6" t="str">
        <f ca="1">IFERROR(__xludf.DUMMYFUNCTION("""COMPUTED_VALUE"""),"Bogner, J., Kotstein, S., &amp; Pfaff, T. (2023). Do RESTful API design rules have an impact on the understandability of Web APIs?. Empirical software engineering, 28(6), 132.")</f>
        <v>Bogner, J., Kotstein, S., &amp; Pfaff, T. (2023). Do RESTful API design rules have an impact on the understandability of Web APIs?. Empirical software engineering, 28(6), 132.</v>
      </c>
      <c r="C10" s="7" t="b">
        <f ca="1">IFERROR(__xludf.DUMMYFUNCTION("""COMPUTED_VALUE"""),TRUE)</f>
        <v>1</v>
      </c>
      <c r="D10" s="5" t="str">
        <f ca="1">IFERROR(__xludf.DUMMYFUNCTION("""COMPUTED_VALUE"""),"rater1")</f>
        <v>rater1</v>
      </c>
      <c r="E10" s="5">
        <f ca="1">IF(C10, COUNTIF(Extraction!A:A, A10), "-")</f>
        <v>1</v>
      </c>
      <c r="F10" s="7" t="b">
        <f ca="1">IFERROR(__xludf.DUMMYFUNCTION("(COUNTIF(IMPORTRANGE(""https://docs.google.com/spreadsheets/d/1XUJGjtfB9SoW1rbohdkE9Z52MKac6AJzLHIsCSLTjGo/edit#gid=0"", ""Overlap!A2:A15""), A10)&gt;0)"),TRUE)</f>
        <v>1</v>
      </c>
      <c r="G10" s="5" t="str">
        <f ca="1">IF(OR(NOT(C10), NOT(F10)), " ", IF(D10="rater1","rater2","rater1"))</f>
        <v>rater2</v>
      </c>
      <c r="H10" s="8" t="e">
        <f ca="1">IF(AND(C10,F10), COUNTIF(#REF!, A10), "-")</f>
        <v>#REF!</v>
      </c>
      <c r="I10" s="6"/>
    </row>
    <row r="11" spans="1:9" x14ac:dyDescent="0.25">
      <c r="A11" s="5">
        <v>10</v>
      </c>
      <c r="B11" s="6" t="str">
        <f ca="1">IFERROR(__xludf.DUMMYFUNCTION("""COMPUTED_VALUE"""),"Politowski, C., Khomh, F., Romano, S., Scanniello, G., Petrillo, F., Guéhéneuc, Y. G., &amp; Maiga, A. (2020). A large scale empirical study of the impact of spaghetti code and blob anti-patterns on program comprehension. Information and Software Technology, "&amp;"122, 106278.")</f>
        <v>Politowski, C., Khomh, F., Romano, S., Scanniello, G., Petrillo, F., Guéhéneuc, Y. G., &amp; Maiga, A. (2020). A large scale empirical study of the impact of spaghetti code and blob anti-patterns on program comprehension. Information and Software Technology, 122, 106278.</v>
      </c>
      <c r="C11" s="7" t="b">
        <f ca="1">IFERROR(__xludf.DUMMYFUNCTION("""COMPUTED_VALUE"""),TRUE)</f>
        <v>1</v>
      </c>
      <c r="D11" s="5" t="str">
        <f ca="1">IFERROR(__xludf.DUMMYFUNCTION("""COMPUTED_VALUE"""),"rater2")</f>
        <v>rater2</v>
      </c>
      <c r="E11" s="5">
        <f ca="1">IF(C11, COUNTIF(Extraction!A:A, A11), "-")</f>
        <v>2</v>
      </c>
      <c r="F11" s="7" t="b">
        <f ca="1">IFERROR(__xludf.DUMMYFUNCTION("(COUNTIF(IMPORTRANGE(""https://docs.google.com/spreadsheets/d/1XUJGjtfB9SoW1rbohdkE9Z52MKac6AJzLHIsCSLTjGo/edit#gid=0"", ""Overlap!A2:A15""), A11)&gt;0)"),FALSE)</f>
        <v>0</v>
      </c>
      <c r="G11" s="5" t="str">
        <f ca="1">IF(OR(NOT(C11), NOT(F11)), " ", IF(D11="rater1","rater2","rater1"))</f>
        <v xml:space="preserve"> </v>
      </c>
      <c r="H11" s="8" t="str">
        <f ca="1">IF(AND(C11,F11), COUNTIF(#REF!, A11), "-")</f>
        <v>-</v>
      </c>
      <c r="I11" s="6"/>
    </row>
    <row r="12" spans="1:9" x14ac:dyDescent="0.25">
      <c r="A12" s="5">
        <v>11</v>
      </c>
      <c r="B12" s="6" t="str">
        <f ca="1">IFERROR(__xludf.DUMMYFUNCTION("""COMPUTED_VALUE"""),"de la Vara, J. L., Marín, B., Ayora, C., &amp; Giachetti, G. (2020). An empirical evaluation of the use of models to improve the understanding of safety compliance needs. Information and Software Technology, 126, 106351.")</f>
        <v>de la Vara, J. L., Marín, B., Ayora, C., &amp; Giachetti, G. (2020). An empirical evaluation of the use of models to improve the understanding of safety compliance needs. Information and Software Technology, 126, 106351.</v>
      </c>
      <c r="C12" s="7" t="b">
        <f ca="1">IFERROR(__xludf.DUMMYFUNCTION("""COMPUTED_VALUE"""),TRUE)</f>
        <v>1</v>
      </c>
      <c r="D12" s="5" t="str">
        <f ca="1">IFERROR(__xludf.DUMMYFUNCTION("""COMPUTED_VALUE"""),"rater1")</f>
        <v>rater1</v>
      </c>
      <c r="E12" s="5">
        <f ca="1">IF(C12, COUNTIF(Extraction!A:A, A12), "-")</f>
        <v>1</v>
      </c>
      <c r="F12" s="7" t="b">
        <f ca="1">IFERROR(__xludf.DUMMYFUNCTION("(COUNTIF(IMPORTRANGE(""https://docs.google.com/spreadsheets/d/1XUJGjtfB9SoW1rbohdkE9Z52MKac6AJzLHIsCSLTjGo/edit#gid=0"", ""Overlap!A2:A15""), A12)&gt;0)"),FALSE)</f>
        <v>0</v>
      </c>
      <c r="G12" s="5" t="str">
        <f ca="1">IF(OR(NOT(C12), NOT(F12)), " ", IF(D12="rater1","rater2","rater1"))</f>
        <v xml:space="preserve"> </v>
      </c>
      <c r="H12" s="8" t="str">
        <f ca="1">IF(AND(C12,F12), COUNTIF(#REF!, A12), "-")</f>
        <v>-</v>
      </c>
      <c r="I12" s="6"/>
    </row>
    <row r="13" spans="1:9" x14ac:dyDescent="0.25">
      <c r="A13" s="5">
        <v>12</v>
      </c>
      <c r="B13" s="6" t="str">
        <f ca="1">IFERROR(__xludf.DUMMYFUNCTION("""COMPUTED_VALUE"""),"Ralph, P., Baltes, S., Bianculli, D., Dittrich, Y., Felderer, M., Feldt, R., ... &amp; Vegas, S. (2020). ACM SIGSOFT empirical standards.")</f>
        <v>Ralph, P., Baltes, S., Bianculli, D., Dittrich, Y., Felderer, M., Feldt, R., ... &amp; Vegas, S. (2020). ACM SIGSOFT empirical standards.</v>
      </c>
      <c r="C13" s="7" t="b">
        <f ca="1">IFERROR(__xludf.DUMMYFUNCTION("""COMPUTED_VALUE"""),FALSE)</f>
        <v>0</v>
      </c>
      <c r="D13" s="5" t="str">
        <f ca="1">IFERROR(__xludf.DUMMYFUNCTION("""COMPUTED_VALUE"""),"rater1")</f>
        <v>rater1</v>
      </c>
      <c r="E13" s="5" t="str">
        <f ca="1">IF(C13, COUNTIF(Extraction!A:A, A13), "-")</f>
        <v>-</v>
      </c>
      <c r="F13" s="7" t="b">
        <f ca="1">IFERROR(__xludf.DUMMYFUNCTION("(COUNTIF(IMPORTRANGE(""https://docs.google.com/spreadsheets/d/1XUJGjtfB9SoW1rbohdkE9Z52MKac6AJzLHIsCSLTjGo/edit#gid=0"", ""Overlap!A2:A15""), A13)&gt;0)"),FALSE)</f>
        <v>0</v>
      </c>
      <c r="G13" s="5" t="str">
        <f ca="1">IF(OR(NOT(C13), NOT(F13)), " ", IF(D13="rater1","rater2","rater1"))</f>
        <v xml:space="preserve"> </v>
      </c>
      <c r="H13" s="8" t="str">
        <f ca="1">IF(AND(C13,F13), COUNTIF(#REF!, A13), "-")</f>
        <v>-</v>
      </c>
      <c r="I13" s="6"/>
    </row>
    <row r="14" spans="1:9" x14ac:dyDescent="0.25">
      <c r="A14" s="5">
        <v>13</v>
      </c>
      <c r="B14" s="6" t="str">
        <f ca="1">IFERROR(__xludf.DUMMYFUNCTION("""COMPUTED_VALUE"""),"Madeyski, L., &amp; Kitchenham, B. (2017). Would wider adoption of reproducible research be beneficial for empirical software engineering research?. Journal of Intelligent &amp; Fuzzy Systems, 32(2), 1509-1521.")</f>
        <v>Madeyski, L., &amp; Kitchenham, B. (2017). Would wider adoption of reproducible research be beneficial for empirical software engineering research?. Journal of Intelligent &amp; Fuzzy Systems, 32(2), 1509-1521.</v>
      </c>
      <c r="C14" s="7" t="b">
        <f ca="1">IFERROR(__xludf.DUMMYFUNCTION("""COMPUTED_VALUE"""),FALSE)</f>
        <v>0</v>
      </c>
      <c r="D14" s="5" t="str">
        <f ca="1">IFERROR(__xludf.DUMMYFUNCTION("""COMPUTED_VALUE"""),"rater2")</f>
        <v>rater2</v>
      </c>
      <c r="E14" s="5" t="str">
        <f ca="1">IF(C14, COUNTIF(Extraction!A:A, A14), "-")</f>
        <v>-</v>
      </c>
      <c r="F14" s="7" t="b">
        <f ca="1">IFERROR(__xludf.DUMMYFUNCTION("(COUNTIF(IMPORTRANGE(""https://docs.google.com/spreadsheets/d/1XUJGjtfB9SoW1rbohdkE9Z52MKac6AJzLHIsCSLTjGo/edit#gid=0"", ""Overlap!A2:A15""), A14)&gt;0)"),TRUE)</f>
        <v>1</v>
      </c>
      <c r="G14" s="5" t="str">
        <f ca="1">IF(OR(NOT(C14), NOT(F14)), " ", IF(D14="rater1","rater2","rater1"))</f>
        <v xml:space="preserve"> </v>
      </c>
      <c r="H14" s="8" t="str">
        <f ca="1">IF(AND(C14,F14), COUNTIF(#REF!, A14), "-")</f>
        <v>-</v>
      </c>
      <c r="I14" s="6"/>
    </row>
    <row r="15" spans="1:9" x14ac:dyDescent="0.25">
      <c r="A15" s="5">
        <v>14</v>
      </c>
      <c r="B15" s="6" t="str">
        <f ca="1">IFERROR(__xludf.DUMMYFUNCTION("""COMPUTED_VALUE"""),"Fucci, D., Scanniello, G., Romano, S., Shepperd, M., Sigweni, B., Uyaguari, F., ... &amp; Oivo, M. (2016, September). An external replication on the effects of test-driven development using a multi-site blind analysis approach. In Proceedings of the 10th ACM/"&amp;"IEEE International Symposium on Empirical Software Engineering and Measurement (pp. 1-10).")</f>
        <v>Fucci, D., Scanniello, G., Romano, S., Shepperd, M., Sigweni, B., Uyaguari, F., ... &amp; Oivo, M. (2016, September). An external replication on the effects of test-driven development using a multi-site blind analysis approach. In Proceedings of the 10th ACM/IEEE International Symposium on Empirical Software Engineering and Measurement (pp. 1-10).</v>
      </c>
      <c r="C15" s="7" t="b">
        <f ca="1">IFERROR(__xludf.DUMMYFUNCTION("""COMPUTED_VALUE"""),TRUE)</f>
        <v>1</v>
      </c>
      <c r="D15" s="5" t="str">
        <f ca="1">IFERROR(__xludf.DUMMYFUNCTION("""COMPUTED_VALUE"""),"rater2")</f>
        <v>rater2</v>
      </c>
      <c r="E15" s="5">
        <f ca="1">IF(C15, COUNTIF(Extraction!A:A, A15), "-")</f>
        <v>1</v>
      </c>
      <c r="F15" s="7" t="b">
        <f ca="1">IFERROR(__xludf.DUMMYFUNCTION("(COUNTIF(IMPORTRANGE(""https://docs.google.com/spreadsheets/d/1XUJGjtfB9SoW1rbohdkE9Z52MKac6AJzLHIsCSLTjGo/edit#gid=0"", ""Overlap!A2:A15""), A15)&gt;0)"),TRUE)</f>
        <v>1</v>
      </c>
      <c r="G15" s="5" t="str">
        <f ca="1">IF(OR(NOT(C15), NOT(F15)), " ", IF(D15="rater1","rater2","rater1"))</f>
        <v>rater1</v>
      </c>
      <c r="H15" s="8" t="e">
        <f ca="1">IF(AND(C15,F15), COUNTIF(#REF!, A15), "-")</f>
        <v>#REF!</v>
      </c>
      <c r="I15" s="6"/>
    </row>
    <row r="16" spans="1:9" x14ac:dyDescent="0.25">
      <c r="A16" s="5">
        <v>15</v>
      </c>
      <c r="B16" s="6" t="str">
        <f ca="1">IFERROR(__xludf.DUMMYFUNCTION("""COMPUTED_VALUE"""),"Romano, S., Vendome, C., Scanniello, G., &amp; Poshyvanyk, D. (2018). A multi-study investigation into dead code. IEEE Transactions on Software Engineering, 46(1), 71-99.")</f>
        <v>Romano, S., Vendome, C., Scanniello, G., &amp; Poshyvanyk, D. (2018). A multi-study investigation into dead code. IEEE Transactions on Software Engineering, 46(1), 71-99.</v>
      </c>
      <c r="C16" s="7" t="b">
        <f ca="1">IFERROR(__xludf.DUMMYFUNCTION("""COMPUTED_VALUE"""),FALSE)</f>
        <v>0</v>
      </c>
      <c r="D16" s="5" t="str">
        <f ca="1">IFERROR(__xludf.DUMMYFUNCTION("""COMPUTED_VALUE"""),"rater2")</f>
        <v>rater2</v>
      </c>
      <c r="E16" s="5" t="str">
        <f ca="1">IF(C16, COUNTIF(Extraction!A:A, A16), "-")</f>
        <v>-</v>
      </c>
      <c r="F16" s="7" t="b">
        <f ca="1">IFERROR(__xludf.DUMMYFUNCTION("(COUNTIF(IMPORTRANGE(""https://docs.google.com/spreadsheets/d/1XUJGjtfB9SoW1rbohdkE9Z52MKac6AJzLHIsCSLTjGo/edit#gid=0"", ""Overlap!A2:A15""), A16)&gt;0)"),FALSE)</f>
        <v>0</v>
      </c>
      <c r="G16" s="5" t="str">
        <f ca="1">IF(OR(NOT(C16), NOT(F16)), " ", IF(D16="rater1","rater2","rater1"))</f>
        <v xml:space="preserve"> </v>
      </c>
      <c r="H16" s="8" t="str">
        <f ca="1">IF(AND(C16,F16), COUNTIF(#REF!, A16), "-")</f>
        <v>-</v>
      </c>
      <c r="I16" s="6"/>
    </row>
    <row r="17" spans="1:9" x14ac:dyDescent="0.25">
      <c r="A17" s="5">
        <v>16</v>
      </c>
      <c r="B17" s="6" t="str">
        <f ca="1">IFERROR(__xludf.DUMMYFUNCTION("""COMPUTED_VALUE"""),"Madeyski, L., &amp; Kitchenham, B. (2018, May). Effect sizes and their variance for AB/BA crossover design studies. In Proceedings of the 40th International Conference on Software Engineering (pp. 420-420).")</f>
        <v>Madeyski, L., &amp; Kitchenham, B. (2018, May). Effect sizes and their variance for AB/BA crossover design studies. In Proceedings of the 40th International Conference on Software Engineering (pp. 420-420).</v>
      </c>
      <c r="C17" s="7" t="b">
        <f ca="1">IFERROR(__xludf.DUMMYFUNCTION("""COMPUTED_VALUE"""),FALSE)</f>
        <v>0</v>
      </c>
      <c r="D17" s="5" t="str">
        <f ca="1">IFERROR(__xludf.DUMMYFUNCTION("""COMPUTED_VALUE"""),"rater1")</f>
        <v>rater1</v>
      </c>
      <c r="E17" s="5" t="str">
        <f ca="1">IF(C17, COUNTIF(Extraction!A:A, A17), "-")</f>
        <v>-</v>
      </c>
      <c r="F17" s="7" t="b">
        <f ca="1">IFERROR(__xludf.DUMMYFUNCTION("(COUNTIF(IMPORTRANGE(""https://docs.google.com/spreadsheets/d/1XUJGjtfB9SoW1rbohdkE9Z52MKac6AJzLHIsCSLTjGo/edit#gid=0"", ""Overlap!A2:A15""), A17)&gt;0)"),TRUE)</f>
        <v>1</v>
      </c>
      <c r="G17" s="5" t="str">
        <f ca="1">IF(OR(NOT(C17), NOT(F17)), " ", IF(D17="rater1","rater2","rater1"))</f>
        <v xml:space="preserve"> </v>
      </c>
      <c r="H17" s="8" t="str">
        <f ca="1">IF(AND(C17,F17), COUNTIF(#REF!, A17), "-")</f>
        <v>-</v>
      </c>
      <c r="I17" s="6"/>
    </row>
    <row r="18" spans="1:9" x14ac:dyDescent="0.25">
      <c r="A18" s="5">
        <v>17</v>
      </c>
      <c r="B18" s="6" t="str">
        <f ca="1">IFERROR(__xludf.DUMMYFUNCTION("""COMPUTED_VALUE"""),"Fucci, D., Scanniello, G., Romano, S., &amp; Juristo, N. (2018). Need for sleep: the impact of a night of sleep deprivation on novice developers’ performance. IEEE Transactions on Software Engineering, 46(1), 1-19.")</f>
        <v>Fucci, D., Scanniello, G., Romano, S., &amp; Juristo, N. (2018). Need for sleep: the impact of a night of sleep deprivation on novice developers’ performance. IEEE Transactions on Software Engineering, 46(1), 1-19.</v>
      </c>
      <c r="C18" s="7" t="b">
        <f ca="1">IFERROR(__xludf.DUMMYFUNCTION("""COMPUTED_VALUE"""),FALSE)</f>
        <v>0</v>
      </c>
      <c r="D18" s="5" t="str">
        <f ca="1">IFERROR(__xludf.DUMMYFUNCTION("""COMPUTED_VALUE"""),"rater2")</f>
        <v>rater2</v>
      </c>
      <c r="E18" s="5" t="str">
        <f ca="1">IF(C18, COUNTIF(Extraction!A:A, A18), "-")</f>
        <v>-</v>
      </c>
      <c r="F18" s="7" t="b">
        <f ca="1">IFERROR(__xludf.DUMMYFUNCTION("(COUNTIF(IMPORTRANGE(""https://docs.google.com/spreadsheets/d/1XUJGjtfB9SoW1rbohdkE9Z52MKac6AJzLHIsCSLTjGo/edit#gid=0"", ""Overlap!A2:A15""), A18)&gt;0)"),FALSE)</f>
        <v>0</v>
      </c>
      <c r="G18" s="5" t="str">
        <f ca="1">IF(OR(NOT(C18), NOT(F18)), " ", IF(D18="rater1","rater2","rater1"))</f>
        <v xml:space="preserve"> </v>
      </c>
      <c r="H18" s="8" t="str">
        <f ca="1">IF(AND(C18,F18), COUNTIF(#REF!, A18), "-")</f>
        <v>-</v>
      </c>
      <c r="I18" s="6"/>
    </row>
    <row r="19" spans="1:9" x14ac:dyDescent="0.25">
      <c r="A19" s="5">
        <v>18</v>
      </c>
      <c r="B19" s="6" t="str">
        <f ca="1">IFERROR(__xludf.DUMMYFUNCTION("""COMPUTED_VALUE"""),"Kitchenham, B., Madeyski, L., &amp; Brereton, P. (2019, April). Problems with statistical practice in human-centric software engineering experiments. In Proceedings of the 23rd International Conference on Evaluation and Assessment in Software Engineering (pp."&amp;" 134-143).")</f>
        <v>Kitchenham, B., Madeyski, L., &amp; Brereton, P. (2019, April). Problems with statistical practice in human-centric software engineering experiments. In Proceedings of the 23rd International Conference on Evaluation and Assessment in Software Engineering (pp. 134-143).</v>
      </c>
      <c r="C19" s="7" t="b">
        <f ca="1">IFERROR(__xludf.DUMMYFUNCTION("""COMPUTED_VALUE"""),FALSE)</f>
        <v>0</v>
      </c>
      <c r="D19" s="5" t="str">
        <f ca="1">IFERROR(__xludf.DUMMYFUNCTION("""COMPUTED_VALUE"""),"rater1")</f>
        <v>rater1</v>
      </c>
      <c r="E19" s="5" t="str">
        <f ca="1">IF(C19, COUNTIF(Extraction!A:A, A19), "-")</f>
        <v>-</v>
      </c>
      <c r="F19" s="7" t="b">
        <f ca="1">IFERROR(__xludf.DUMMYFUNCTION("(COUNTIF(IMPORTRANGE(""https://docs.google.com/spreadsheets/d/1XUJGjtfB9SoW1rbohdkE9Z52MKac6AJzLHIsCSLTjGo/edit#gid=0"", ""Overlap!A2:A15""), A19)&gt;0)"),FALSE)</f>
        <v>0</v>
      </c>
      <c r="G19" s="5" t="str">
        <f ca="1">IF(OR(NOT(C19), NOT(F19)), " ", IF(D19="rater1","rater2","rater1"))</f>
        <v xml:space="preserve"> </v>
      </c>
      <c r="H19" s="8" t="str">
        <f ca="1">IF(AND(C19,F19), COUNTIF(#REF!, A19), "-")</f>
        <v>-</v>
      </c>
      <c r="I19" s="6"/>
    </row>
    <row r="20" spans="1:9" x14ac:dyDescent="0.25">
      <c r="A20" s="5">
        <v>19</v>
      </c>
      <c r="B20" s="6" t="str">
        <f ca="1">IFERROR(__xludf.DUMMYFUNCTION("""COMPUTED_VALUE"""),"Romano, S., Zampetti, F., Baldassarre, M. T., Di Penta, M., &amp; Scanniello, G. (2022, September). Do static analysis tools affect software quality when using test-driven development?. In Proceedings of the 16th ACM/IEEE International Symposium on Empirical "&amp;"Software Engineering and Measurement (pp. 80-91).")</f>
        <v>Romano, S., Zampetti, F., Baldassarre, M. T., Di Penta, M., &amp; Scanniello, G. (2022, September). Do static analysis tools affect software quality when using test-driven development?. In Proceedings of the 16th ACM/IEEE International Symposium on Empirical Software Engineering and Measurement (pp. 80-91).</v>
      </c>
      <c r="C20" s="7" t="b">
        <f ca="1">IFERROR(__xludf.DUMMYFUNCTION("""COMPUTED_VALUE"""),FALSE)</f>
        <v>0</v>
      </c>
      <c r="D20" s="5" t="str">
        <f ca="1">IFERROR(__xludf.DUMMYFUNCTION("""COMPUTED_VALUE"""),"rater2")</f>
        <v>rater2</v>
      </c>
      <c r="E20" s="5" t="str">
        <f ca="1">IF(C20, COUNTIF(Extraction!A:A, A20), "-")</f>
        <v>-</v>
      </c>
      <c r="F20" s="7" t="b">
        <f ca="1">IFERROR(__xludf.DUMMYFUNCTION("(COUNTIF(IMPORTRANGE(""https://docs.google.com/spreadsheets/d/1XUJGjtfB9SoW1rbohdkE9Z52MKac6AJzLHIsCSLTjGo/edit#gid=0"", ""Overlap!A2:A15""), A20)&gt;0)"),FALSE)</f>
        <v>0</v>
      </c>
      <c r="G20" s="5" t="str">
        <f ca="1">IF(OR(NOT(C20), NOT(F20)), " ", IF(D20="rater1","rater2","rater1"))</f>
        <v xml:space="preserve"> </v>
      </c>
      <c r="H20" s="8" t="str">
        <f ca="1">IF(AND(C20,F20), COUNTIF(#REF!, A20), "-")</f>
        <v>-</v>
      </c>
      <c r="I20" s="6"/>
    </row>
    <row r="21" spans="1:9" x14ac:dyDescent="0.25">
      <c r="A21" s="5">
        <v>20</v>
      </c>
      <c r="B21" s="6" t="str">
        <f ca="1">IFERROR(__xludf.DUMMYFUNCTION("""COMPUTED_VALUE"""),"Ren, R., Castro, J. W., Santos, A., Pérez-Soler, S., Acuña, S. T., &amp; de Lara, J. (2020, April). Collaborative modelling: chatbots or on-line tools? an experimental study. In Proceedings of the 24th International Conference on Evaluation and Assessment in "&amp;"Software Engineering (pp. 260-269).")</f>
        <v>Ren, R., Castro, J. W., Santos, A., Pérez-Soler, S., Acuña, S. T., &amp; de Lara, J. (2020, April). Collaborative modelling: chatbots or on-line tools? an experimental study. In Proceedings of the 24th International Conference on Evaluation and Assessment in Software Engineering (pp. 260-269).</v>
      </c>
      <c r="C21" s="7" t="b">
        <f ca="1">IFERROR(__xludf.DUMMYFUNCTION("""COMPUTED_VALUE"""),FALSE)</f>
        <v>0</v>
      </c>
      <c r="D21" s="5" t="str">
        <f ca="1">IFERROR(__xludf.DUMMYFUNCTION("""COMPUTED_VALUE"""),"rater1")</f>
        <v>rater1</v>
      </c>
      <c r="E21" s="5" t="str">
        <f ca="1">IF(C21, COUNTIF(Extraction!A:A, A21), "-")</f>
        <v>-</v>
      </c>
      <c r="F21" s="7" t="b">
        <f ca="1">IFERROR(__xludf.DUMMYFUNCTION("(COUNTIF(IMPORTRANGE(""https://docs.google.com/spreadsheets/d/1XUJGjtfB9SoW1rbohdkE9Z52MKac6AJzLHIsCSLTjGo/edit#gid=0"", ""Overlap!A2:A15""), A21)&gt;0)"),FALSE)</f>
        <v>0</v>
      </c>
      <c r="G21" s="5" t="str">
        <f ca="1">IF(OR(NOT(C21), NOT(F21)), " ", IF(D21="rater1","rater2","rater1"))</f>
        <v xml:space="preserve"> </v>
      </c>
      <c r="H21" s="8" t="str">
        <f ca="1">IF(AND(C21,F21), COUNTIF(#REF!, A21), "-")</f>
        <v>-</v>
      </c>
      <c r="I21" s="6"/>
    </row>
    <row r="22" spans="1:9" x14ac:dyDescent="0.25">
      <c r="A22" s="5">
        <v>21</v>
      </c>
      <c r="B22" s="6" t="str">
        <f ca="1">IFERROR(__xludf.DUMMYFUNCTION("""COMPUTED_VALUE"""),"Li, X., Zheng, C., Pan, Z., Huang, Z., Niu, Y., Wang, P., &amp; Geng, W. (2023). Comparative Study on 2D and 3D User Interface for Eliminating Cognitive Loads in Augmented Reality Repetitive Tasks. International Journal of Human–Computer Interaction, 1-17.")</f>
        <v>Li, X., Zheng, C., Pan, Z., Huang, Z., Niu, Y., Wang, P., &amp; Geng, W. (2023). Comparative Study on 2D and 3D User Interface for Eliminating Cognitive Loads in Augmented Reality Repetitive Tasks. International Journal of Human–Computer Interaction, 1-17.</v>
      </c>
      <c r="C22" s="7" t="b">
        <f ca="1">IFERROR(__xludf.DUMMYFUNCTION("""COMPUTED_VALUE"""),FALSE)</f>
        <v>0</v>
      </c>
      <c r="D22" s="5" t="str">
        <f ca="1">IFERROR(__xludf.DUMMYFUNCTION("""COMPUTED_VALUE"""),"rater2")</f>
        <v>rater2</v>
      </c>
      <c r="E22" s="5" t="str">
        <f ca="1">IF(C22, COUNTIF(Extraction!A:A, A22), "-")</f>
        <v>-</v>
      </c>
      <c r="F22" s="7" t="b">
        <f ca="1">IFERROR(__xludf.DUMMYFUNCTION("(COUNTIF(IMPORTRANGE(""https://docs.google.com/spreadsheets/d/1XUJGjtfB9SoW1rbohdkE9Z52MKac6AJzLHIsCSLTjGo/edit#gid=0"", ""Overlap!A2:A15""), A22)&gt;0)"),FALSE)</f>
        <v>0</v>
      </c>
      <c r="G22" s="5" t="str">
        <f ca="1">IF(OR(NOT(C22), NOT(F22)), " ", IF(D22="rater1","rater2","rater1"))</f>
        <v xml:space="preserve"> </v>
      </c>
      <c r="H22" s="8" t="str">
        <f ca="1">IF(AND(C22,F22), COUNTIF(#REF!, A22), "-")</f>
        <v>-</v>
      </c>
      <c r="I22" s="6"/>
    </row>
    <row r="23" spans="1:9" x14ac:dyDescent="0.25">
      <c r="A23" s="5">
        <v>22</v>
      </c>
      <c r="B23" s="6" t="str">
        <f ca="1">IFERROR(__xludf.DUMMYFUNCTION("""COMPUTED_VALUE"""),"Dinga, M., Malavolta, I., Giamattei, L., Guerriero, A., &amp; Pietrantuono, R. (2023, November). An empirical evaluation of the energy and performance overhead of monitoring tools on docker-based systems. In International Conference on Service-Oriented Comput"&amp;"ing (pp. 181-196). Cham: Springer Nature Switzerland.")</f>
        <v>Dinga, M., Malavolta, I., Giamattei, L., Guerriero, A., &amp; Pietrantuono, R. (2023, November). An empirical evaluation of the energy and performance overhead of monitoring tools on docker-based systems. In International Conference on Service-Oriented Computing (pp. 181-196). Cham: Springer Nature Switzerland.</v>
      </c>
      <c r="C23" s="7" t="b">
        <f ca="1">IFERROR(__xludf.DUMMYFUNCTION("""COMPUTED_VALUE"""),FALSE)</f>
        <v>0</v>
      </c>
      <c r="D23" s="5" t="str">
        <f ca="1">IFERROR(__xludf.DUMMYFUNCTION("""COMPUTED_VALUE"""),"rater1")</f>
        <v>rater1</v>
      </c>
      <c r="E23" s="5" t="str">
        <f ca="1">IF(C23, COUNTIF(Extraction!A:A, A23), "-")</f>
        <v>-</v>
      </c>
      <c r="F23" s="7" t="b">
        <f ca="1">IFERROR(__xludf.DUMMYFUNCTION("(COUNTIF(IMPORTRANGE(""https://docs.google.com/spreadsheets/d/1XUJGjtfB9SoW1rbohdkE9Z52MKac6AJzLHIsCSLTjGo/edit#gid=0"", ""Overlap!A2:A15""), A23)&gt;0)"),FALSE)</f>
        <v>0</v>
      </c>
      <c r="G23" s="5" t="str">
        <f ca="1">IF(OR(NOT(C23), NOT(F23)), " ", IF(D23="rater1","rater2","rater1"))</f>
        <v xml:space="preserve"> </v>
      </c>
      <c r="H23" s="8" t="str">
        <f ca="1">IF(AND(C23,F23), COUNTIF(#REF!, A23), "-")</f>
        <v>-</v>
      </c>
      <c r="I23" s="6"/>
    </row>
    <row r="24" spans="1:9" x14ac:dyDescent="0.25">
      <c r="A24" s="5">
        <v>23</v>
      </c>
      <c r="B24" s="6" t="str">
        <f ca="1">IFERROR(__xludf.DUMMYFUNCTION("""COMPUTED_VALUE"""),"Baldassarre, M. T., Caivano, D., Fucci, D., Juristo, N., Romano, S., Scanniello, G., &amp; Turhan, B. (2021). Studying test-driven development and its retainment over a six-month time span. Journal of Systems and Software, 176, 110937.")</f>
        <v>Baldassarre, M. T., Caivano, D., Fucci, D., Juristo, N., Romano, S., Scanniello, G., &amp; Turhan, B. (2021). Studying test-driven development and its retainment over a six-month time span. Journal of Systems and Software, 176, 110937.</v>
      </c>
      <c r="C24" s="7" t="b">
        <f ca="1">IFERROR(__xludf.DUMMYFUNCTION("""COMPUTED_VALUE"""),FALSE)</f>
        <v>0</v>
      </c>
      <c r="D24" s="5" t="str">
        <f ca="1">IFERROR(__xludf.DUMMYFUNCTION("""COMPUTED_VALUE"""),"rater2")</f>
        <v>rater2</v>
      </c>
      <c r="E24" s="5" t="str">
        <f ca="1">IF(C24, COUNTIF(Extraction!A:A, A24), "-")</f>
        <v>-</v>
      </c>
      <c r="F24" s="7" t="b">
        <f ca="1">IFERROR(__xludf.DUMMYFUNCTION("(COUNTIF(IMPORTRANGE(""https://docs.google.com/spreadsheets/d/1XUJGjtfB9SoW1rbohdkE9Z52MKac6AJzLHIsCSLTjGo/edit#gid=0"", ""Overlap!A2:A15""), A24)&gt;0)"),FALSE)</f>
        <v>0</v>
      </c>
      <c r="G24" s="5" t="str">
        <f ca="1">IF(OR(NOT(C24), NOT(F24)), " ", IF(D24="rater1","rater2","rater1"))</f>
        <v xml:space="preserve"> </v>
      </c>
      <c r="H24" s="8" t="str">
        <f ca="1">IF(AND(C24,F24), COUNTIF(#REF!, A24), "-")</f>
        <v>-</v>
      </c>
      <c r="I24" s="6"/>
    </row>
    <row r="25" spans="1:9" x14ac:dyDescent="0.25">
      <c r="A25" s="5">
        <v>24</v>
      </c>
      <c r="B25" s="6" t="str">
        <f ca="1">IFERROR(__xludf.DUMMYFUNCTION("""COMPUTED_VALUE"""),"Santos, M., Gralha, C., Goulao, M., Araújo, J., Moreira, A., &amp; Cambeiro, J. (2016, September). What is the impact of bad layout in the understandability of social goal models?. In 2016 IEEE 24th International Requirements Engineering Conference (RE) (pp. "&amp;"206-215). IEEE.")</f>
        <v>Santos, M., Gralha, C., Goulao, M., Araújo, J., Moreira, A., &amp; Cambeiro, J. (2016, September). What is the impact of bad layout in the understandability of social goal models?. In 2016 IEEE 24th International Requirements Engineering Conference (RE) (pp. 206-215). IEEE.</v>
      </c>
      <c r="C25" s="7" t="b">
        <f ca="1">IFERROR(__xludf.DUMMYFUNCTION("""COMPUTED_VALUE"""),TRUE)</f>
        <v>1</v>
      </c>
      <c r="D25" s="5" t="str">
        <f ca="1">IFERROR(__xludf.DUMMYFUNCTION("""COMPUTED_VALUE"""),"rater1")</f>
        <v>rater1</v>
      </c>
      <c r="E25" s="5">
        <f ca="1">IF(C25, COUNTIF(Extraction!A:A, A25), "-")</f>
        <v>1</v>
      </c>
      <c r="F25" s="7" t="b">
        <f ca="1">IFERROR(__xludf.DUMMYFUNCTION("(COUNTIF(IMPORTRANGE(""https://docs.google.com/spreadsheets/d/1XUJGjtfB9SoW1rbohdkE9Z52MKac6AJzLHIsCSLTjGo/edit#gid=0"", ""Overlap!A2:A15""), A25)&gt;0)"),FALSE)</f>
        <v>0</v>
      </c>
      <c r="G25" s="5" t="str">
        <f ca="1">IF(OR(NOT(C25), NOT(F25)), " ", IF(D25="rater1","rater2","rater1"))</f>
        <v xml:space="preserve"> </v>
      </c>
      <c r="H25" s="8" t="str">
        <f ca="1">IF(AND(C25,F25), COUNTIF(#REF!, A25), "-")</f>
        <v>-</v>
      </c>
      <c r="I25" s="6"/>
    </row>
    <row r="26" spans="1:9" x14ac:dyDescent="0.25">
      <c r="A26" s="5">
        <v>25</v>
      </c>
      <c r="B26" s="6" t="str">
        <f ca="1">IFERROR(__xludf.DUMMYFUNCTION("""COMPUTED_VALUE"""),"Baatartogtokh, Y., Foster, I., &amp; Grubb, A. M. (2023, September). An Experiment on the Effects of Using Color to Visualize Requirements Analysis Tasks. In 2023 IEEE 31st International Requirements Engineering Conference (RE) (pp. 146-156). IEEE.")</f>
        <v>Baatartogtokh, Y., Foster, I., &amp; Grubb, A. M. (2023, September). An Experiment on the Effects of Using Color to Visualize Requirements Analysis Tasks. In 2023 IEEE 31st International Requirements Engineering Conference (RE) (pp. 146-156). IEEE.</v>
      </c>
      <c r="C26" s="7" t="b">
        <f ca="1">IFERROR(__xludf.DUMMYFUNCTION("""COMPUTED_VALUE"""),FALSE)</f>
        <v>0</v>
      </c>
      <c r="D26" s="5" t="str">
        <f ca="1">IFERROR(__xludf.DUMMYFUNCTION("""COMPUTED_VALUE"""),"rater2")</f>
        <v>rater2</v>
      </c>
      <c r="E26" s="5" t="str">
        <f ca="1">IF(C26, COUNTIF(Extraction!A:A, A26), "-")</f>
        <v>-</v>
      </c>
      <c r="F26" s="7" t="b">
        <f ca="1">IFERROR(__xludf.DUMMYFUNCTION("(COUNTIF(IMPORTRANGE(""https://docs.google.com/spreadsheets/d/1XUJGjtfB9SoW1rbohdkE9Z52MKac6AJzLHIsCSLTjGo/edit#gid=0"", ""Overlap!A2:A15""), A26)&gt;0)"),FALSE)</f>
        <v>0</v>
      </c>
      <c r="G26" s="5" t="str">
        <f ca="1">IF(OR(NOT(C26), NOT(F26)), " ", IF(D26="rater1","rater2","rater1"))</f>
        <v xml:space="preserve"> </v>
      </c>
      <c r="H26" s="8" t="str">
        <f ca="1">IF(AND(C26,F26), COUNTIF(#REF!, A26), "-")</f>
        <v>-</v>
      </c>
      <c r="I26" s="6"/>
    </row>
    <row r="27" spans="1:9" x14ac:dyDescent="0.25">
      <c r="A27" s="5">
        <v>26</v>
      </c>
      <c r="B27" s="6" t="str">
        <f ca="1">IFERROR(__xludf.DUMMYFUNCTION("""COMPUTED_VALUE"""),"Albuquerque, D., Guimarães, S. E., Perkusich, M., Rique, T., Cunha, F., Almeida, H., &amp; Perkusich, A. (2023). On the Assessment of Interactive Detection of Code Smells in Practice: A Controlled Experiment. IEEE Access.")</f>
        <v>Albuquerque, D., Guimarães, S. E., Perkusich, M., Rique, T., Cunha, F., Almeida, H., &amp; Perkusich, A. (2023). On the Assessment of Interactive Detection of Code Smells in Practice: A Controlled Experiment. IEEE Access.</v>
      </c>
      <c r="C27" s="7" t="b">
        <f ca="1">IFERROR(__xludf.DUMMYFUNCTION("""COMPUTED_VALUE"""),TRUE)</f>
        <v>1</v>
      </c>
      <c r="D27" s="5" t="str">
        <f ca="1">IFERROR(__xludf.DUMMYFUNCTION("""COMPUTED_VALUE"""),"rater1")</f>
        <v>rater1</v>
      </c>
      <c r="E27" s="5">
        <f ca="1">IF(C27, COUNTIF(Extraction!A:A, A27), "-")</f>
        <v>1</v>
      </c>
      <c r="F27" s="7" t="b">
        <f ca="1">IFERROR(__xludf.DUMMYFUNCTION("(COUNTIF(IMPORTRANGE(""https://docs.google.com/spreadsheets/d/1XUJGjtfB9SoW1rbohdkE9Z52MKac6AJzLHIsCSLTjGo/edit#gid=0"", ""Overlap!A2:A15""), A27)&gt;0)"),FALSE)</f>
        <v>0</v>
      </c>
      <c r="G27" s="5" t="str">
        <f ca="1">IF(OR(NOT(C27), NOT(F27)), " ", IF(D27="rater1","rater2","rater1"))</f>
        <v xml:space="preserve"> </v>
      </c>
      <c r="H27" s="8" t="str">
        <f ca="1">IF(AND(C27,F27), COUNTIF(#REF!, A27), "-")</f>
        <v>-</v>
      </c>
      <c r="I27" s="6"/>
    </row>
    <row r="28" spans="1:9" x14ac:dyDescent="0.25">
      <c r="A28" s="5">
        <v>27</v>
      </c>
      <c r="B28" s="6" t="str">
        <f ca="1">IFERROR(__xludf.DUMMYFUNCTION("""COMPUTED_VALUE"""),"Wang, W., Fraser, G., Bobbadi, M., Tabarsi, B. T., Barnes, T., Martens, C., ... &amp; Price, T. (2022, September). Pinpoint: A Record, Replay, and Extract System to Support Code Comprehension and Reuse. In 2022 IEEE Symposium on Visual Languages and Human-Cen"&amp;"tric Computing (VL/HCC) (pp. 1-10). IEEE.")</f>
        <v>Wang, W., Fraser, G., Bobbadi, M., Tabarsi, B. T., Barnes, T., Martens, C., ... &amp; Price, T. (2022, September). Pinpoint: A Record, Replay, and Extract System to Support Code Comprehension and Reuse. In 2022 IEEE Symposium on Visual Languages and Human-Centric Computing (VL/HCC) (pp. 1-10). IEEE.</v>
      </c>
      <c r="C28" s="7" t="b">
        <f ca="1">IFERROR(__xludf.DUMMYFUNCTION("""COMPUTED_VALUE"""),TRUE)</f>
        <v>1</v>
      </c>
      <c r="D28" s="5" t="str">
        <f ca="1">IFERROR(__xludf.DUMMYFUNCTION("""COMPUTED_VALUE"""),"rater2")</f>
        <v>rater2</v>
      </c>
      <c r="E28" s="5">
        <f ca="1">IF(C28, COUNTIF(Extraction!A:A, A28), "-")</f>
        <v>1</v>
      </c>
      <c r="F28" s="7" t="b">
        <f ca="1">IFERROR(__xludf.DUMMYFUNCTION("(COUNTIF(IMPORTRANGE(""https://docs.google.com/spreadsheets/d/1XUJGjtfB9SoW1rbohdkE9Z52MKac6AJzLHIsCSLTjGo/edit#gid=0"", ""Overlap!A2:A15""), A28)&gt;0)"),FALSE)</f>
        <v>0</v>
      </c>
      <c r="G28" s="5" t="str">
        <f ca="1">IF(OR(NOT(C28), NOT(F28)), " ", IF(D28="rater1","rater2","rater1"))</f>
        <v xml:space="preserve"> </v>
      </c>
      <c r="H28" s="8" t="str">
        <f ca="1">IF(AND(C28,F28), COUNTIF(#REF!, A28), "-")</f>
        <v>-</v>
      </c>
      <c r="I28" s="6"/>
    </row>
    <row r="29" spans="1:9" x14ac:dyDescent="0.25">
      <c r="A29" s="5">
        <v>28</v>
      </c>
      <c r="B29" s="6" t="str">
        <f ca="1">IFERROR(__xludf.DUMMYFUNCTION("""COMPUTED_VALUE"""),"Cruz, N. A., Melo, O. O., &amp; Martinez, C. A. (2024). A correlation structure for the analysis of Gaussian and non-Gaussian responses in crossover experimental designs with repeated measures. Statistical Papers, 65(1), 263-290.")</f>
        <v>Cruz, N. A., Melo, O. O., &amp; Martinez, C. A. (2024). A correlation structure for the analysis of Gaussian and non-Gaussian responses in crossover experimental designs with repeated measures. Statistical Papers, 65(1), 263-290.</v>
      </c>
      <c r="C29" s="7" t="b">
        <f ca="1">IFERROR(__xludf.DUMMYFUNCTION("""COMPUTED_VALUE"""),FALSE)</f>
        <v>0</v>
      </c>
      <c r="D29" s="5" t="str">
        <f ca="1">IFERROR(__xludf.DUMMYFUNCTION("""COMPUTED_VALUE"""),"rater1")</f>
        <v>rater1</v>
      </c>
      <c r="E29" s="5" t="str">
        <f ca="1">IF(C29, COUNTIF(Extraction!A:A, A29), "-")</f>
        <v>-</v>
      </c>
      <c r="F29" s="7" t="b">
        <f ca="1">IFERROR(__xludf.DUMMYFUNCTION("(COUNTIF(IMPORTRANGE(""https://docs.google.com/spreadsheets/d/1XUJGjtfB9SoW1rbohdkE9Z52MKac6AJzLHIsCSLTjGo/edit#gid=0"", ""Overlap!A2:A15""), A29)&gt;0)"),FALSE)</f>
        <v>0</v>
      </c>
      <c r="G29" s="5" t="str">
        <f ca="1">IF(OR(NOT(C29), NOT(F29)), " ", IF(D29="rater1","rater2","rater1"))</f>
        <v xml:space="preserve"> </v>
      </c>
      <c r="H29" s="8" t="str">
        <f ca="1">IF(AND(C29,F29), COUNTIF(#REF!, A29), "-")</f>
        <v>-</v>
      </c>
      <c r="I29" s="6"/>
    </row>
    <row r="30" spans="1:9" x14ac:dyDescent="0.25">
      <c r="A30" s="5">
        <v>29</v>
      </c>
      <c r="B30" s="6" t="str">
        <f ca="1">IFERROR(__xludf.DUMMYFUNCTION("""COMPUTED_VALUE"""),"Fucci, D., Romano, S., Baldassarre, M. T., Caivano, D., Scanniello, G., Turhan, B., &amp; Juristo, N. (2018, October). A longitudinal cohort study on the retainment of test-driven development. In Proceedings of the 12th ACM/IEEE International Symposium on Emp"&amp;"irical Software Engineering and Measurement (pp. 1-10).")</f>
        <v>Fucci, D., Romano, S., Baldassarre, M. T., Caivano, D., Scanniello, G., Turhan, B., &amp; Juristo, N. (2018, October). A longitudinal cohort study on the retainment of test-driven development. In Proceedings of the 12th ACM/IEEE International Symposium on Empirical Software Engineering and Measurement (pp. 1-10).</v>
      </c>
      <c r="C30" s="7" t="b">
        <f ca="1">IFERROR(__xludf.DUMMYFUNCTION("""COMPUTED_VALUE"""),TRUE)</f>
        <v>1</v>
      </c>
      <c r="D30" s="5" t="str">
        <f ca="1">IFERROR(__xludf.DUMMYFUNCTION("""COMPUTED_VALUE"""),"rater2")</f>
        <v>rater2</v>
      </c>
      <c r="E30" s="5">
        <f ca="1">IF(C30, COUNTIF(Extraction!A:A, A30), "-")</f>
        <v>1</v>
      </c>
      <c r="F30" s="7" t="b">
        <f ca="1">IFERROR(__xludf.DUMMYFUNCTION("(COUNTIF(IMPORTRANGE(""https://docs.google.com/spreadsheets/d/1XUJGjtfB9SoW1rbohdkE9Z52MKac6AJzLHIsCSLTjGo/edit#gid=0"", ""Overlap!A2:A15""), A30)&gt;0)"),FALSE)</f>
        <v>0</v>
      </c>
      <c r="G30" s="5" t="str">
        <f ca="1">IF(OR(NOT(C30), NOT(F30)), " ", IF(D30="rater1","rater2","rater1"))</f>
        <v xml:space="preserve"> </v>
      </c>
      <c r="H30" s="8" t="str">
        <f ca="1">IF(AND(C30,F30), COUNTIF(#REF!, A30), "-")</f>
        <v>-</v>
      </c>
      <c r="I30" s="6"/>
    </row>
    <row r="31" spans="1:9" x14ac:dyDescent="0.25">
      <c r="A31" s="5">
        <v>30</v>
      </c>
      <c r="B31" s="6" t="str">
        <f ca="1">IFERROR(__xludf.DUMMYFUNCTION("""COMPUTED_VALUE"""),"Domingo, Á., Echeverría, J., Pastor, Ó., &amp; Cetina, C. (2021, June). Comparing UML-based and DSL-based Modeling from Subjective and Objective Perspectives. In International Conference on Advanced Information Systems Engineering (pp. 483-498). Cham: Springe"&amp;"r International Publishing.")</f>
        <v>Domingo, Á., Echeverría, J., Pastor, Ó., &amp; Cetina, C. (2021, June). Comparing UML-based and DSL-based Modeling from Subjective and Objective Perspectives. In International Conference on Advanced Information Systems Engineering (pp. 483-498). Cham: Springer International Publishing.</v>
      </c>
      <c r="C31" s="7" t="b">
        <f ca="1">IFERROR(__xludf.DUMMYFUNCTION("""COMPUTED_VALUE"""),TRUE)</f>
        <v>1</v>
      </c>
      <c r="D31" s="5" t="str">
        <f ca="1">IFERROR(__xludf.DUMMYFUNCTION("""COMPUTED_VALUE"""),"rater2")</f>
        <v>rater2</v>
      </c>
      <c r="E31" s="5">
        <f ca="1">IF(C31, COUNTIF(Extraction!A:A, A31), "-")</f>
        <v>1</v>
      </c>
      <c r="F31" s="7" t="b">
        <f ca="1">IFERROR(__xludf.DUMMYFUNCTION("(COUNTIF(IMPORTRANGE(""https://docs.google.com/spreadsheets/d/1XUJGjtfB9SoW1rbohdkE9Z52MKac6AJzLHIsCSLTjGo/edit#gid=0"", ""Overlap!A2:A15""), A31)&gt;0)"),FALSE)</f>
        <v>0</v>
      </c>
      <c r="G31" s="5" t="str">
        <f ca="1">IF(OR(NOT(C31), NOT(F31)), " ", IF(D31="rater1","rater2","rater1"))</f>
        <v xml:space="preserve"> </v>
      </c>
      <c r="H31" s="8" t="str">
        <f ca="1">IF(AND(C31,F31), COUNTIF(#REF!, A31), "-")</f>
        <v>-</v>
      </c>
      <c r="I31" s="6"/>
    </row>
    <row r="32" spans="1:9" x14ac:dyDescent="0.25">
      <c r="A32" s="5">
        <v>31</v>
      </c>
      <c r="B32" s="6" t="str">
        <f ca="1">IFERROR(__xludf.DUMMYFUNCTION("""COMPUTED_VALUE"""),"Scanniello, G., Risi, M., Tramontana, P., &amp; Romano, S. (2017). Fixing faults in c and java source code: Abbreviated vs. full-word identifier names. ACM Transactions on Software Engineering and Methodology (TOSEM), 26(2), 1-43.")</f>
        <v>Scanniello, G., Risi, M., Tramontana, P., &amp; Romano, S. (2017). Fixing faults in c and java source code: Abbreviated vs. full-word identifier names. ACM Transactions on Software Engineering and Methodology (TOSEM), 26(2), 1-43.</v>
      </c>
      <c r="C32" s="7" t="b">
        <f ca="1">IFERROR(__xludf.DUMMYFUNCTION("""COMPUTED_VALUE"""),TRUE)</f>
        <v>1</v>
      </c>
      <c r="D32" s="5" t="str">
        <f ca="1">IFERROR(__xludf.DUMMYFUNCTION("""COMPUTED_VALUE"""),"rater1")</f>
        <v>rater1</v>
      </c>
      <c r="E32" s="5">
        <f ca="1">IF(C32, COUNTIF(Extraction!A:A, A32), "-")</f>
        <v>4</v>
      </c>
      <c r="F32" s="7" t="b">
        <f ca="1">IFERROR(__xludf.DUMMYFUNCTION("(COUNTIF(IMPORTRANGE(""https://docs.google.com/spreadsheets/d/1XUJGjtfB9SoW1rbohdkE9Z52MKac6AJzLHIsCSLTjGo/edit#gid=0"", ""Overlap!A2:A15""), A32)&gt;0)"),FALSE)</f>
        <v>0</v>
      </c>
      <c r="G32" s="5" t="str">
        <f ca="1">IF(OR(NOT(C32), NOT(F32)), " ", IF(D32="rater1","rater2","rater1"))</f>
        <v xml:space="preserve"> </v>
      </c>
      <c r="H32" s="8" t="str">
        <f ca="1">IF(AND(C32,F32), COUNTIF(#REF!, A32), "-")</f>
        <v>-</v>
      </c>
      <c r="I32" s="6"/>
    </row>
    <row r="33" spans="1:9" x14ac:dyDescent="0.25">
      <c r="A33" s="5">
        <v>32</v>
      </c>
      <c r="B33" s="6" t="str">
        <f ca="1">IFERROR(__xludf.DUMMYFUNCTION("""COMPUTED_VALUE"""),"Karac, I., Turhan, B., &amp; Juristo, N. (2019). A controlled experiment with novice developers on the impact of task description granularity on software quality in test-driven development. IEEE Transactions on Software Engineering, 47(7), 1315-1330.")</f>
        <v>Karac, I., Turhan, B., &amp; Juristo, N. (2019). A controlled experiment with novice developers on the impact of task description granularity on software quality in test-driven development. IEEE Transactions on Software Engineering, 47(7), 1315-1330.</v>
      </c>
      <c r="C33" s="7" t="b">
        <f ca="1">IFERROR(__xludf.DUMMYFUNCTION("""COMPUTED_VALUE"""),TRUE)</f>
        <v>1</v>
      </c>
      <c r="D33" s="5" t="str">
        <f ca="1">IFERROR(__xludf.DUMMYFUNCTION("""COMPUTED_VALUE"""),"rater2")</f>
        <v>rater2</v>
      </c>
      <c r="E33" s="5">
        <f ca="1">IF(C33, COUNTIF(Extraction!A:A, A33), "-")</f>
        <v>1</v>
      </c>
      <c r="F33" s="7" t="b">
        <f ca="1">IFERROR(__xludf.DUMMYFUNCTION("(COUNTIF(IMPORTRANGE(""https://docs.google.com/spreadsheets/d/1XUJGjtfB9SoW1rbohdkE9Z52MKac6AJzLHIsCSLTjGo/edit#gid=0"", ""Overlap!A2:A15""), A33)&gt;0)"),FALSE)</f>
        <v>0</v>
      </c>
      <c r="G33" s="5" t="str">
        <f ca="1">IF(OR(NOT(C33), NOT(F33)), " ", IF(D33="rater1","rater2","rater1"))</f>
        <v xml:space="preserve"> </v>
      </c>
      <c r="H33" s="8" t="str">
        <f ca="1">IF(AND(C33,F33), COUNTIF(#REF!, A33), "-")</f>
        <v>-</v>
      </c>
      <c r="I33" s="6"/>
    </row>
    <row r="34" spans="1:9" x14ac:dyDescent="0.25">
      <c r="A34" s="5">
        <v>33</v>
      </c>
      <c r="B34" s="6" t="str">
        <f ca="1">IFERROR(__xludf.DUMMYFUNCTION("""COMPUTED_VALUE"""),"Romano, S., Capece, N., Erra, U., Scanniello, G., &amp; Lanza, M. (2019). The city metaphor in software visualization: feelings, emotions, and thinking. Multimedia Tools and Applications, 78, 33113-33149.")</f>
        <v>Romano, S., Capece, N., Erra, U., Scanniello, G., &amp; Lanza, M. (2019). The city metaphor in software visualization: feelings, emotions, and thinking. Multimedia Tools and Applications, 78, 33113-33149.</v>
      </c>
      <c r="C34" s="7" t="b">
        <f ca="1">IFERROR(__xludf.DUMMYFUNCTION("""COMPUTED_VALUE"""),FALSE)</f>
        <v>0</v>
      </c>
      <c r="D34" s="5" t="str">
        <f ca="1">IFERROR(__xludf.DUMMYFUNCTION("""COMPUTED_VALUE"""),"rater1")</f>
        <v>rater1</v>
      </c>
      <c r="E34" s="5" t="str">
        <f ca="1">IF(C34, COUNTIF(Extraction!A:A, A34), "-")</f>
        <v>-</v>
      </c>
      <c r="F34" s="7" t="b">
        <f ca="1">IFERROR(__xludf.DUMMYFUNCTION("(COUNTIF(IMPORTRANGE(""https://docs.google.com/spreadsheets/d/1XUJGjtfB9SoW1rbohdkE9Z52MKac6AJzLHIsCSLTjGo/edit#gid=0"", ""Overlap!A2:A15""), A34)&gt;0)"),FALSE)</f>
        <v>0</v>
      </c>
      <c r="G34" s="5" t="str">
        <f ca="1">IF(OR(NOT(C34), NOT(F34)), " ", IF(D34="rater1","rater2","rater1"))</f>
        <v xml:space="preserve"> </v>
      </c>
      <c r="H34" s="8" t="str">
        <f ca="1">IF(AND(C34,F34), COUNTIF(#REF!, A34), "-")</f>
        <v>-</v>
      </c>
      <c r="I34" s="6"/>
    </row>
    <row r="35" spans="1:9" x14ac:dyDescent="0.25">
      <c r="A35" s="5">
        <v>34</v>
      </c>
      <c r="B35" s="6" t="str">
        <f ca="1">IFERROR(__xludf.DUMMYFUNCTION("""COMPUTED_VALUE"""),"Cruz Gutierrez, N. A., Melo, O. O., &amp; Martinez, C. A. (2023). Semiparametric generalized estimating equations for repeated measurements in cross-over designs. Statistical Methods in Medical Research, 32(5), 1033-1050.")</f>
        <v>Cruz Gutierrez, N. A., Melo, O. O., &amp; Martinez, C. A. (2023). Semiparametric generalized estimating equations for repeated measurements in cross-over designs. Statistical Methods in Medical Research, 32(5), 1033-1050.</v>
      </c>
      <c r="C35" s="7" t="b">
        <f ca="1">IFERROR(__xludf.DUMMYFUNCTION("""COMPUTED_VALUE"""),FALSE)</f>
        <v>0</v>
      </c>
      <c r="D35" s="5" t="str">
        <f ca="1">IFERROR(__xludf.DUMMYFUNCTION("""COMPUTED_VALUE"""),"rater1")</f>
        <v>rater1</v>
      </c>
      <c r="E35" s="5" t="str">
        <f ca="1">IF(C35, COUNTIF(Extraction!A:A, A35), "-")</f>
        <v>-</v>
      </c>
      <c r="F35" s="7" t="b">
        <f ca="1">IFERROR(__xludf.DUMMYFUNCTION("(COUNTIF(IMPORTRANGE(""https://docs.google.com/spreadsheets/d/1XUJGjtfB9SoW1rbohdkE9Z52MKac6AJzLHIsCSLTjGo/edit#gid=0"", ""Overlap!A2:A15""), A35)&gt;0)"),FALSE)</f>
        <v>0</v>
      </c>
      <c r="G35" s="5" t="str">
        <f ca="1">IF(OR(NOT(C35), NOT(F35)), " ", IF(D35="rater1","rater2","rater1"))</f>
        <v xml:space="preserve"> </v>
      </c>
      <c r="H35" s="8" t="str">
        <f ca="1">IF(AND(C35,F35), COUNTIF(#REF!, A35), "-")</f>
        <v>-</v>
      </c>
      <c r="I35" s="6"/>
    </row>
    <row r="36" spans="1:9" x14ac:dyDescent="0.25">
      <c r="A36" s="5">
        <v>35</v>
      </c>
      <c r="B36" s="6" t="str">
        <f ca="1">IFERROR(__xludf.DUMMYFUNCTION("""COMPUTED_VALUE"""),"Moreno-Lumbreras, D., Robles, G., Izquierdo-Cortázar, D., &amp; Gonzalez-Barahona, J. M. (2024). Software development metrics: to VR or not to VR. Empirical Software Engineering, 29(2), 1-49.")</f>
        <v>Moreno-Lumbreras, D., Robles, G., Izquierdo-Cortázar, D., &amp; Gonzalez-Barahona, J. M. (2024). Software development metrics: to VR or not to VR. Empirical Software Engineering, 29(2), 1-49.</v>
      </c>
      <c r="C36" s="7" t="b">
        <f ca="1">IFERROR(__xludf.DUMMYFUNCTION("""COMPUTED_VALUE"""),TRUE)</f>
        <v>1</v>
      </c>
      <c r="D36" s="5" t="str">
        <f ca="1">IFERROR(__xludf.DUMMYFUNCTION("""COMPUTED_VALUE"""),"rater2")</f>
        <v>rater2</v>
      </c>
      <c r="E36" s="5">
        <f ca="1">IF(C36, COUNTIF(Extraction!A:A, A36), "-")</f>
        <v>1</v>
      </c>
      <c r="F36" s="7" t="b">
        <f ca="1">IFERROR(__xludf.DUMMYFUNCTION("(COUNTIF(IMPORTRANGE(""https://docs.google.com/spreadsheets/d/1XUJGjtfB9SoW1rbohdkE9Z52MKac6AJzLHIsCSLTjGo/edit#gid=0"", ""Overlap!A2:A15""), A36)&gt;0)"),FALSE)</f>
        <v>0</v>
      </c>
      <c r="G36" s="5" t="str">
        <f ca="1">IF(OR(NOT(C36), NOT(F36)), " ", IF(D36="rater1","rater2","rater1"))</f>
        <v xml:space="preserve"> </v>
      </c>
      <c r="H36" s="8" t="str">
        <f ca="1">IF(AND(C36,F36), COUNTIF(#REF!, A36), "-")</f>
        <v>-</v>
      </c>
      <c r="I36" s="6"/>
    </row>
    <row r="37" spans="1:9" x14ac:dyDescent="0.25">
      <c r="A37" s="5">
        <v>36</v>
      </c>
      <c r="B37" s="6" t="str">
        <f ca="1">IFERROR(__xludf.DUMMYFUNCTION("""COMPUTED_VALUE"""),"Mehlhorn, N., &amp; Hanenberg, S. (2022, May). Imperative versus declarative collection processing: an RCT on the understandability of traditional loops versus the stream API in Java. In Proceedings of the 44th International Conference on Software Engineering"&amp;" (pp. 1157-1168).")</f>
        <v>Mehlhorn, N., &amp; Hanenberg, S. (2022, May). Imperative versus declarative collection processing: an RCT on the understandability of traditional loops versus the stream API in Java. In Proceedings of the 44th International Conference on Software Engineering (pp. 1157-1168).</v>
      </c>
      <c r="C37" s="7" t="b">
        <f ca="1">IFERROR(__xludf.DUMMYFUNCTION("""COMPUTED_VALUE"""),TRUE)</f>
        <v>1</v>
      </c>
      <c r="D37" s="5" t="str">
        <f ca="1">IFERROR(__xludf.DUMMYFUNCTION("""COMPUTED_VALUE"""),"rater2")</f>
        <v>rater2</v>
      </c>
      <c r="E37" s="5">
        <f ca="1">IF(C37, COUNTIF(Extraction!A:A, A37), "-")</f>
        <v>1</v>
      </c>
      <c r="F37" s="7" t="b">
        <f ca="1">IFERROR(__xludf.DUMMYFUNCTION("(COUNTIF(IMPORTRANGE(""https://docs.google.com/spreadsheets/d/1XUJGjtfB9SoW1rbohdkE9Z52MKac6AJzLHIsCSLTjGo/edit#gid=0"", ""Overlap!A2:A15""), A37)&gt;0)"),FALSE)</f>
        <v>0</v>
      </c>
      <c r="G37" s="5" t="str">
        <f ca="1">IF(OR(NOT(C37), NOT(F37)), " ", IF(D37="rater1","rater2","rater1"))</f>
        <v xml:space="preserve"> </v>
      </c>
      <c r="H37" s="8" t="str">
        <f ca="1">IF(AND(C37,F37), COUNTIF(#REF!, A37), "-")</f>
        <v>-</v>
      </c>
      <c r="I37" s="6"/>
    </row>
    <row r="38" spans="1:9" x14ac:dyDescent="0.25">
      <c r="A38" s="5">
        <v>37</v>
      </c>
      <c r="B38" s="6" t="str">
        <f ca="1">IFERROR(__xludf.DUMMYFUNCTION("""COMPUTED_VALUE"""),"Daun, M., Brings, J., &amp; Weyer, T. (2020, June). Do instance-level review diagrams support validation processes of cyber-physical system specifications: results from a controlled experiment. In Proceedings of the International Conference on Software and Sy"&amp;"stem Processes (pp. 11-20).")</f>
        <v>Daun, M., Brings, J., &amp; Weyer, T. (2020, June). Do instance-level review diagrams support validation processes of cyber-physical system specifications: results from a controlled experiment. In Proceedings of the International Conference on Software and System Processes (pp. 11-20).</v>
      </c>
      <c r="C38" s="7" t="b">
        <f ca="1">IFERROR(__xludf.DUMMYFUNCTION("""COMPUTED_VALUE"""),FALSE)</f>
        <v>0</v>
      </c>
      <c r="D38" s="5" t="str">
        <f ca="1">IFERROR(__xludf.DUMMYFUNCTION("""COMPUTED_VALUE"""),"rater1")</f>
        <v>rater1</v>
      </c>
      <c r="E38" s="5" t="str">
        <f ca="1">IF(C38, COUNTIF(Extraction!A:A, A38), "-")</f>
        <v>-</v>
      </c>
      <c r="F38" s="7" t="b">
        <f ca="1">IFERROR(__xludf.DUMMYFUNCTION("(COUNTIF(IMPORTRANGE(""https://docs.google.com/spreadsheets/d/1XUJGjtfB9SoW1rbohdkE9Z52MKac6AJzLHIsCSLTjGo/edit#gid=0"", ""Overlap!A2:A15""), A38)&gt;0)"),FALSE)</f>
        <v>0</v>
      </c>
      <c r="G38" s="5" t="str">
        <f ca="1">IF(OR(NOT(C38), NOT(F38)), " ", IF(D38="rater1","rater2","rater1"))</f>
        <v xml:space="preserve"> </v>
      </c>
      <c r="H38" s="8" t="str">
        <f ca="1">IF(AND(C38,F38), COUNTIF(#REF!, A38), "-")</f>
        <v>-</v>
      </c>
      <c r="I38" s="6"/>
    </row>
    <row r="39" spans="1:9" x14ac:dyDescent="0.25">
      <c r="A39" s="5">
        <v>38</v>
      </c>
      <c r="B39" s="6" t="str">
        <f ca="1">IFERROR(__xludf.DUMMYFUNCTION("""COMPUTED_VALUE"""),"Ren, R., Perez-Soler, S., Castro, J. W., Dieste, O., &amp; Acuña, S. T. (2022). Using the socio chatbot for uml modeling: A second family of experiments on usability in academic settings. IEEE Access, 10, 130542-130562.")</f>
        <v>Ren, R., Perez-Soler, S., Castro, J. W., Dieste, O., &amp; Acuña, S. T. (2022). Using the socio chatbot for uml modeling: A second family of experiments on usability in academic settings. IEEE Access, 10, 130542-130562.</v>
      </c>
      <c r="C39" s="7" t="b">
        <f ca="1">IFERROR(__xludf.DUMMYFUNCTION("""COMPUTED_VALUE"""),TRUE)</f>
        <v>1</v>
      </c>
      <c r="D39" s="5" t="str">
        <f ca="1">IFERROR(__xludf.DUMMYFUNCTION("""COMPUTED_VALUE"""),"rater2")</f>
        <v>rater2</v>
      </c>
      <c r="E39" s="5">
        <f ca="1">IF(C39, COUNTIF(Extraction!A:A, A39), "-")</f>
        <v>3</v>
      </c>
      <c r="F39" s="7" t="b">
        <f ca="1">IFERROR(__xludf.DUMMYFUNCTION("(COUNTIF(IMPORTRANGE(""https://docs.google.com/spreadsheets/d/1XUJGjtfB9SoW1rbohdkE9Z52MKac6AJzLHIsCSLTjGo/edit#gid=0"", ""Overlap!A2:A15""), A39)&gt;0)"),FALSE)</f>
        <v>0</v>
      </c>
      <c r="G39" s="5" t="str">
        <f ca="1">IF(OR(NOT(C39), NOT(F39)), " ", IF(D39="rater1","rater2","rater1"))</f>
        <v xml:space="preserve"> </v>
      </c>
      <c r="H39" s="8" t="str">
        <f ca="1">IF(AND(C39,F39), COUNTIF(#REF!, A39), "-")</f>
        <v>-</v>
      </c>
      <c r="I39" s="6"/>
    </row>
    <row r="40" spans="1:9" x14ac:dyDescent="0.25">
      <c r="A40" s="5">
        <v>39</v>
      </c>
      <c r="B40" s="6" t="str">
        <f ca="1">IFERROR(__xludf.DUMMYFUNCTION("""COMPUTED_VALUE"""),"Zhi, Q., Pu, W., Ren, J., &amp; Zhou, Z. (2023). A Defect Detection Method for the Primary Stage of Software Development. Computers, Materials &amp; Continua, 74(3).")</f>
        <v>Zhi, Q., Pu, W., Ren, J., &amp; Zhou, Z. (2023). A Defect Detection Method for the Primary Stage of Software Development. Computers, Materials &amp; Continua, 74(3).</v>
      </c>
      <c r="C40" s="7" t="b">
        <f ca="1">IFERROR(__xludf.DUMMYFUNCTION("""COMPUTED_VALUE"""),TRUE)</f>
        <v>1</v>
      </c>
      <c r="D40" s="5" t="str">
        <f ca="1">IFERROR(__xludf.DUMMYFUNCTION("""COMPUTED_VALUE"""),"rater2")</f>
        <v>rater2</v>
      </c>
      <c r="E40" s="5">
        <f ca="1">IF(C40, COUNTIF(Extraction!A:A, A40), "-")</f>
        <v>1</v>
      </c>
      <c r="F40" s="7" t="b">
        <f ca="1">IFERROR(__xludf.DUMMYFUNCTION("(COUNTIF(IMPORTRANGE(""https://docs.google.com/spreadsheets/d/1XUJGjtfB9SoW1rbohdkE9Z52MKac6AJzLHIsCSLTjGo/edit#gid=0"", ""Overlap!A2:A15""), A40)&gt;0)"),FALSE)</f>
        <v>0</v>
      </c>
      <c r="G40" s="5" t="str">
        <f ca="1">IF(OR(NOT(C40), NOT(F40)), " ", IF(D40="rater1","rater2","rater1"))</f>
        <v xml:space="preserve"> </v>
      </c>
      <c r="H40" s="8" t="str">
        <f ca="1">IF(AND(C40,F40), COUNTIF(#REF!, A40), "-")</f>
        <v>-</v>
      </c>
      <c r="I40" s="6"/>
    </row>
    <row r="41" spans="1:9" x14ac:dyDescent="0.25">
      <c r="A41" s="5">
        <v>40</v>
      </c>
      <c r="B41" s="6" t="str">
        <f ca="1">IFERROR(__xludf.DUMMYFUNCTION("""COMPUTED_VALUE"""),"Massacci, F., Papotti, A., &amp; Paramitha, R. (2024). Addressing combinatorial experiments and scarcity of subjects by provably orthogonal and crossover experimental designs. Journal of Systems and Software, 111990.")</f>
        <v>Massacci, F., Papotti, A., &amp; Paramitha, R. (2024). Addressing combinatorial experiments and scarcity of subjects by provably orthogonal and crossover experimental designs. Journal of Systems and Software, 111990.</v>
      </c>
      <c r="C41" s="7" t="b">
        <f ca="1">IFERROR(__xludf.DUMMYFUNCTION("""COMPUTED_VALUE"""),FALSE)</f>
        <v>0</v>
      </c>
      <c r="D41" s="5" t="str">
        <f ca="1">IFERROR(__xludf.DUMMYFUNCTION("""COMPUTED_VALUE"""),"rater1")</f>
        <v>rater1</v>
      </c>
      <c r="E41" s="5" t="str">
        <f ca="1">IF(C41, COUNTIF(Extraction!A:A, A41), "-")</f>
        <v>-</v>
      </c>
      <c r="F41" s="7" t="b">
        <f ca="1">IFERROR(__xludf.DUMMYFUNCTION("(COUNTIF(IMPORTRANGE(""https://docs.google.com/spreadsheets/d/1XUJGjtfB9SoW1rbohdkE9Z52MKac6AJzLHIsCSLTjGo/edit#gid=0"", ""Overlap!A2:A15""), A41)&gt;0)"),TRUE)</f>
        <v>1</v>
      </c>
      <c r="G41" s="5" t="str">
        <f ca="1">IF(OR(NOT(C41), NOT(F41)), " ", IF(D41="rater1","rater2","rater1"))</f>
        <v xml:space="preserve"> </v>
      </c>
      <c r="H41" s="8" t="str">
        <f ca="1">IF(AND(C41,F41), COUNTIF(#REF!, A41), "-")</f>
        <v>-</v>
      </c>
      <c r="I41" s="6"/>
    </row>
    <row r="42" spans="1:9" x14ac:dyDescent="0.25">
      <c r="A42" s="5">
        <v>41</v>
      </c>
      <c r="B42" s="6" t="str">
        <f ca="1">IFERROR(__xludf.DUMMYFUNCTION("""COMPUTED_VALUE"""),"Badampudi, D., Fotrousi, F., Cartaxo, B., &amp; Usman, M. (2022). Reporting Consent, Anonymity and Confidentiality Procedures Adopted in Empirical Studies Using Human Participants. e-Informatica Software Engineering Journal, 16(1).")</f>
        <v>Badampudi, D., Fotrousi, F., Cartaxo, B., &amp; Usman, M. (2022). Reporting Consent, Anonymity and Confidentiality Procedures Adopted in Empirical Studies Using Human Participants. e-Informatica Software Engineering Journal, 16(1).</v>
      </c>
      <c r="C42" s="7" t="b">
        <f ca="1">IFERROR(__xludf.DUMMYFUNCTION("""COMPUTED_VALUE"""),FALSE)</f>
        <v>0</v>
      </c>
      <c r="D42" s="5" t="str">
        <f ca="1">IFERROR(__xludf.DUMMYFUNCTION("""COMPUTED_VALUE"""),"rater1")</f>
        <v>rater1</v>
      </c>
      <c r="E42" s="5" t="str">
        <f ca="1">IF(C42, COUNTIF(Extraction!A:A, A42), "-")</f>
        <v>-</v>
      </c>
      <c r="F42" s="7" t="b">
        <f ca="1">IFERROR(__xludf.DUMMYFUNCTION("(COUNTIF(IMPORTRANGE(""https://docs.google.com/spreadsheets/d/1XUJGjtfB9SoW1rbohdkE9Z52MKac6AJzLHIsCSLTjGo/edit#gid=0"", ""Overlap!A2:A15""), A42)&gt;0)"),FALSE)</f>
        <v>0</v>
      </c>
      <c r="G42" s="5" t="str">
        <f ca="1">IF(OR(NOT(C42), NOT(F42)), " ", IF(D42="rater1","rater2","rater1"))</f>
        <v xml:space="preserve"> </v>
      </c>
      <c r="H42" s="8" t="str">
        <f ca="1">IF(AND(C42,F42), COUNTIF(#REF!, A42), "-")</f>
        <v>-</v>
      </c>
      <c r="I42" s="6"/>
    </row>
    <row r="43" spans="1:9" x14ac:dyDescent="0.25">
      <c r="A43" s="5">
        <v>42</v>
      </c>
      <c r="B43" s="6" t="str">
        <f ca="1">IFERROR(__xludf.DUMMYFUNCTION("""COMPUTED_VALUE"""),"Nagel, L., Schmedes, M., Ahrens, M., &amp; Schneider, K. (2023). When details are difficult to portray: enriching vision videos. Requirements Engineering, 28(4), 521-539.")</f>
        <v>Nagel, L., Schmedes, M., Ahrens, M., &amp; Schneider, K. (2023). When details are difficult to portray: enriching vision videos. Requirements Engineering, 28(4), 521-539.</v>
      </c>
      <c r="C43" s="7" t="b">
        <f ca="1">IFERROR(__xludf.DUMMYFUNCTION("""COMPUTED_VALUE"""),FALSE)</f>
        <v>0</v>
      </c>
      <c r="D43" s="5" t="str">
        <f ca="1">IFERROR(__xludf.DUMMYFUNCTION("""COMPUTED_VALUE"""),"rater2")</f>
        <v>rater2</v>
      </c>
      <c r="E43" s="5" t="str">
        <f ca="1">IF(C43, COUNTIF(Extraction!A:A, A43), "-")</f>
        <v>-</v>
      </c>
      <c r="F43" s="7" t="b">
        <f ca="1">IFERROR(__xludf.DUMMYFUNCTION("(COUNTIF(IMPORTRANGE(""https://docs.google.com/spreadsheets/d/1XUJGjtfB9SoW1rbohdkE9Z52MKac6AJzLHIsCSLTjGo/edit#gid=0"", ""Overlap!A2:A15""), A43)&gt;0)"),FALSE)</f>
        <v>0</v>
      </c>
      <c r="G43" s="5" t="str">
        <f ca="1">IF(OR(NOT(C43), NOT(F43)), " ", IF(D43="rater1","rater2","rater1"))</f>
        <v xml:space="preserve"> </v>
      </c>
      <c r="H43" s="8" t="str">
        <f ca="1">IF(AND(C43,F43), COUNTIF(#REF!, A43), "-")</f>
        <v>-</v>
      </c>
      <c r="I43" s="6"/>
    </row>
    <row r="44" spans="1:9" x14ac:dyDescent="0.25">
      <c r="A44" s="5">
        <v>43</v>
      </c>
      <c r="B44" s="6" t="str">
        <f ca="1">IFERROR(__xludf.DUMMYFUNCTION("""COMPUTED_VALUE"""),"Romano, S., Scanniello, G., Fucci, D., Juristo, N., &amp; Turhan, B. (2018, October). The effect of noise on software engineers' performance. In Proceedings of the 12th acm/ieee international symposium on empirical software engineering and measurement (pp. 1-"&amp;"10).")</f>
        <v>Romano, S., Scanniello, G., Fucci, D., Juristo, N., &amp; Turhan, B. (2018, October). The effect of noise on software engineers' performance. In Proceedings of the 12th acm/ieee international symposium on empirical software engineering and measurement (pp. 1-10).</v>
      </c>
      <c r="C44" s="7" t="b">
        <f ca="1">IFERROR(__xludf.DUMMYFUNCTION("""COMPUTED_VALUE"""),TRUE)</f>
        <v>1</v>
      </c>
      <c r="D44" s="5" t="str">
        <f ca="1">IFERROR(__xludf.DUMMYFUNCTION("""COMPUTED_VALUE"""),"rater2")</f>
        <v>rater2</v>
      </c>
      <c r="E44" s="5">
        <f ca="1">IF(C44, COUNTIF(Extraction!A:A, A44), "-")</f>
        <v>1</v>
      </c>
      <c r="F44" s="7" t="b">
        <f ca="1">IFERROR(__xludf.DUMMYFUNCTION("(COUNTIF(IMPORTRANGE(""https://docs.google.com/spreadsheets/d/1XUJGjtfB9SoW1rbohdkE9Z52MKac6AJzLHIsCSLTjGo/edit#gid=0"", ""Overlap!A2:A15""), A44)&gt;0)"),FALSE)</f>
        <v>0</v>
      </c>
      <c r="G44" s="5" t="str">
        <f ca="1">IF(OR(NOT(C44), NOT(F44)), " ", IF(D44="rater1","rater2","rater1"))</f>
        <v xml:space="preserve"> </v>
      </c>
      <c r="H44" s="8" t="str">
        <f ca="1">IF(AND(C44,F44), COUNTIF(#REF!, A44), "-")</f>
        <v>-</v>
      </c>
      <c r="I44" s="6"/>
    </row>
    <row r="45" spans="1:9" x14ac:dyDescent="0.25">
      <c r="A45" s="5">
        <v>44</v>
      </c>
      <c r="B45" s="6" t="str">
        <f ca="1">IFERROR(__xludf.DUMMYFUNCTION("""COMPUTED_VALUE"""),"Galvan-Cruz, S., Mora, M., Laporte, C. Y., &amp; Duran-Limon, H. (2021). Reconciliation of scrum and the project management process of the ISO/IEC 29110 standard-Entry profile—an experimental evaluation through usability measures. Software Quality Journal, 29"&amp;", 239-273.")</f>
        <v>Galvan-Cruz, S., Mora, M., Laporte, C. Y., &amp; Duran-Limon, H. (2021). Reconciliation of scrum and the project management process of the ISO/IEC 29110 standard-Entry profile—an experimental evaluation through usability measures. Software Quality Journal, 29, 239-273.</v>
      </c>
      <c r="C45" s="7" t="b">
        <f ca="1">IFERROR(__xludf.DUMMYFUNCTION("""COMPUTED_VALUE"""),TRUE)</f>
        <v>1</v>
      </c>
      <c r="D45" s="5" t="str">
        <f ca="1">IFERROR(__xludf.DUMMYFUNCTION("""COMPUTED_VALUE"""),"rater1")</f>
        <v>rater1</v>
      </c>
      <c r="E45" s="5">
        <f ca="1">IF(C45, COUNTIF(Extraction!A:A, A45), "-")</f>
        <v>1</v>
      </c>
      <c r="F45" s="7" t="b">
        <f ca="1">IFERROR(__xludf.DUMMYFUNCTION("(COUNTIF(IMPORTRANGE(""https://docs.google.com/spreadsheets/d/1XUJGjtfB9SoW1rbohdkE9Z52MKac6AJzLHIsCSLTjGo/edit#gid=0"", ""Overlap!A2:A15""), A45)&gt;0)"),FALSE)</f>
        <v>0</v>
      </c>
      <c r="G45" s="5" t="str">
        <f ca="1">IF(OR(NOT(C45), NOT(F45)), " ", IF(D45="rater1","rater2","rater1"))</f>
        <v xml:space="preserve"> </v>
      </c>
      <c r="H45" s="8" t="str">
        <f ca="1">IF(AND(C45,F45), COUNTIF(#REF!, A45), "-")</f>
        <v>-</v>
      </c>
      <c r="I45" s="6"/>
    </row>
    <row r="46" spans="1:9" x14ac:dyDescent="0.25">
      <c r="A46" s="5">
        <v>45</v>
      </c>
      <c r="B46" s="6" t="str">
        <f ca="1">IFERROR(__xludf.DUMMYFUNCTION("""COMPUTED_VALUE"""),"Khan, M. U., Sartaj, H., Iqbal, M. Z., Usman, M., &amp; Arshad, N. (2019). Aspectocl: using aspects to ease maintenance of evolving constraint specification. Empirical Software Engineering, 24, 2674-2724.")</f>
        <v>Khan, M. U., Sartaj, H., Iqbal, M. Z., Usman, M., &amp; Arshad, N. (2019). Aspectocl: using aspects to ease maintenance of evolving constraint specification. Empirical Software Engineering, 24, 2674-2724.</v>
      </c>
      <c r="C46" s="7" t="b">
        <f ca="1">IFERROR(__xludf.DUMMYFUNCTION("""COMPUTED_VALUE"""),TRUE)</f>
        <v>1</v>
      </c>
      <c r="D46" s="5" t="str">
        <f ca="1">IFERROR(__xludf.DUMMYFUNCTION("""COMPUTED_VALUE"""),"rater2")</f>
        <v>rater2</v>
      </c>
      <c r="E46" s="5">
        <f ca="1">IF(C46, COUNTIF(Extraction!A:A, A46), "-")</f>
        <v>1</v>
      </c>
      <c r="F46" s="7" t="b">
        <f ca="1">IFERROR(__xludf.DUMMYFUNCTION("(COUNTIF(IMPORTRANGE(""https://docs.google.com/spreadsheets/d/1XUJGjtfB9SoW1rbohdkE9Z52MKac6AJzLHIsCSLTjGo/edit#gid=0"", ""Overlap!A2:A15""), A46)&gt;0)"),FALSE)</f>
        <v>0</v>
      </c>
      <c r="G46" s="5" t="str">
        <f ca="1">IF(OR(NOT(C46), NOT(F46)), " ", IF(D46="rater1","rater2","rater1"))</f>
        <v xml:space="preserve"> </v>
      </c>
      <c r="H46" s="8" t="str">
        <f ca="1">IF(AND(C46,F46), COUNTIF(#REF!, A46), "-")</f>
        <v>-</v>
      </c>
      <c r="I46" s="6"/>
    </row>
    <row r="47" spans="1:9" x14ac:dyDescent="0.25">
      <c r="A47" s="5">
        <v>46</v>
      </c>
      <c r="B47" s="6" t="str">
        <f ca="1">IFERROR(__xludf.DUMMYFUNCTION("""COMPUTED_VALUE"""),"Gralha, C., Pereira, R., Goulao, M., &amp; Araujo, J. (2021, September). On the impact of using different templates on creating and understanding user stories. In 2021 IEEE 29th International Requirements Engineering Conference (RE) (pp. 209-220). IEEE.")</f>
        <v>Gralha, C., Pereira, R., Goulao, M., &amp; Araujo, J. (2021, September). On the impact of using different templates on creating and understanding user stories. In 2021 IEEE 29th International Requirements Engineering Conference (RE) (pp. 209-220). IEEE.</v>
      </c>
      <c r="C47" s="7" t="b">
        <f ca="1">IFERROR(__xludf.DUMMYFUNCTION("""COMPUTED_VALUE"""),FALSE)</f>
        <v>0</v>
      </c>
      <c r="D47" s="5" t="str">
        <f ca="1">IFERROR(__xludf.DUMMYFUNCTION("""COMPUTED_VALUE"""),"rater1")</f>
        <v>rater1</v>
      </c>
      <c r="E47" s="5" t="str">
        <f ca="1">IF(C47, COUNTIF(Extraction!A:A, A47), "-")</f>
        <v>-</v>
      </c>
      <c r="F47" s="7" t="b">
        <f ca="1">IFERROR(__xludf.DUMMYFUNCTION("(COUNTIF(IMPORTRANGE(""https://docs.google.com/spreadsheets/d/1XUJGjtfB9SoW1rbohdkE9Z52MKac6AJzLHIsCSLTjGo/edit#gid=0"", ""Overlap!A2:A15""), A47)&gt;0)"),FALSE)</f>
        <v>0</v>
      </c>
      <c r="G47" s="5" t="str">
        <f ca="1">IF(OR(NOT(C47), NOT(F47)), " ", IF(D47="rater1","rater2","rater1"))</f>
        <v xml:space="preserve"> </v>
      </c>
      <c r="H47" s="8" t="str">
        <f ca="1">IF(AND(C47,F47), COUNTIF(#REF!, A47), "-")</f>
        <v>-</v>
      </c>
      <c r="I47" s="6"/>
    </row>
    <row r="48" spans="1:9" x14ac:dyDescent="0.25">
      <c r="A48" s="5">
        <v>47</v>
      </c>
      <c r="B48" s="6" t="str">
        <f ca="1">IFERROR(__xludf.DUMMYFUNCTION("""COMPUTED_VALUE"""),"Hanenberg, S., &amp; Mehlhorn, N. (2022). Two N-of-1 self-trials on readability differences between anonymous inner classes (AICs) and lambda expressions (LEs) on Java code snippets. Empirical Software Engineering, 27(2), 33.")</f>
        <v>Hanenberg, S., &amp; Mehlhorn, N. (2022). Two N-of-1 self-trials on readability differences between anonymous inner classes (AICs) and lambda expressions (LEs) on Java code snippets. Empirical Software Engineering, 27(2), 33.</v>
      </c>
      <c r="C48" s="7" t="b">
        <f ca="1">IFERROR(__xludf.DUMMYFUNCTION("""COMPUTED_VALUE"""),FALSE)</f>
        <v>0</v>
      </c>
      <c r="D48" s="5" t="str">
        <f ca="1">IFERROR(__xludf.DUMMYFUNCTION("""COMPUTED_VALUE"""),"rater2")</f>
        <v>rater2</v>
      </c>
      <c r="E48" s="5" t="str">
        <f ca="1">IF(C48, COUNTIF(Extraction!A:A, A48), "-")</f>
        <v>-</v>
      </c>
      <c r="F48" s="7" t="b">
        <f ca="1">IFERROR(__xludf.DUMMYFUNCTION("(COUNTIF(IMPORTRANGE(""https://docs.google.com/spreadsheets/d/1XUJGjtfB9SoW1rbohdkE9Z52MKac6AJzLHIsCSLTjGo/edit#gid=0"", ""Overlap!A2:A15""), A48)&gt;0)"),FALSE)</f>
        <v>0</v>
      </c>
      <c r="G48" s="5" t="str">
        <f ca="1">IF(OR(NOT(C48), NOT(F48)), " ", IF(D48="rater1","rater2","rater1"))</f>
        <v xml:space="preserve"> </v>
      </c>
      <c r="H48" s="8" t="str">
        <f ca="1">IF(AND(C48,F48), COUNTIF(#REF!, A48), "-")</f>
        <v>-</v>
      </c>
      <c r="I48" s="6"/>
    </row>
    <row r="49" spans="1:9" x14ac:dyDescent="0.25">
      <c r="A49" s="5">
        <v>48</v>
      </c>
      <c r="B49" s="6" t="str">
        <f ca="1">IFERROR(__xludf.DUMMYFUNCTION("""COMPUTED_VALUE"""),"Santos, A., Vegas, S., Uyaguari, F., Dieste, O., Turhan, B., &amp; Juristo, N. (2020). Increasing validity through replication: an illustrative TDD case. Software Quality Journal, 28, 371-395.")</f>
        <v>Santos, A., Vegas, S., Uyaguari, F., Dieste, O., Turhan, B., &amp; Juristo, N. (2020). Increasing validity through replication: an illustrative TDD case. Software Quality Journal, 28, 371-395.</v>
      </c>
      <c r="C49" s="7" t="b">
        <f ca="1">IFERROR(__xludf.DUMMYFUNCTION("""COMPUTED_VALUE"""),TRUE)</f>
        <v>1</v>
      </c>
      <c r="D49" s="5" t="str">
        <f ca="1">IFERROR(__xludf.DUMMYFUNCTION("""COMPUTED_VALUE"""),"rater2")</f>
        <v>rater2</v>
      </c>
      <c r="E49" s="5">
        <f ca="1">IF(C49, COUNTIF(Extraction!A:A, A49), "-")</f>
        <v>1</v>
      </c>
      <c r="F49" s="7" t="b">
        <f ca="1">IFERROR(__xludf.DUMMYFUNCTION("(COUNTIF(IMPORTRANGE(""https://docs.google.com/spreadsheets/d/1XUJGjtfB9SoW1rbohdkE9Z52MKac6AJzLHIsCSLTjGo/edit#gid=0"", ""Overlap!A2:A15""), A49)&gt;0)"),TRUE)</f>
        <v>1</v>
      </c>
      <c r="G49" s="5" t="str">
        <f ca="1">IF(OR(NOT(C49), NOT(F49)), " ", IF(D49="rater1","rater2","rater1"))</f>
        <v>rater1</v>
      </c>
      <c r="H49" s="8" t="e">
        <f ca="1">IF(AND(C49,F49), COUNTIF(#REF!, A49), "-")</f>
        <v>#REF!</v>
      </c>
      <c r="I49" s="6"/>
    </row>
    <row r="50" spans="1:9" x14ac:dyDescent="0.25">
      <c r="A50" s="5">
        <v>49</v>
      </c>
      <c r="B50" s="6" t="str">
        <f ca="1">IFERROR(__xludf.DUMMYFUNCTION("""COMPUTED_VALUE"""),"Baldassarre, M. T., Caivano, D., Fucci, D., Romano, S., &amp; Scanniello, G. (2022). Affective reactions and test-driven development: Results from three experiments and a survey. Journal of Systems and Software, 185, 111154.")</f>
        <v>Baldassarre, M. T., Caivano, D., Fucci, D., Romano, S., &amp; Scanniello, G. (2022). Affective reactions and test-driven development: Results from three experiments and a survey. Journal of Systems and Software, 185, 111154.</v>
      </c>
      <c r="C50" s="7" t="b">
        <f ca="1">IFERROR(__xludf.DUMMYFUNCTION("""COMPUTED_VALUE"""),TRUE)</f>
        <v>1</v>
      </c>
      <c r="D50" s="5" t="str">
        <f ca="1">IFERROR(__xludf.DUMMYFUNCTION("""COMPUTED_VALUE"""),"rater2")</f>
        <v>rater2</v>
      </c>
      <c r="E50" s="5">
        <f ca="1">IF(C50, COUNTIF(Extraction!A:A, A50), "-")</f>
        <v>1</v>
      </c>
      <c r="F50" s="7" t="b">
        <f ca="1">IFERROR(__xludf.DUMMYFUNCTION("(COUNTIF(IMPORTRANGE(""https://docs.google.com/spreadsheets/d/1XUJGjtfB9SoW1rbohdkE9Z52MKac6AJzLHIsCSLTjGo/edit#gid=0"", ""Overlap!A2:A15""), A50)&gt;0)"),FALSE)</f>
        <v>0</v>
      </c>
      <c r="G50" s="5" t="str">
        <f ca="1">IF(OR(NOT(C50), NOT(F50)), " ", IF(D50="rater1","rater2","rater1"))</f>
        <v xml:space="preserve"> </v>
      </c>
      <c r="H50" s="8" t="str">
        <f ca="1">IF(AND(C50,F50), COUNTIF(#REF!, A50), "-")</f>
        <v>-</v>
      </c>
      <c r="I50" s="6"/>
    </row>
    <row r="51" spans="1:9" x14ac:dyDescent="0.25">
      <c r="A51" s="5">
        <v>50</v>
      </c>
      <c r="B51" s="6" t="str">
        <f ca="1">IFERROR(__xludf.DUMMYFUNCTION("""COMPUTED_VALUE"""),"Chueca, J., Trasobares, J. I., Domingo, Á., Arcega, L., Cetina, C., &amp; Font, J. (2023). Comparing software product lines and Clone and Own for game software engineering under two paradigms: Model-driven development and code-driven development. Journal of S"&amp;"ystems and Software, 205, 111824.")</f>
        <v>Chueca, J., Trasobares, J. I., Domingo, Á., Arcega, L., Cetina, C., &amp; Font, J. (2023). Comparing software product lines and Clone and Own for game software engineering under two paradigms: Model-driven development and code-driven development. Journal of Systems and Software, 205, 111824.</v>
      </c>
      <c r="C51" s="7" t="b">
        <f ca="1">IFERROR(__xludf.DUMMYFUNCTION("""COMPUTED_VALUE"""),TRUE)</f>
        <v>1</v>
      </c>
      <c r="D51" s="5" t="str">
        <f ca="1">IFERROR(__xludf.DUMMYFUNCTION("""COMPUTED_VALUE"""),"rater1")</f>
        <v>rater1</v>
      </c>
      <c r="E51" s="5">
        <f ca="1">IF(C51, COUNTIF(Extraction!A:A, A51), "-")</f>
        <v>2</v>
      </c>
      <c r="F51" s="7" t="b">
        <f ca="1">IFERROR(__xludf.DUMMYFUNCTION("(COUNTIF(IMPORTRANGE(""https://docs.google.com/spreadsheets/d/1XUJGjtfB9SoW1rbohdkE9Z52MKac6AJzLHIsCSLTjGo/edit#gid=0"", ""Overlap!A2:A15""), A51)&gt;0)"),FALSE)</f>
        <v>0</v>
      </c>
      <c r="G51" s="5" t="str">
        <f ca="1">IF(OR(NOT(C51), NOT(F51)), " ", IF(D51="rater1","rater2","rater1"))</f>
        <v xml:space="preserve"> </v>
      </c>
      <c r="H51" s="8" t="str">
        <f ca="1">IF(AND(C51,F51), COUNTIF(#REF!, A51), "-")</f>
        <v>-</v>
      </c>
      <c r="I51" s="6"/>
    </row>
    <row r="52" spans="1:9" x14ac:dyDescent="0.25">
      <c r="A52" s="5">
        <v>51</v>
      </c>
      <c r="B52" s="6" t="str">
        <f ca="1">IFERROR(__xludf.DUMMYFUNCTION("""COMPUTED_VALUE"""),"Reyes, R. P., Dieste, O., Fonseca, E. R., &amp; Juristo, N. (2018, May). Statistical errors in software engineering experiments: A preliminary literature review. In Proceedings of the 40th International Conference on Software Engineering (pp. 1195-1206).")</f>
        <v>Reyes, R. P., Dieste, O., Fonseca, E. R., &amp; Juristo, N. (2018, May). Statistical errors in software engineering experiments: A preliminary literature review. In Proceedings of the 40th International Conference on Software Engineering (pp. 1195-1206).</v>
      </c>
      <c r="C52" s="7" t="b">
        <f ca="1">IFERROR(__xludf.DUMMYFUNCTION("""COMPUTED_VALUE"""),FALSE)</f>
        <v>0</v>
      </c>
      <c r="D52" s="5" t="str">
        <f ca="1">IFERROR(__xludf.DUMMYFUNCTION("""COMPUTED_VALUE"""),"rater1")</f>
        <v>rater1</v>
      </c>
      <c r="E52" s="5" t="str">
        <f ca="1">IF(C52, COUNTIF(Extraction!A:A, A52), "-")</f>
        <v>-</v>
      </c>
      <c r="F52" s="7" t="b">
        <f ca="1">IFERROR(__xludf.DUMMYFUNCTION("(COUNTIF(IMPORTRANGE(""https://docs.google.com/spreadsheets/d/1XUJGjtfB9SoW1rbohdkE9Z52MKac6AJzLHIsCSLTjGo/edit#gid=0"", ""Overlap!A2:A15""), A52)&gt;0)"),FALSE)</f>
        <v>0</v>
      </c>
      <c r="G52" s="5" t="str">
        <f ca="1">IF(OR(NOT(C52), NOT(F52)), " ", IF(D52="rater1","rater2","rater1"))</f>
        <v xml:space="preserve"> </v>
      </c>
      <c r="H52" s="8" t="str">
        <f ca="1">IF(AND(C52,F52), COUNTIF(#REF!, A52), "-")</f>
        <v>-</v>
      </c>
      <c r="I52" s="6"/>
    </row>
    <row r="53" spans="1:9" x14ac:dyDescent="0.25">
      <c r="A53" s="5">
        <v>52</v>
      </c>
      <c r="B53" s="6" t="str">
        <f ca="1">IFERROR(__xludf.DUMMYFUNCTION("""COMPUTED_VALUE"""),"Gralha, C., Pereira, R., Goulão, M., &amp; Araujo, J. (2022). Assessing user stories: the influence of template differences and gender-related problem-solving styles. Requirements Engineering, 27(4), 521-544.")</f>
        <v>Gralha, C., Pereira, R., Goulão, M., &amp; Araujo, J. (2022). Assessing user stories: the influence of template differences and gender-related problem-solving styles. Requirements Engineering, 27(4), 521-544.</v>
      </c>
      <c r="C53" s="7" t="b">
        <f ca="1">IFERROR(__xludf.DUMMYFUNCTION("""COMPUTED_VALUE"""),FALSE)</f>
        <v>0</v>
      </c>
      <c r="D53" s="5" t="str">
        <f ca="1">IFERROR(__xludf.DUMMYFUNCTION("""COMPUTED_VALUE"""),"rater1")</f>
        <v>rater1</v>
      </c>
      <c r="E53" s="5" t="str">
        <f ca="1">IF(C53, COUNTIF(Extraction!A:A, A53), "-")</f>
        <v>-</v>
      </c>
      <c r="F53" s="7" t="b">
        <f ca="1">IFERROR(__xludf.DUMMYFUNCTION("(COUNTIF(IMPORTRANGE(""https://docs.google.com/spreadsheets/d/1XUJGjtfB9SoW1rbohdkE9Z52MKac6AJzLHIsCSLTjGo/edit#gid=0"", ""Overlap!A2:A15""), A53)&gt;0)"),FALSE)</f>
        <v>0</v>
      </c>
      <c r="G53" s="5" t="str">
        <f ca="1">IF(OR(NOT(C53), NOT(F53)), " ", IF(D53="rater1","rater2","rater1"))</f>
        <v xml:space="preserve"> </v>
      </c>
      <c r="H53" s="8" t="str">
        <f ca="1">IF(AND(C53,F53), COUNTIF(#REF!, A53), "-")</f>
        <v>-</v>
      </c>
      <c r="I53" s="6"/>
    </row>
    <row r="54" spans="1:9" x14ac:dyDescent="0.25">
      <c r="A54" s="5">
        <v>53</v>
      </c>
      <c r="B54" s="6" t="str">
        <f ca="1">IFERROR(__xludf.DUMMYFUNCTION("""COMPUTED_VALUE"""),"Tosun, A., Dieste, O., Vegas, S., Pfahl, D., Rungi, K., &amp; Juristo, N. (2019). Investigating the impact of development task on external quality in test-driven development: An industry experiment. IEEE Transactions on Software Engineering, 47(11), 2438-2456"&amp;".")</f>
        <v>Tosun, A., Dieste, O., Vegas, S., Pfahl, D., Rungi, K., &amp; Juristo, N. (2019). Investigating the impact of development task on external quality in test-driven development: An industry experiment. IEEE Transactions on Software Engineering, 47(11), 2438-2456.</v>
      </c>
      <c r="C54" s="7" t="b">
        <f ca="1">IFERROR(__xludf.DUMMYFUNCTION("""COMPUTED_VALUE"""),TRUE)</f>
        <v>1</v>
      </c>
      <c r="D54" s="5" t="str">
        <f ca="1">IFERROR(__xludf.DUMMYFUNCTION("""COMPUTED_VALUE"""),"rater2")</f>
        <v>rater2</v>
      </c>
      <c r="E54" s="5">
        <f ca="1">IF(C54, COUNTIF(Extraction!A:A, A54), "-")</f>
        <v>1</v>
      </c>
      <c r="F54" s="7" t="b">
        <f ca="1">IFERROR(__xludf.DUMMYFUNCTION("(COUNTIF(IMPORTRANGE(""https://docs.google.com/spreadsheets/d/1XUJGjtfB9SoW1rbohdkE9Z52MKac6AJzLHIsCSLTjGo/edit#gid=0"", ""Overlap!A2:A15""), A54)&gt;0)"),FALSE)</f>
        <v>0</v>
      </c>
      <c r="G54" s="5" t="str">
        <f ca="1">IF(OR(NOT(C54), NOT(F54)), " ", IF(D54="rater1","rater2","rater1"))</f>
        <v xml:space="preserve"> </v>
      </c>
      <c r="H54" s="8" t="str">
        <f ca="1">IF(AND(C54,F54), COUNTIF(#REF!, A54), "-")</f>
        <v>-</v>
      </c>
      <c r="I54" s="6"/>
    </row>
    <row r="55" spans="1:9" x14ac:dyDescent="0.25">
      <c r="A55" s="5">
        <v>54</v>
      </c>
      <c r="B55" s="6" t="str">
        <f ca="1">IFERROR(__xludf.DUMMYFUNCTION("""COMPUTED_VALUE"""),"Gonzalez-Lopez, F., Pufahl, L., Munoz-Gama, J., Herskovic, V., &amp; Sepúlveda, M. (2021). Case model landscapes: toward an improved representation of knowledge-intensive processes using the fCM-language. Software and Systems Modeling, 20, 1353-1377.")</f>
        <v>Gonzalez-Lopez, F., Pufahl, L., Munoz-Gama, J., Herskovic, V., &amp; Sepúlveda, M. (2021). Case model landscapes: toward an improved representation of knowledge-intensive processes using the fCM-language. Software and Systems Modeling, 20, 1353-1377.</v>
      </c>
      <c r="C55" s="7" t="b">
        <f ca="1">IFERROR(__xludf.DUMMYFUNCTION("""COMPUTED_VALUE"""),TRUE)</f>
        <v>1</v>
      </c>
      <c r="D55" s="5" t="str">
        <f ca="1">IFERROR(__xludf.DUMMYFUNCTION("""COMPUTED_VALUE"""),"rater1")</f>
        <v>rater1</v>
      </c>
      <c r="E55" s="5">
        <f ca="1">IF(C55, COUNTIF(Extraction!A:A, A55), "-")</f>
        <v>1</v>
      </c>
      <c r="F55" s="7" t="b">
        <f ca="1">IFERROR(__xludf.DUMMYFUNCTION("(COUNTIF(IMPORTRANGE(""https://docs.google.com/spreadsheets/d/1XUJGjtfB9SoW1rbohdkE9Z52MKac6AJzLHIsCSLTjGo/edit#gid=0"", ""Overlap!A2:A15""), A55)&gt;0)"),FALSE)</f>
        <v>0</v>
      </c>
      <c r="G55" s="5" t="str">
        <f ca="1">IF(OR(NOT(C55), NOT(F55)), " ", IF(D55="rater1","rater2","rater1"))</f>
        <v xml:space="preserve"> </v>
      </c>
      <c r="H55" s="8" t="str">
        <f ca="1">IF(AND(C55,F55), COUNTIF(#REF!, A55), "-")</f>
        <v>-</v>
      </c>
      <c r="I55" s="6"/>
    </row>
    <row r="56" spans="1:9" x14ac:dyDescent="0.25">
      <c r="A56" s="5">
        <v>55</v>
      </c>
      <c r="B56" s="6" t="str">
        <f ca="1">IFERROR(__xludf.DUMMYFUNCTION("""COMPUTED_VALUE"""),"Coppola, R., Fulcini, T., Ardito, L., Torchiano, M., &amp; Alègroth, E. (2023). On Effectiveness and Efficiency of Gamified Exploratory GUI Testing. IEEE Transactions on Software Engineering.")</f>
        <v>Coppola, R., Fulcini, T., Ardito, L., Torchiano, M., &amp; Alègroth, E. (2023). On Effectiveness and Efficiency of Gamified Exploratory GUI Testing. IEEE Transactions on Software Engineering.</v>
      </c>
      <c r="C56" s="7" t="b">
        <f ca="1">IFERROR(__xludf.DUMMYFUNCTION("""COMPUTED_VALUE"""),TRUE)</f>
        <v>1</v>
      </c>
      <c r="D56" s="5" t="str">
        <f ca="1">IFERROR(__xludf.DUMMYFUNCTION("""COMPUTED_VALUE"""),"rater2")</f>
        <v>rater2</v>
      </c>
      <c r="E56" s="5">
        <f ca="1">IF(C56, COUNTIF(Extraction!A:A, A56), "-")</f>
        <v>1</v>
      </c>
      <c r="F56" s="7" t="b">
        <f ca="1">IFERROR(__xludf.DUMMYFUNCTION("(COUNTIF(IMPORTRANGE(""https://docs.google.com/spreadsheets/d/1XUJGjtfB9SoW1rbohdkE9Z52MKac6AJzLHIsCSLTjGo/edit#gid=0"", ""Overlap!A2:A15""), A56)&gt;0)"),FALSE)</f>
        <v>0</v>
      </c>
      <c r="G56" s="5" t="str">
        <f ca="1">IF(OR(NOT(C56), NOT(F56)), " ", IF(D56="rater1","rater2","rater1"))</f>
        <v xml:space="preserve"> </v>
      </c>
      <c r="H56" s="8" t="str">
        <f ca="1">IF(AND(C56,F56), COUNTIF(#REF!, A56), "-")</f>
        <v>-</v>
      </c>
      <c r="I56" s="6"/>
    </row>
    <row r="57" spans="1:9" x14ac:dyDescent="0.25">
      <c r="A57" s="5">
        <v>56</v>
      </c>
      <c r="B57" s="6" t="str">
        <f ca="1">IFERROR(__xludf.DUMMYFUNCTION("""COMPUTED_VALUE"""),"Santana, R., Martins, L., Virgínio, T., Rocha, L., Costa, H., &amp; Machado, I. (2024). An empirical evaluation of RAIDE: A semi-automated approach for test smells detection and refactoring. Science of Computer Programming, 231, 103013.")</f>
        <v>Santana, R., Martins, L., Virgínio, T., Rocha, L., Costa, H., &amp; Machado, I. (2024). An empirical evaluation of RAIDE: A semi-automated approach for test smells detection and refactoring. Science of Computer Programming, 231, 103013.</v>
      </c>
      <c r="C57" s="7" t="b">
        <f ca="1">IFERROR(__xludf.DUMMYFUNCTION("""COMPUTED_VALUE"""),TRUE)</f>
        <v>1</v>
      </c>
      <c r="D57" s="5" t="str">
        <f ca="1">IFERROR(__xludf.DUMMYFUNCTION("""COMPUTED_VALUE"""),"rater1")</f>
        <v>rater1</v>
      </c>
      <c r="E57" s="5">
        <f ca="1">IF(C57, COUNTIF(Extraction!A:A, A57), "-")</f>
        <v>1</v>
      </c>
      <c r="F57" s="7" t="b">
        <f ca="1">IFERROR(__xludf.DUMMYFUNCTION("(COUNTIF(IMPORTRANGE(""https://docs.google.com/spreadsheets/d/1XUJGjtfB9SoW1rbohdkE9Z52MKac6AJzLHIsCSLTjGo/edit#gid=0"", ""Overlap!A2:A15""), A57)&gt;0)"),FALSE)</f>
        <v>0</v>
      </c>
      <c r="G57" s="5" t="str">
        <f ca="1">IF(OR(NOT(C57), NOT(F57)), " ", IF(D57="rater1","rater2","rater1"))</f>
        <v xml:space="preserve"> </v>
      </c>
      <c r="H57" s="8" t="str">
        <f ca="1">IF(AND(C57,F57), COUNTIF(#REF!, A57), "-")</f>
        <v>-</v>
      </c>
      <c r="I57" s="6"/>
    </row>
    <row r="58" spans="1:9" x14ac:dyDescent="0.25">
      <c r="A58" s="5">
        <v>57</v>
      </c>
      <c r="B58" s="6" t="str">
        <f ca="1">IFERROR(__xludf.DUMMYFUNCTION("""COMPUTED_VALUE"""),"Reichl, J., Hanenberg, S., &amp; Gruhn, V. (2023, May). Does the Stream API Benefit from Special Debugging Facilities? A Controlled Experiment on Loops and Streams with Specific Debuggers. In 2023 IEEE/ACM 45th International Conference on Software Engineering"&amp;" (ICSE) (pp. 576-588). IEEE.")</f>
        <v>Reichl, J., Hanenberg, S., &amp; Gruhn, V. (2023, May). Does the Stream API Benefit from Special Debugging Facilities? A Controlled Experiment on Loops and Streams with Specific Debuggers. In 2023 IEEE/ACM 45th International Conference on Software Engineering (ICSE) (pp. 576-588). IEEE.</v>
      </c>
      <c r="C58" s="7" t="b">
        <f ca="1">IFERROR(__xludf.DUMMYFUNCTION("""COMPUTED_VALUE"""),TRUE)</f>
        <v>1</v>
      </c>
      <c r="D58" s="5" t="str">
        <f ca="1">IFERROR(__xludf.DUMMYFUNCTION("""COMPUTED_VALUE"""),"rater2")</f>
        <v>rater2</v>
      </c>
      <c r="E58" s="5">
        <f ca="1">IF(C58, COUNTIF(Extraction!A:A, A58), "-")</f>
        <v>1</v>
      </c>
      <c r="F58" s="7" t="b">
        <f ca="1">IFERROR(__xludf.DUMMYFUNCTION("(COUNTIF(IMPORTRANGE(""https://docs.google.com/spreadsheets/d/1XUJGjtfB9SoW1rbohdkE9Z52MKac6AJzLHIsCSLTjGo/edit#gid=0"", ""Overlap!A2:A15""), A58)&gt;0)"),FALSE)</f>
        <v>0</v>
      </c>
      <c r="G58" s="5" t="str">
        <f ca="1">IF(OR(NOT(C58), NOT(F58)), " ", IF(D58="rater1","rater2","rater1"))</f>
        <v xml:space="preserve"> </v>
      </c>
      <c r="H58" s="8" t="str">
        <f ca="1">IF(AND(C58,F58), COUNTIF(#REF!, A58), "-")</f>
        <v>-</v>
      </c>
      <c r="I58" s="6"/>
    </row>
    <row r="59" spans="1:9" x14ac:dyDescent="0.25">
      <c r="A59" s="5">
        <v>58</v>
      </c>
      <c r="B59" s="6" t="str">
        <f ca="1">IFERROR(__xludf.DUMMYFUNCTION("""COMPUTED_VALUE"""),"Caulo, M., Francese, R., Scanniello, G., &amp; Tortora, G. (2021). Implications on the Migration from Ionic to Android. In Product-Focused Software Process Improvement: 22nd International Conference, PROFES 2021, Turin, Italy, November 26, 2021, Proceedings 2"&amp;"2 (pp. 3-19). Springer International Publishing.")</f>
        <v>Caulo, M., Francese, R., Scanniello, G., &amp; Tortora, G. (2021). Implications on the Migration from Ionic to Android. In Product-Focused Software Process Improvement: 22nd International Conference, PROFES 2021, Turin, Italy, November 26, 2021, Proceedings 22 (pp. 3-19). Springer International Publishing.</v>
      </c>
      <c r="C59" s="7" t="b">
        <f ca="1">IFERROR(__xludf.DUMMYFUNCTION("""COMPUTED_VALUE"""),FALSE)</f>
        <v>0</v>
      </c>
      <c r="D59" s="5" t="str">
        <f ca="1">IFERROR(__xludf.DUMMYFUNCTION("""COMPUTED_VALUE"""),"rater1")</f>
        <v>rater1</v>
      </c>
      <c r="E59" s="5" t="str">
        <f ca="1">IF(C59, COUNTIF(Extraction!A:A, A59), "-")</f>
        <v>-</v>
      </c>
      <c r="F59" s="7" t="b">
        <f ca="1">IFERROR(__xludf.DUMMYFUNCTION("(COUNTIF(IMPORTRANGE(""https://docs.google.com/spreadsheets/d/1XUJGjtfB9SoW1rbohdkE9Z52MKac6AJzLHIsCSLTjGo/edit#gid=0"", ""Overlap!A2:A15""), A59)&gt;0)"),FALSE)</f>
        <v>0</v>
      </c>
      <c r="G59" s="5" t="str">
        <f ca="1">IF(OR(NOT(C59), NOT(F59)), " ", IF(D59="rater1","rater2","rater1"))</f>
        <v xml:space="preserve"> </v>
      </c>
      <c r="H59" s="8" t="str">
        <f ca="1">IF(AND(C59,F59), COUNTIF(#REF!, A59), "-")</f>
        <v>-</v>
      </c>
      <c r="I59" s="6"/>
    </row>
    <row r="60" spans="1:9" x14ac:dyDescent="0.25">
      <c r="A60" s="5">
        <v>59</v>
      </c>
      <c r="B60" s="6" t="str">
        <f ca="1">IFERROR(__xludf.DUMMYFUNCTION("""COMPUTED_VALUE"""),"Straub, D. W., Gefen, D., &amp; Recker, J. (2022). Quantitative research in information systems. Association for Information Systems (AISWorld) Section on IS Research, Methods, and Theories.")</f>
        <v>Straub, D. W., Gefen, D., &amp; Recker, J. (2022). Quantitative research in information systems. Association for Information Systems (AISWorld) Section on IS Research, Methods, and Theories.</v>
      </c>
      <c r="C60" s="7" t="b">
        <f ca="1">IFERROR(__xludf.DUMMYFUNCTION("""COMPUTED_VALUE"""),FALSE)</f>
        <v>0</v>
      </c>
      <c r="D60" s="5" t="str">
        <f ca="1">IFERROR(__xludf.DUMMYFUNCTION("""COMPUTED_VALUE"""),"rater1")</f>
        <v>rater1</v>
      </c>
      <c r="E60" s="5" t="str">
        <f ca="1">IF(C60, COUNTIF(Extraction!A:A, A60), "-")</f>
        <v>-</v>
      </c>
      <c r="F60" s="7" t="b">
        <f ca="1">IFERROR(__xludf.DUMMYFUNCTION("(COUNTIF(IMPORTRANGE(""https://docs.google.com/spreadsheets/d/1XUJGjtfB9SoW1rbohdkE9Z52MKac6AJzLHIsCSLTjGo/edit#gid=0"", ""Overlap!A2:A15""), A60)&gt;0)"),FALSE)</f>
        <v>0</v>
      </c>
      <c r="G60" s="5" t="str">
        <f ca="1">IF(OR(NOT(C60), NOT(F60)), " ", IF(D60="rater1","rater2","rater1"))</f>
        <v xml:space="preserve"> </v>
      </c>
      <c r="H60" s="8" t="str">
        <f ca="1">IF(AND(C60,F60), COUNTIF(#REF!, A60), "-")</f>
        <v>-</v>
      </c>
      <c r="I60" s="6"/>
    </row>
    <row r="61" spans="1:9" x14ac:dyDescent="0.25">
      <c r="A61" s="5">
        <v>60</v>
      </c>
      <c r="B61" s="6" t="str">
        <f ca="1">IFERROR(__xludf.DUMMYFUNCTION("""COMPUTED_VALUE"""),"Ren, R., Castro, J. W., Santos, A., Dieste, O., &amp; Acuña, S. T. (2022). Using the SOCIO chatbot for UML modelling: A family of experiments. IEEE Transactions on Software Engineering, 49(1), 364-383.")</f>
        <v>Ren, R., Castro, J. W., Santos, A., Dieste, O., &amp; Acuña, S. T. (2022). Using the SOCIO chatbot for UML modelling: A family of experiments. IEEE Transactions on Software Engineering, 49(1), 364-383.</v>
      </c>
      <c r="C61" s="7" t="b">
        <f ca="1">IFERROR(__xludf.DUMMYFUNCTION("""COMPUTED_VALUE"""),TRUE)</f>
        <v>1</v>
      </c>
      <c r="D61" s="5" t="str">
        <f ca="1">IFERROR(__xludf.DUMMYFUNCTION("""COMPUTED_VALUE"""),"rater2")</f>
        <v>rater2</v>
      </c>
      <c r="E61" s="5">
        <f ca="1">IF(C61, COUNTIF(Extraction!A:A, A61), "-")</f>
        <v>3</v>
      </c>
      <c r="F61" s="7" t="b">
        <f ca="1">IFERROR(__xludf.DUMMYFUNCTION("(COUNTIF(IMPORTRANGE(""https://docs.google.com/spreadsheets/d/1XUJGjtfB9SoW1rbohdkE9Z52MKac6AJzLHIsCSLTjGo/edit#gid=0"", ""Overlap!A2:A15""), A61)&gt;0)"),FALSE)</f>
        <v>0</v>
      </c>
      <c r="G61" s="5" t="str">
        <f ca="1">IF(OR(NOT(C61), NOT(F61)), " ", IF(D61="rater1","rater2","rater1"))</f>
        <v xml:space="preserve"> </v>
      </c>
      <c r="H61" s="8" t="str">
        <f ca="1">IF(AND(C61,F61), COUNTIF(#REF!, A61), "-")</f>
        <v>-</v>
      </c>
      <c r="I61" s="6"/>
    </row>
    <row r="62" spans="1:9" x14ac:dyDescent="0.25">
      <c r="A62" s="5">
        <v>61</v>
      </c>
      <c r="B62" s="6" t="str">
        <f ca="1">IFERROR(__xludf.DUMMYFUNCTION("""COMPUTED_VALUE"""),"Caivano, D., Fernández-Ropero, M., Pérez-Castillo, R., Piattini, M., &amp; Scalera, M. (2018). Artifact-based vs. human-perceived understandability and modifiability of refactored business processes: an experiment. Journal of Systems and Software, 144, 143-16"&amp;"4.")</f>
        <v>Caivano, D., Fernández-Ropero, M., Pérez-Castillo, R., Piattini, M., &amp; Scalera, M. (2018). Artifact-based vs. human-perceived understandability and modifiability of refactored business processes: an experiment. Journal of Systems and Software, 144, 143-164.</v>
      </c>
      <c r="C62" s="7" t="b">
        <f ca="1">IFERROR(__xludf.DUMMYFUNCTION("""COMPUTED_VALUE"""),TRUE)</f>
        <v>1</v>
      </c>
      <c r="D62" s="5" t="str">
        <f ca="1">IFERROR(__xludf.DUMMYFUNCTION("""COMPUTED_VALUE"""),"rater1")</f>
        <v>rater1</v>
      </c>
      <c r="E62" s="5">
        <f ca="1">IF(C62, COUNTIF(Extraction!A:A, A62), "-")</f>
        <v>1</v>
      </c>
      <c r="F62" s="7" t="b">
        <f ca="1">IFERROR(__xludf.DUMMYFUNCTION("(COUNTIF(IMPORTRANGE(""https://docs.google.com/spreadsheets/d/1XUJGjtfB9SoW1rbohdkE9Z52MKac6AJzLHIsCSLTjGo/edit#gid=0"", ""Overlap!A2:A15""), A62)&gt;0)"),FALSE)</f>
        <v>0</v>
      </c>
      <c r="G62" s="5" t="str">
        <f ca="1">IF(OR(NOT(C62), NOT(F62)), " ", IF(D62="rater1","rater2","rater1"))</f>
        <v xml:space="preserve"> </v>
      </c>
      <c r="H62" s="8" t="str">
        <f ca="1">IF(AND(C62,F62), COUNTIF(#REF!, A62), "-")</f>
        <v>-</v>
      </c>
      <c r="I62" s="6"/>
    </row>
    <row r="63" spans="1:9" x14ac:dyDescent="0.25">
      <c r="A63" s="5">
        <v>62</v>
      </c>
      <c r="B63" s="6" t="str">
        <f ca="1">IFERROR(__xludf.DUMMYFUNCTION("""COMPUTED_VALUE"""),"Domingo, Á., Echeverría, J., Pastor, O., &amp; Cetina, C. (2021). Evaluating the influence of scope on feature location. Information and Software Technology, 140, 106674.")</f>
        <v>Domingo, Á., Echeverría, J., Pastor, O., &amp; Cetina, C. (2021). Evaluating the influence of scope on feature location. Information and Software Technology, 140, 106674.</v>
      </c>
      <c r="C63" s="7" t="b">
        <f ca="1">IFERROR(__xludf.DUMMYFUNCTION("""COMPUTED_VALUE"""),TRUE)</f>
        <v>1</v>
      </c>
      <c r="D63" s="5" t="str">
        <f ca="1">IFERROR(__xludf.DUMMYFUNCTION("""COMPUTED_VALUE"""),"rater2")</f>
        <v>rater2</v>
      </c>
      <c r="E63" s="5">
        <f ca="1">IF(C63, COUNTIF(Extraction!A:A, A63), "-")</f>
        <v>1</v>
      </c>
      <c r="F63" s="7" t="b">
        <f ca="1">IFERROR(__xludf.DUMMYFUNCTION("(COUNTIF(IMPORTRANGE(""https://docs.google.com/spreadsheets/d/1XUJGjtfB9SoW1rbohdkE9Z52MKac6AJzLHIsCSLTjGo/edit#gid=0"", ""Overlap!A2:A15""), A63)&gt;0)"),FALSE)</f>
        <v>0</v>
      </c>
      <c r="G63" s="5" t="str">
        <f ca="1">IF(OR(NOT(C63), NOT(F63)), " ", IF(D63="rater1","rater2","rater1"))</f>
        <v xml:space="preserve"> </v>
      </c>
      <c r="H63" s="8" t="str">
        <f ca="1">IF(AND(C63,F63), COUNTIF(#REF!, A63), "-")</f>
        <v>-</v>
      </c>
      <c r="I63" s="6"/>
    </row>
    <row r="64" spans="1:9" x14ac:dyDescent="0.25">
      <c r="A64" s="5">
        <v>63</v>
      </c>
      <c r="B64" s="6" t="str">
        <f ca="1">IFERROR(__xludf.DUMMYFUNCTION("""COMPUTED_VALUE"""),"Daun, M., Brings, J., &amp; Weyer, T. (2023). Model inspections in the engineering of collaborative cyber‐physical systems with instance‐level review diagrams. Journal of Software: Evolution and Process, 35(5), e2392.")</f>
        <v>Daun, M., Brings, J., &amp; Weyer, T. (2023). Model inspections in the engineering of collaborative cyber‐physical systems with instance‐level review diagrams. Journal of Software: Evolution and Process, 35(5), e2392.</v>
      </c>
      <c r="C64" s="7" t="b">
        <f ca="1">IFERROR(__xludf.DUMMYFUNCTION("""COMPUTED_VALUE"""),FALSE)</f>
        <v>0</v>
      </c>
      <c r="D64" s="5" t="str">
        <f ca="1">IFERROR(__xludf.DUMMYFUNCTION("""COMPUTED_VALUE"""),"rater1")</f>
        <v>rater1</v>
      </c>
      <c r="E64" s="5" t="str">
        <f ca="1">IF(C64, COUNTIF(Extraction!A:A, A64), "-")</f>
        <v>-</v>
      </c>
      <c r="F64" s="7" t="b">
        <f ca="1">IFERROR(__xludf.DUMMYFUNCTION("(COUNTIF(IMPORTRANGE(""https://docs.google.com/spreadsheets/d/1XUJGjtfB9SoW1rbohdkE9Z52MKac6AJzLHIsCSLTjGo/edit#gid=0"", ""Overlap!A2:A15""), A64)&gt;0)"),FALSE)</f>
        <v>0</v>
      </c>
      <c r="G64" s="5" t="str">
        <f ca="1">IF(OR(NOT(C64), NOT(F64)), " ", IF(D64="rater1","rater2","rater1"))</f>
        <v xml:space="preserve"> </v>
      </c>
      <c r="H64" s="8" t="str">
        <f ca="1">IF(AND(C64,F64), COUNTIF(#REF!, A64), "-")</f>
        <v>-</v>
      </c>
      <c r="I64" s="6"/>
    </row>
    <row r="65" spans="1:9" x14ac:dyDescent="0.25">
      <c r="A65" s="5">
        <v>64</v>
      </c>
      <c r="B65" s="6" t="str">
        <f ca="1">IFERROR(__xludf.DUMMYFUNCTION("""COMPUTED_VALUE"""),"Bünder, H., &amp; Kuchen, H. (2019, April). A model-driven approach for behavior-driven GUI testing. In Proceedings of the 34th ACM/SIGAPP Symposium on Applied Computing (pp. 1742-1751).")</f>
        <v>Bünder, H., &amp; Kuchen, H. (2019, April). A model-driven approach for behavior-driven GUI testing. In Proceedings of the 34th ACM/SIGAPP Symposium on Applied Computing (pp. 1742-1751).</v>
      </c>
      <c r="C65" s="7" t="b">
        <f ca="1">IFERROR(__xludf.DUMMYFUNCTION("""COMPUTED_VALUE"""),FALSE)</f>
        <v>0</v>
      </c>
      <c r="D65" s="5" t="str">
        <f ca="1">IFERROR(__xludf.DUMMYFUNCTION("""COMPUTED_VALUE"""),"rater1")</f>
        <v>rater1</v>
      </c>
      <c r="E65" s="5" t="str">
        <f ca="1">IF(C65, COUNTIF(Extraction!A:A, A65), "-")</f>
        <v>-</v>
      </c>
      <c r="F65" s="7" t="b">
        <f ca="1">IFERROR(__xludf.DUMMYFUNCTION("(COUNTIF(IMPORTRANGE(""https://docs.google.com/spreadsheets/d/1XUJGjtfB9SoW1rbohdkE9Z52MKac6AJzLHIsCSLTjGo/edit#gid=0"", ""Overlap!A2:A15""), A65)&gt;0)"),TRUE)</f>
        <v>1</v>
      </c>
      <c r="G65" s="5" t="str">
        <f ca="1">IF(OR(NOT(C65), NOT(F65)), " ", IF(D65="rater1","rater2","rater1"))</f>
        <v xml:space="preserve"> </v>
      </c>
      <c r="H65" s="8" t="str">
        <f ca="1">IF(AND(C65,F65), COUNTIF(#REF!, A65), "-")</f>
        <v>-</v>
      </c>
      <c r="I65" s="6"/>
    </row>
    <row r="66" spans="1:9" x14ac:dyDescent="0.25">
      <c r="A66" s="5">
        <v>65</v>
      </c>
      <c r="B66" s="6" t="str">
        <f ca="1">IFERROR(__xludf.DUMMYFUNCTION("""COMPUTED_VALUE"""),"Abrahão, S., &amp; Insfran, E. (2017, June). Evaluating software architecture evaluation methods: An internal replication. In Proceedings of the 21st International Conference on Evaluation and Assessment in Software Engineering (pp. 144-153).")</f>
        <v>Abrahão, S., &amp; Insfran, E. (2017, June). Evaluating software architecture evaluation methods: An internal replication. In Proceedings of the 21st International Conference on Evaluation and Assessment in Software Engineering (pp. 144-153).</v>
      </c>
      <c r="C66" s="7" t="b">
        <f ca="1">IFERROR(__xludf.DUMMYFUNCTION("""COMPUTED_VALUE"""),TRUE)</f>
        <v>1</v>
      </c>
      <c r="D66" s="5" t="str">
        <f ca="1">IFERROR(__xludf.DUMMYFUNCTION("""COMPUTED_VALUE"""),"rater2")</f>
        <v>rater2</v>
      </c>
      <c r="E66" s="5">
        <f ca="1">IF(C66, COUNTIF(Extraction!A:A, A66), "-")</f>
        <v>5</v>
      </c>
      <c r="F66" s="7" t="b">
        <f ca="1">IFERROR(__xludf.DUMMYFUNCTION("(COUNTIF(IMPORTRANGE(""https://docs.google.com/spreadsheets/d/1XUJGjtfB9SoW1rbohdkE9Z52MKac6AJzLHIsCSLTjGo/edit#gid=0"", ""Overlap!A2:A15""), A66)&gt;0)"),FALSE)</f>
        <v>0</v>
      </c>
      <c r="G66" s="5" t="str">
        <f ca="1">IF(OR(NOT(C66), NOT(F66)), " ", IF(D66="rater1","rater2","rater1"))</f>
        <v xml:space="preserve"> </v>
      </c>
      <c r="H66" s="8" t="str">
        <f ca="1">IF(AND(C66,F66), COUNTIF(#REF!, A66), "-")</f>
        <v>-</v>
      </c>
      <c r="I66" s="6"/>
    </row>
    <row r="67" spans="1:9" x14ac:dyDescent="0.25">
      <c r="A67" s="5">
        <v>66</v>
      </c>
      <c r="B67" s="6" t="str">
        <f ca="1">IFERROR(__xludf.DUMMYFUNCTION("""COMPUTED_VALUE"""),"Frattini, J., Fucci, D., Torkar, R., Montgomery, L., Unterkalmsteiner, M., Fischbach, J., &amp; Mendez, D. (2024). Applying Bayesian Data Analysis for Causal Inference about Requirements Quality: A Replicated Experiment. arXiv preprint arXiv:2401.01154.")</f>
        <v>Frattini, J., Fucci, D., Torkar, R., Montgomery, L., Unterkalmsteiner, M., Fischbach, J., &amp; Mendez, D. (2024). Applying Bayesian Data Analysis for Causal Inference about Requirements Quality: A Replicated Experiment. arXiv preprint arXiv:2401.01154.</v>
      </c>
      <c r="C67" s="7" t="b">
        <f ca="1">IFERROR(__xludf.DUMMYFUNCTION("""COMPUTED_VALUE"""),FALSE)</f>
        <v>0</v>
      </c>
      <c r="D67" s="5" t="str">
        <f ca="1">IFERROR(__xludf.DUMMYFUNCTION("""COMPUTED_VALUE"""),"rater1")</f>
        <v>rater1</v>
      </c>
      <c r="E67" s="5" t="str">
        <f ca="1">IF(C67, COUNTIF(Extraction!A:A, A67), "-")</f>
        <v>-</v>
      </c>
      <c r="F67" s="7" t="b">
        <f ca="1">IFERROR(__xludf.DUMMYFUNCTION("(COUNTIF(IMPORTRANGE(""https://docs.google.com/spreadsheets/d/1XUJGjtfB9SoW1rbohdkE9Z52MKac6AJzLHIsCSLTjGo/edit#gid=0"", ""Overlap!A2:A15""), A67)&gt;0)"),FALSE)</f>
        <v>0</v>
      </c>
      <c r="G67" s="5" t="str">
        <f ca="1">IF(OR(NOT(C67), NOT(F67)), " ", IF(D67="rater1","rater2","rater1"))</f>
        <v xml:space="preserve"> </v>
      </c>
      <c r="H67" s="8" t="str">
        <f ca="1">IF(AND(C67,F67), COUNTIF(#REF!, A67), "-")</f>
        <v>-</v>
      </c>
      <c r="I67" s="6"/>
    </row>
    <row r="68" spans="1:9" x14ac:dyDescent="0.25">
      <c r="A68" s="5">
        <v>67</v>
      </c>
      <c r="B68" s="6" t="str">
        <f ca="1">IFERROR(__xludf.DUMMYFUNCTION("""COMPUTED_VALUE"""),"Bogner, J., Wójcik, P., &amp; Zimmermann, O. (2024). How Do Microservice API Patterns Impact Understandability? A Controlled Experiment. arXiv preprint arXiv:2402.13696.")</f>
        <v>Bogner, J., Wójcik, P., &amp; Zimmermann, O. (2024). How Do Microservice API Patterns Impact Understandability? A Controlled Experiment. arXiv preprint arXiv:2402.13696.</v>
      </c>
      <c r="C68" s="7" t="b">
        <f ca="1">IFERROR(__xludf.DUMMYFUNCTION("""COMPUTED_VALUE"""),FALSE)</f>
        <v>0</v>
      </c>
      <c r="D68" s="5" t="str">
        <f ca="1">IFERROR(__xludf.DUMMYFUNCTION("""COMPUTED_VALUE"""),"rater2")</f>
        <v>rater2</v>
      </c>
      <c r="E68" s="5" t="str">
        <f ca="1">IF(C68, COUNTIF(Extraction!A:A, A68), "-")</f>
        <v>-</v>
      </c>
      <c r="F68" s="7" t="b">
        <f ca="1">IFERROR(__xludf.DUMMYFUNCTION("(COUNTIF(IMPORTRANGE(""https://docs.google.com/spreadsheets/d/1XUJGjtfB9SoW1rbohdkE9Z52MKac6AJzLHIsCSLTjGo/edit#gid=0"", ""Overlap!A2:A15""), A68)&gt;0)"),FALSE)</f>
        <v>0</v>
      </c>
      <c r="G68" s="5" t="str">
        <f ca="1">IF(OR(NOT(C68), NOT(F68)), " ", IF(D68="rater1","rater2","rater1"))</f>
        <v xml:space="preserve"> </v>
      </c>
      <c r="H68" s="8" t="str">
        <f ca="1">IF(AND(C68,F68), COUNTIF(#REF!, A68), "-")</f>
        <v>-</v>
      </c>
      <c r="I68" s="6"/>
    </row>
    <row r="69" spans="1:9" x14ac:dyDescent="0.25">
      <c r="A69" s="5">
        <v>68</v>
      </c>
      <c r="B69" s="6" t="str">
        <f ca="1">IFERROR(__xludf.DUMMYFUNCTION("""COMPUTED_VALUE"""),"Frattini, J., Fucci, D., Torkar, R., &amp; Mendez, D. (2024). A Second Look at the Impact of Passive Voice Requirements on Domain Modeling: Bayesian Reanalysis of an Experiment. arXiv preprint arXiv:2402.10800.")</f>
        <v>Frattini, J., Fucci, D., Torkar, R., &amp; Mendez, D. (2024). A Second Look at the Impact of Passive Voice Requirements on Domain Modeling: Bayesian Reanalysis of an Experiment. arXiv preprint arXiv:2402.10800.</v>
      </c>
      <c r="C69" s="7" t="b">
        <f ca="1">IFERROR(__xludf.DUMMYFUNCTION("""COMPUTED_VALUE"""),FALSE)</f>
        <v>0</v>
      </c>
      <c r="D69" s="5" t="str">
        <f ca="1">IFERROR(__xludf.DUMMYFUNCTION("""COMPUTED_VALUE"""),"rater1")</f>
        <v>rater1</v>
      </c>
      <c r="E69" s="5" t="str">
        <f ca="1">IF(C69, COUNTIF(Extraction!A:A, A69), "-")</f>
        <v>-</v>
      </c>
      <c r="F69" s="7" t="b">
        <f ca="1">IFERROR(__xludf.DUMMYFUNCTION("(COUNTIF(IMPORTRANGE(""https://docs.google.com/spreadsheets/d/1XUJGjtfB9SoW1rbohdkE9Z52MKac6AJzLHIsCSLTjGo/edit#gid=0"", ""Overlap!A2:A15""), A69)&gt;0)"),TRUE)</f>
        <v>1</v>
      </c>
      <c r="G69" s="5" t="str">
        <f ca="1">IF(OR(NOT(C69), NOT(F69)), " ", IF(D69="rater1","rater2","rater1"))</f>
        <v xml:space="preserve"> </v>
      </c>
      <c r="H69" s="8" t="str">
        <f ca="1">IF(AND(C69,F69), COUNTIF(#REF!, A69), "-")</f>
        <v>-</v>
      </c>
      <c r="I69" s="6"/>
    </row>
    <row r="70" spans="1:9" x14ac:dyDescent="0.25">
      <c r="A70" s="5">
        <v>69</v>
      </c>
      <c r="B70" s="6" t="str">
        <f ca="1">IFERROR(__xludf.DUMMYFUNCTION("""COMPUTED_VALUE"""),"Baldassarre, M. T., Caivano, D., Romano, S., Cagnetta, F., Fernandez-Cervantes, V., &amp; Stroulia, E. (2021). PhyDSLK: a model-driven framework for generating exergames. Multimedia Tools and Applications, 80(18), 27947-27971.")</f>
        <v>Baldassarre, M. T., Caivano, D., Romano, S., Cagnetta, F., Fernandez-Cervantes, V., &amp; Stroulia, E. (2021). PhyDSLK: a model-driven framework for generating exergames. Multimedia Tools and Applications, 80(18), 27947-27971.</v>
      </c>
      <c r="C70" s="7" t="b">
        <f ca="1">IFERROR(__xludf.DUMMYFUNCTION("""COMPUTED_VALUE"""),FALSE)</f>
        <v>0</v>
      </c>
      <c r="D70" s="5" t="str">
        <f ca="1">IFERROR(__xludf.DUMMYFUNCTION("""COMPUTED_VALUE"""),"rater2")</f>
        <v>rater2</v>
      </c>
      <c r="E70" s="5" t="str">
        <f ca="1">IF(C70, COUNTIF(Extraction!A:A, A70), "-")</f>
        <v>-</v>
      </c>
      <c r="F70" s="7" t="b">
        <f ca="1">IFERROR(__xludf.DUMMYFUNCTION("(COUNTIF(IMPORTRANGE(""https://docs.google.com/spreadsheets/d/1XUJGjtfB9SoW1rbohdkE9Z52MKac6AJzLHIsCSLTjGo/edit#gid=0"", ""Overlap!A2:A15""), A70)&gt;0)"),FALSE)</f>
        <v>0</v>
      </c>
      <c r="G70" s="5" t="str">
        <f ca="1">IF(OR(NOT(C70), NOT(F70)), " ", IF(D70="rater1","rater2","rater1"))</f>
        <v xml:space="preserve"> </v>
      </c>
      <c r="H70" s="8" t="str">
        <f ca="1">IF(AND(C70,F70), COUNTIF(#REF!, A70), "-")</f>
        <v>-</v>
      </c>
      <c r="I70" s="6"/>
    </row>
    <row r="71" spans="1:9" x14ac:dyDescent="0.25">
      <c r="A71" s="5">
        <v>70</v>
      </c>
      <c r="B71" s="6" t="str">
        <f ca="1">IFERROR(__xludf.DUMMYFUNCTION("""COMPUTED_VALUE"""),"Figueiredo, D. G., Abrahão, S., Fernández-Diego, M., &amp; Insfran, E. (2023). A Comparative Study on Reward Models for UI Adaptation with Reinforcement Learning. arXiv preprint arXiv:2308.13937.")</f>
        <v>Figueiredo, D. G., Abrahão, S., Fernández-Diego, M., &amp; Insfran, E. (2023). A Comparative Study on Reward Models for UI Adaptation with Reinforcement Learning. arXiv preprint arXiv:2308.13937.</v>
      </c>
      <c r="C71" s="7" t="b">
        <f ca="1">IFERROR(__xludf.DUMMYFUNCTION("""COMPUTED_VALUE"""),FALSE)</f>
        <v>0</v>
      </c>
      <c r="D71" s="5" t="str">
        <f ca="1">IFERROR(__xludf.DUMMYFUNCTION("""COMPUTED_VALUE"""),"rater1")</f>
        <v>rater1</v>
      </c>
      <c r="E71" s="5" t="str">
        <f ca="1">IF(C71, COUNTIF(Extraction!A:A, A71), "-")</f>
        <v>-</v>
      </c>
      <c r="F71" s="7" t="b">
        <f ca="1">IFERROR(__xludf.DUMMYFUNCTION("(COUNTIF(IMPORTRANGE(""https://docs.google.com/spreadsheets/d/1XUJGjtfB9SoW1rbohdkE9Z52MKac6AJzLHIsCSLTjGo/edit#gid=0"", ""Overlap!A2:A15""), A71)&gt;0)"),FALSE)</f>
        <v>0</v>
      </c>
      <c r="G71" s="5" t="str">
        <f ca="1">IF(OR(NOT(C71), NOT(F71)), " ", IF(D71="rater1","rater2","rater1"))</f>
        <v xml:space="preserve"> </v>
      </c>
      <c r="H71" s="8" t="str">
        <f ca="1">IF(AND(C71,F71), COUNTIF(#REF!, A71), "-")</f>
        <v>-</v>
      </c>
      <c r="I71" s="6"/>
    </row>
    <row r="72" spans="1:9" x14ac:dyDescent="0.25">
      <c r="A72" s="5">
        <v>71</v>
      </c>
      <c r="B72" s="6" t="str">
        <f ca="1">IFERROR(__xludf.DUMMYFUNCTION("""COMPUTED_VALUE"""),"Kreber, L., &amp; Diehl, S. (2023, October). A Comparative Evaluation of Tabs and Linked Panels for Program Understanding in Augmented Reality. In 2023 IEEE International Symposium on Mixed and Augmented Reality (ISMAR) (pp. 29-38). IEEE.")</f>
        <v>Kreber, L., &amp; Diehl, S. (2023, October). A Comparative Evaluation of Tabs and Linked Panels for Program Understanding in Augmented Reality. In 2023 IEEE International Symposium on Mixed and Augmented Reality (ISMAR) (pp. 29-38). IEEE.</v>
      </c>
      <c r="C72" s="7" t="b">
        <f ca="1">IFERROR(__xludf.DUMMYFUNCTION("""COMPUTED_VALUE"""),TRUE)</f>
        <v>1</v>
      </c>
      <c r="D72" s="5" t="str">
        <f ca="1">IFERROR(__xludf.DUMMYFUNCTION("""COMPUTED_VALUE"""),"rater2")</f>
        <v>rater2</v>
      </c>
      <c r="E72" s="5">
        <f ca="1">IF(C72, COUNTIF(Extraction!A:A, A72), "-")</f>
        <v>1</v>
      </c>
      <c r="F72" s="7" t="b">
        <f ca="1">IFERROR(__xludf.DUMMYFUNCTION("(COUNTIF(IMPORTRANGE(""https://docs.google.com/spreadsheets/d/1XUJGjtfB9SoW1rbohdkE9Z52MKac6AJzLHIsCSLTjGo/edit#gid=0"", ""Overlap!A2:A15""), A72)&gt;0)"),TRUE)</f>
        <v>1</v>
      </c>
      <c r="G72" s="5" t="str">
        <f ca="1">IF(OR(NOT(C72), NOT(F72)), " ", IF(D72="rater1","rater2","rater1"))</f>
        <v>rater1</v>
      </c>
      <c r="H72" s="8" t="e">
        <f ca="1">IF(AND(C72,F72), COUNTIF(#REF!, A72), "-")</f>
        <v>#REF!</v>
      </c>
      <c r="I72" s="6"/>
    </row>
    <row r="73" spans="1:9" x14ac:dyDescent="0.25">
      <c r="A73" s="5">
        <v>72</v>
      </c>
      <c r="B73" s="6" t="str">
        <f ca="1">IFERROR(__xludf.DUMMYFUNCTION("""COMPUTED_VALUE"""),"Coviello, C., Romano, S., Scanniello, G., &amp; Antoniol, G. (2022). Gasser: a multi-objective evolutionary approach for test suite reduction. International Journal of Software Engineering and Knowledge Engineering, 32(02), 193-225.")</f>
        <v>Coviello, C., Romano, S., Scanniello, G., &amp; Antoniol, G. (2022). Gasser: a multi-objective evolutionary approach for test suite reduction. International Journal of Software Engineering and Knowledge Engineering, 32(02), 193-225.</v>
      </c>
      <c r="C73" s="7" t="b">
        <f ca="1">IFERROR(__xludf.DUMMYFUNCTION("""COMPUTED_VALUE"""),FALSE)</f>
        <v>0</v>
      </c>
      <c r="D73" s="5" t="str">
        <f ca="1">IFERROR(__xludf.DUMMYFUNCTION("""COMPUTED_VALUE"""),"rater2")</f>
        <v>rater2</v>
      </c>
      <c r="E73" s="5" t="str">
        <f ca="1">IF(C73, COUNTIF(Extraction!A:A, A73), "-")</f>
        <v>-</v>
      </c>
      <c r="F73" s="7" t="b">
        <f ca="1">IFERROR(__xludf.DUMMYFUNCTION("(COUNTIF(IMPORTRANGE(""https://docs.google.com/spreadsheets/d/1XUJGjtfB9SoW1rbohdkE9Z52MKac6AJzLHIsCSLTjGo/edit#gid=0"", ""Overlap!A2:A15""), A73)&gt;0)"),FALSE)</f>
        <v>0</v>
      </c>
      <c r="G73" s="5" t="str">
        <f ca="1">IF(OR(NOT(C73), NOT(F73)), " ", IF(D73="rater1","rater2","rater1"))</f>
        <v xml:space="preserve"> </v>
      </c>
      <c r="H73" s="8" t="str">
        <f ca="1">IF(AND(C73,F73), COUNTIF(#REF!, A73), "-")</f>
        <v>-</v>
      </c>
      <c r="I73" s="6"/>
    </row>
    <row r="74" spans="1:9" x14ac:dyDescent="0.25">
      <c r="A74" s="5">
        <v>73</v>
      </c>
      <c r="B74" s="6" t="str">
        <f ca="1">IFERROR(__xludf.DUMMYFUNCTION("""COMPUTED_VALUE"""),"Marchezan, L., Assunção, W. K., Michelon, G. K., &amp; Egyed, A. (2023, June). Do Developers Benefit from Recommendations When Repairing Inconsistent Design Models? a Controlled Experiment. In Proceedings of the 27th International Conference on Evaluation and"&amp;" Assessment in Software Engineering (pp. 131-140).")</f>
        <v>Marchezan, L., Assunção, W. K., Michelon, G. K., &amp; Egyed, A. (2023, June). Do Developers Benefit from Recommendations When Repairing Inconsistent Design Models? a Controlled Experiment. In Proceedings of the 27th International Conference on Evaluation and Assessment in Software Engineering (pp. 131-140).</v>
      </c>
      <c r="C74" s="7" t="b">
        <f ca="1">IFERROR(__xludf.DUMMYFUNCTION("""COMPUTED_VALUE"""),TRUE)</f>
        <v>1</v>
      </c>
      <c r="D74" s="5" t="str">
        <f ca="1">IFERROR(__xludf.DUMMYFUNCTION("""COMPUTED_VALUE"""),"rater1")</f>
        <v>rater1</v>
      </c>
      <c r="E74" s="5">
        <f ca="1">IF(C74, COUNTIF(Extraction!A:A, A74), "-")</f>
        <v>1</v>
      </c>
      <c r="F74" s="7" t="b">
        <f ca="1">IFERROR(__xludf.DUMMYFUNCTION("(COUNTIF(IMPORTRANGE(""https://docs.google.com/spreadsheets/d/1XUJGjtfB9SoW1rbohdkE9Z52MKac6AJzLHIsCSLTjGo/edit#gid=0"", ""Overlap!A2:A15""), A74)&gt;0)"),FALSE)</f>
        <v>0</v>
      </c>
      <c r="G74" s="5" t="str">
        <f ca="1">IF(OR(NOT(C74), NOT(F74)), " ", IF(D74="rater1","rater2","rater1"))</f>
        <v xml:space="preserve"> </v>
      </c>
      <c r="H74" s="8" t="str">
        <f ca="1">IF(AND(C74,F74), COUNTIF(#REF!, A74), "-")</f>
        <v>-</v>
      </c>
      <c r="I74" s="6"/>
    </row>
    <row r="75" spans="1:9" x14ac:dyDescent="0.25">
      <c r="A75" s="5">
        <v>74</v>
      </c>
      <c r="B75" s="6" t="str">
        <f ca="1">IFERROR(__xludf.DUMMYFUNCTION("""COMPUTED_VALUE"""),"Baatartogtokh, Y., Foster, I., &amp; Grubb, A. M. (2023, September). Visualizations for User-supported State Space Exploration of Goal Models. In 2023 IEEE 31st International Requirements Engineering Conference (RE) (pp. 281-286). IEEE.")</f>
        <v>Baatartogtokh, Y., Foster, I., &amp; Grubb, A. M. (2023, September). Visualizations for User-supported State Space Exploration of Goal Models. In 2023 IEEE 31st International Requirements Engineering Conference (RE) (pp. 281-286). IEEE.</v>
      </c>
      <c r="C75" s="7" t="b">
        <f ca="1">IFERROR(__xludf.DUMMYFUNCTION("""COMPUTED_VALUE"""),FALSE)</f>
        <v>0</v>
      </c>
      <c r="D75" s="5" t="str">
        <f ca="1">IFERROR(__xludf.DUMMYFUNCTION("""COMPUTED_VALUE"""),"rater1")</f>
        <v>rater1</v>
      </c>
      <c r="E75" s="5" t="str">
        <f ca="1">IF(C75, COUNTIF(Extraction!A:A, A75), "-")</f>
        <v>-</v>
      </c>
      <c r="F75" s="7" t="b">
        <f ca="1">IFERROR(__xludf.DUMMYFUNCTION("(COUNTIF(IMPORTRANGE(""https://docs.google.com/spreadsheets/d/1XUJGjtfB9SoW1rbohdkE9Z52MKac6AJzLHIsCSLTjGo/edit#gid=0"", ""Overlap!A2:A15""), A75)&gt;0)"),FALSE)</f>
        <v>0</v>
      </c>
      <c r="G75" s="5" t="str">
        <f ca="1">IF(OR(NOT(C75), NOT(F75)), " ", IF(D75="rater1","rater2","rater1"))</f>
        <v xml:space="preserve"> </v>
      </c>
      <c r="H75" s="8" t="str">
        <f ca="1">IF(AND(C75,F75), COUNTIF(#REF!, A75), "-")</f>
        <v>-</v>
      </c>
      <c r="I75" s="6"/>
    </row>
    <row r="76" spans="1:9" x14ac:dyDescent="0.25">
      <c r="A76" s="5">
        <v>75</v>
      </c>
      <c r="B76" s="6" t="str">
        <f ca="1">IFERROR(__xludf.DUMMYFUNCTION("""COMPUTED_VALUE"""),"Bogner, J., Kotstein, S., &amp; Pfaff, T. (2023). Do RESTful API Design Rules Have an Impact on the Understandability of Web APIs? A Web-Based Experiment with API Descriptions. arXiv preprint arXiv:2305.07346.")</f>
        <v>Bogner, J., Kotstein, S., &amp; Pfaff, T. (2023). Do RESTful API Design Rules Have an Impact on the Understandability of Web APIs? A Web-Based Experiment with API Descriptions. arXiv preprint arXiv:2305.07346.</v>
      </c>
      <c r="C76" s="7" t="b">
        <f ca="1">IFERROR(__xludf.DUMMYFUNCTION("""COMPUTED_VALUE"""),FALSE)</f>
        <v>0</v>
      </c>
      <c r="D76" s="5" t="str">
        <f ca="1">IFERROR(__xludf.DUMMYFUNCTION("""COMPUTED_VALUE"""),"rater2")</f>
        <v>rater2</v>
      </c>
      <c r="E76" s="5" t="str">
        <f ca="1">IF(C76, COUNTIF(Extraction!A:A, A76), "-")</f>
        <v>-</v>
      </c>
      <c r="F76" s="7" t="b">
        <f ca="1">IFERROR(__xludf.DUMMYFUNCTION("(COUNTIF(IMPORTRANGE(""https://docs.google.com/spreadsheets/d/1XUJGjtfB9SoW1rbohdkE9Z52MKac6AJzLHIsCSLTjGo/edit#gid=0"", ""Overlap!A2:A15""), A76)&gt;0)"),FALSE)</f>
        <v>0</v>
      </c>
      <c r="G76" s="5" t="str">
        <f ca="1">IF(OR(NOT(C76), NOT(F76)), " ", IF(D76="rater1","rater2","rater1"))</f>
        <v xml:space="preserve"> </v>
      </c>
      <c r="H76" s="8" t="str">
        <f ca="1">IF(AND(C76,F76), COUNTIF(#REF!, A76), "-")</f>
        <v>-</v>
      </c>
      <c r="I76" s="6"/>
    </row>
    <row r="77" spans="1:9" x14ac:dyDescent="0.25">
      <c r="A77" s="5">
        <v>76</v>
      </c>
      <c r="B77" s="6" t="str">
        <f ca="1">IFERROR(__xludf.DUMMYFUNCTION("""COMPUTED_VALUE"""),"Nowak, A., &amp; Schünemann, H. J. (2017). Toward evidence-based software engineering: Lessons learned in healthcare application development. IEEE Software, 34(5), 67-71.")</f>
        <v>Nowak, A., &amp; Schünemann, H. J. (2017). Toward evidence-based software engineering: Lessons learned in healthcare application development. IEEE Software, 34(5), 67-71.</v>
      </c>
      <c r="C77" s="7" t="b">
        <f ca="1">IFERROR(__xludf.DUMMYFUNCTION("""COMPUTED_VALUE"""),FALSE)</f>
        <v>0</v>
      </c>
      <c r="D77" s="5" t="str">
        <f ca="1">IFERROR(__xludf.DUMMYFUNCTION("""COMPUTED_VALUE"""),"rater1")</f>
        <v>rater1</v>
      </c>
      <c r="E77" s="5" t="str">
        <f ca="1">IF(C77, COUNTIF(Extraction!A:A, A77), "-")</f>
        <v>-</v>
      </c>
      <c r="F77" s="7" t="b">
        <f ca="1">IFERROR(__xludf.DUMMYFUNCTION("(COUNTIF(IMPORTRANGE(""https://docs.google.com/spreadsheets/d/1XUJGjtfB9SoW1rbohdkE9Z52MKac6AJzLHIsCSLTjGo/edit#gid=0"", ""Overlap!A2:A15""), A77)&gt;0)"),FALSE)</f>
        <v>0</v>
      </c>
      <c r="G77" s="5" t="str">
        <f ca="1">IF(OR(NOT(C77), NOT(F77)), " ", IF(D77="rater1","rater2","rater1"))</f>
        <v xml:space="preserve"> </v>
      </c>
      <c r="H77" s="8" t="str">
        <f ca="1">IF(AND(C77,F77), COUNTIF(#REF!, A77), "-")</f>
        <v>-</v>
      </c>
      <c r="I77" s="6"/>
    </row>
    <row r="78" spans="1:9" x14ac:dyDescent="0.25">
      <c r="A78" s="5">
        <v>77</v>
      </c>
      <c r="B78" s="6" t="str">
        <f ca="1">IFERROR(__xludf.DUMMYFUNCTION("""COMPUTED_VALUE"""),"Schneid, K., Thöne, S., &amp; Kuchen, H. (2022, September). Semi-automated test migration for BPMN-based process-driven applications. In International Conference on Enterprise Design, Operations, and Computing (pp. 237-254). Cham: Springer International Publi"&amp;"shing.")</f>
        <v>Schneid, K., Thöne, S., &amp; Kuchen, H. (2022, September). Semi-automated test migration for BPMN-based process-driven applications. In International Conference on Enterprise Design, Operations, and Computing (pp. 237-254). Cham: Springer International Publishing.</v>
      </c>
      <c r="C78" s="7" t="b">
        <f ca="1">IFERROR(__xludf.DUMMYFUNCTION("""COMPUTED_VALUE"""),TRUE)</f>
        <v>1</v>
      </c>
      <c r="D78" s="5" t="str">
        <f ca="1">IFERROR(__xludf.DUMMYFUNCTION("""COMPUTED_VALUE"""),"rater1")</f>
        <v>rater1</v>
      </c>
      <c r="E78" s="5">
        <f ca="1">IF(C78, COUNTIF(Extraction!A:A, A78), "-")</f>
        <v>1</v>
      </c>
      <c r="F78" s="7" t="b">
        <f ca="1">IFERROR(__xludf.DUMMYFUNCTION("(COUNTIF(IMPORTRANGE(""https://docs.google.com/spreadsheets/d/1XUJGjtfB9SoW1rbohdkE9Z52MKac6AJzLHIsCSLTjGo/edit#gid=0"", ""Overlap!A2:A15""), A78)&gt;0)"),TRUE)</f>
        <v>1</v>
      </c>
      <c r="G78" s="5" t="str">
        <f ca="1">IF(OR(NOT(C78), NOT(F78)), " ", IF(D78="rater1","rater2","rater1"))</f>
        <v>rater2</v>
      </c>
      <c r="H78" s="8" t="e">
        <f ca="1">IF(AND(C78,F78), COUNTIF(#REF!, A78), "-")</f>
        <v>#REF!</v>
      </c>
      <c r="I78" s="6"/>
    </row>
    <row r="79" spans="1:9" x14ac:dyDescent="0.25">
      <c r="A79" s="5">
        <v>78</v>
      </c>
      <c r="B79" s="6" t="str">
        <f ca="1">IFERROR(__xludf.DUMMYFUNCTION("""COMPUTED_VALUE"""),"Gralha, C., Goulao, M., &amp; Araujo, J. (2020). Are there gender differences when interacting with social goal models? A quasi-experiment. Empirical Software Engineering, 25, 5416-5453.")</f>
        <v>Gralha, C., Goulao, M., &amp; Araujo, J. (2020). Are there gender differences when interacting with social goal models? A quasi-experiment. Empirical Software Engineering, 25, 5416-5453.</v>
      </c>
      <c r="C79" s="7" t="b">
        <f ca="1">IFERROR(__xludf.DUMMYFUNCTION("""COMPUTED_VALUE"""),FALSE)</f>
        <v>0</v>
      </c>
      <c r="D79" s="5" t="str">
        <f ca="1">IFERROR(__xludf.DUMMYFUNCTION("""COMPUTED_VALUE"""),"rater2")</f>
        <v>rater2</v>
      </c>
      <c r="E79" s="5" t="str">
        <f ca="1">IF(C79, COUNTIF(Extraction!A:A, A79), "-")</f>
        <v>-</v>
      </c>
      <c r="F79" s="7" t="b">
        <f ca="1">IFERROR(__xludf.DUMMYFUNCTION("(COUNTIF(IMPORTRANGE(""https://docs.google.com/spreadsheets/d/1XUJGjtfB9SoW1rbohdkE9Z52MKac6AJzLHIsCSLTjGo/edit#gid=0"", ""Overlap!A2:A15""), A79)&gt;0)"),FALSE)</f>
        <v>0</v>
      </c>
      <c r="G79" s="5" t="str">
        <f ca="1">IF(OR(NOT(C79), NOT(F79)), " ", IF(D79="rater1","rater2","rater1"))</f>
        <v xml:space="preserve"> </v>
      </c>
      <c r="H79" s="8" t="str">
        <f ca="1">IF(AND(C79,F79), COUNTIF(#REF!, A79), "-")</f>
        <v>-</v>
      </c>
      <c r="I79" s="6"/>
    </row>
    <row r="80" spans="1:9" x14ac:dyDescent="0.25">
      <c r="A80" s="5">
        <v>79</v>
      </c>
      <c r="B80" s="6" t="str">
        <f ca="1">IFERROR(__xludf.DUMMYFUNCTION("""COMPUTED_VALUE"""),"Dieste, O., Uyaguari, F., Vegas, S., &amp; Juristo, N. (2021). Test cases as a measurement instrument in experimentation. arXiv preprint arXiv:2111.05287.")</f>
        <v>Dieste, O., Uyaguari, F., Vegas, S., &amp; Juristo, N. (2021). Test cases as a measurement instrument in experimentation. arXiv preprint arXiv:2111.05287.</v>
      </c>
      <c r="C80" s="7" t="b">
        <f ca="1">IFERROR(__xludf.DUMMYFUNCTION("""COMPUTED_VALUE"""),FALSE)</f>
        <v>0</v>
      </c>
      <c r="D80" s="5" t="str">
        <f ca="1">IFERROR(__xludf.DUMMYFUNCTION("""COMPUTED_VALUE"""),"rater1")</f>
        <v>rater1</v>
      </c>
      <c r="E80" s="5" t="str">
        <f ca="1">IF(C80, COUNTIF(Extraction!A:A, A80), "-")</f>
        <v>-</v>
      </c>
      <c r="F80" s="7" t="b">
        <f ca="1">IFERROR(__xludf.DUMMYFUNCTION("(COUNTIF(IMPORTRANGE(""https://docs.google.com/spreadsheets/d/1XUJGjtfB9SoW1rbohdkE9Z52MKac6AJzLHIsCSLTjGo/edit#gid=0"", ""Overlap!A2:A15""), A80)&gt;0)"),FALSE)</f>
        <v>0</v>
      </c>
      <c r="G80" s="5" t="str">
        <f ca="1">IF(OR(NOT(C80), NOT(F80)), " ", IF(D80="rater1","rater2","rater1"))</f>
        <v xml:space="preserve"> </v>
      </c>
      <c r="H80" s="8" t="str">
        <f ca="1">IF(AND(C80,F80), COUNTIF(#REF!, A80), "-")</f>
        <v>-</v>
      </c>
      <c r="I80" s="6"/>
    </row>
    <row r="81" spans="1:9" x14ac:dyDescent="0.25">
      <c r="A81" s="5">
        <v>80</v>
      </c>
      <c r="B81" s="6" t="str">
        <f ca="1">IFERROR(__xludf.DUMMYFUNCTION("""COMPUTED_VALUE"""),"Esposito, M., Romano, S., &amp; Scanniello, G. (2023, September). Test-Driven Development and Embedded Systems: An Exploratory Investigation. In 2023 49th Euromicro Conference on Software Engineering and Advanced Applications (SEAA) (pp. 239-246). IEEE.")</f>
        <v>Esposito, M., Romano, S., &amp; Scanniello, G. (2023, September). Test-Driven Development and Embedded Systems: An Exploratory Investigation. In 2023 49th Euromicro Conference on Software Engineering and Advanced Applications (SEAA) (pp. 239-246). IEEE.</v>
      </c>
      <c r="C81" s="7" t="b">
        <f ca="1">IFERROR(__xludf.DUMMYFUNCTION("""COMPUTED_VALUE"""),TRUE)</f>
        <v>1</v>
      </c>
      <c r="D81" s="5" t="str">
        <f ca="1">IFERROR(__xludf.DUMMYFUNCTION("""COMPUTED_VALUE"""),"rater2")</f>
        <v>rater2</v>
      </c>
      <c r="E81" s="5">
        <f ca="1">IF(C81, COUNTIF(Extraction!A:A, A81), "-")</f>
        <v>1</v>
      </c>
      <c r="F81" s="7" t="b">
        <f ca="1">IFERROR(__xludf.DUMMYFUNCTION("(COUNTIF(IMPORTRANGE(""https://docs.google.com/spreadsheets/d/1XUJGjtfB9SoW1rbohdkE9Z52MKac6AJzLHIsCSLTjGo/edit#gid=0"", ""Overlap!A2:A15""), A81)&gt;0)"),FALSE)</f>
        <v>0</v>
      </c>
      <c r="G81" s="5" t="str">
        <f ca="1">IF(OR(NOT(C81), NOT(F81)), " ", IF(D81="rater1","rater2","rater1"))</f>
        <v xml:space="preserve"> </v>
      </c>
      <c r="H81" s="8" t="str">
        <f ca="1">IF(AND(C81,F81), COUNTIF(#REF!, A81), "-")</f>
        <v>-</v>
      </c>
      <c r="I81" s="6"/>
    </row>
    <row r="82" spans="1:9" x14ac:dyDescent="0.25">
      <c r="A82" s="5">
        <v>81</v>
      </c>
      <c r="B82" s="6" t="str">
        <f ca="1">IFERROR(__xludf.DUMMYFUNCTION("""COMPUTED_VALUE"""),"Abdelfattah, A. S., Cerny, T., Taibi, D., &amp; Vegas, S. (2023, May). Comparing 2D and augmented reality visualizations for microservice system understandability: A controlled experiment. In 2023 IEEE/ACM 31st International Conference on Program Comprehensio"&amp;"n (ICPC) (pp. 135-145). IEEE.")</f>
        <v>Abdelfattah, A. S., Cerny, T., Taibi, D., &amp; Vegas, S. (2023, May). Comparing 2D and augmented reality visualizations for microservice system understandability: A controlled experiment. In 2023 IEEE/ACM 31st International Conference on Program Comprehension (ICPC) (pp. 135-145). IEEE.</v>
      </c>
      <c r="C82" s="7" t="b">
        <f ca="1">IFERROR(__xludf.DUMMYFUNCTION("""COMPUTED_VALUE"""),TRUE)</f>
        <v>1</v>
      </c>
      <c r="D82" s="5" t="str">
        <f ca="1">IFERROR(__xludf.DUMMYFUNCTION("""COMPUTED_VALUE"""),"rater1")</f>
        <v>rater1</v>
      </c>
      <c r="E82" s="5">
        <f ca="1">IF(C82, COUNTIF(Extraction!A:A, A82), "-")</f>
        <v>1</v>
      </c>
      <c r="F82" s="7" t="b">
        <f ca="1">IFERROR(__xludf.DUMMYFUNCTION("(COUNTIF(IMPORTRANGE(""https://docs.google.com/spreadsheets/d/1XUJGjtfB9SoW1rbohdkE9Z52MKac6AJzLHIsCSLTjGo/edit#gid=0"", ""Overlap!A2:A15""), A82)&gt;0)"),FALSE)</f>
        <v>0</v>
      </c>
      <c r="G82" s="5" t="str">
        <f ca="1">IF(OR(NOT(C82), NOT(F82)), " ", IF(D82="rater1","rater2","rater1"))</f>
        <v xml:space="preserve"> </v>
      </c>
      <c r="H82" s="8" t="str">
        <f ca="1">IF(AND(C82,F82), COUNTIF(#REF!, A82), "-")</f>
        <v>-</v>
      </c>
      <c r="I82" s="6"/>
    </row>
    <row r="83" spans="1:9" x14ac:dyDescent="0.25">
      <c r="A83" s="5">
        <v>82</v>
      </c>
      <c r="B83" s="6" t="str">
        <f ca="1">IFERROR(__xludf.DUMMYFUNCTION("""COMPUTED_VALUE"""),"Trasobares, J. I., Domingo, Á., Arcega, L., &amp; Cetina, C. (2022, September). Evaluating the benefits of software product lines in game software engineering. In Proceedings of the 26th ACM International Systems and Software Product Line Conference-Volume A "&amp;"(pp. 120-130).")</f>
        <v>Trasobares, J. I., Domingo, Á., Arcega, L., &amp; Cetina, C. (2022, September). Evaluating the benefits of software product lines in game software engineering. In Proceedings of the 26th ACM International Systems and Software Product Line Conference-Volume A (pp. 120-130).</v>
      </c>
      <c r="C83" s="7" t="b">
        <f ca="1">IFERROR(__xludf.DUMMYFUNCTION("""COMPUTED_VALUE"""),FALSE)</f>
        <v>0</v>
      </c>
      <c r="D83" s="5" t="str">
        <f ca="1">IFERROR(__xludf.DUMMYFUNCTION("""COMPUTED_VALUE"""),"rater1")</f>
        <v>rater1</v>
      </c>
      <c r="E83" s="5" t="str">
        <f ca="1">IF(C83, COUNTIF(Extraction!A:A, A83), "-")</f>
        <v>-</v>
      </c>
      <c r="F83" s="7" t="b">
        <f ca="1">IFERROR(__xludf.DUMMYFUNCTION("(COUNTIF(IMPORTRANGE(""https://docs.google.com/spreadsheets/d/1XUJGjtfB9SoW1rbohdkE9Z52MKac6AJzLHIsCSLTjGo/edit#gid=0"", ""Overlap!A2:A15""), A83)&gt;0)"),FALSE)</f>
        <v>0</v>
      </c>
      <c r="G83" s="5" t="str">
        <f ca="1">IF(OR(NOT(C83), NOT(F83)), " ", IF(D83="rater1","rater2","rater1"))</f>
        <v xml:space="preserve"> </v>
      </c>
      <c r="H83" s="8" t="str">
        <f ca="1">IF(AND(C83,F83), COUNTIF(#REF!, A83), "-")</f>
        <v>-</v>
      </c>
      <c r="I83" s="6"/>
    </row>
    <row r="84" spans="1:9" x14ac:dyDescent="0.25">
      <c r="A84" s="5">
        <v>83</v>
      </c>
      <c r="B84" s="6" t="str">
        <f ca="1">IFERROR(__xludf.DUMMYFUNCTION("""COMPUTED_VALUE"""),"Francese, R., Frasca, M., Risi, M., &amp; Tortora, G. (2022). User Comprehension of Complexity Design Graph Reports. Big Data, 10(5), 388-407.")</f>
        <v>Francese, R., Frasca, M., Risi, M., &amp; Tortora, G. (2022). User Comprehension of Complexity Design Graph Reports. Big Data, 10(5), 388-407.</v>
      </c>
      <c r="C84" s="7" t="b">
        <f ca="1">IFERROR(__xludf.DUMMYFUNCTION("""COMPUTED_VALUE"""),FALSE)</f>
        <v>0</v>
      </c>
      <c r="D84" s="5" t="str">
        <f ca="1">IFERROR(__xludf.DUMMYFUNCTION("""COMPUTED_VALUE"""),"rater2")</f>
        <v>rater2</v>
      </c>
      <c r="E84" s="5" t="str">
        <f ca="1">IF(C84, COUNTIF(Extraction!A:A, A84), "-")</f>
        <v>-</v>
      </c>
      <c r="F84" s="7" t="b">
        <f ca="1">IFERROR(__xludf.DUMMYFUNCTION("(COUNTIF(IMPORTRANGE(""https://docs.google.com/spreadsheets/d/1XUJGjtfB9SoW1rbohdkE9Z52MKac6AJzLHIsCSLTjGo/edit#gid=0"", ""Overlap!A2:A15""), A84)&gt;0)"),FALSE)</f>
        <v>0</v>
      </c>
      <c r="G84" s="5" t="str">
        <f ca="1">IF(OR(NOT(C84), NOT(F84)), " ", IF(D84="rater1","rater2","rater1"))</f>
        <v xml:space="preserve"> </v>
      </c>
      <c r="H84" s="8" t="str">
        <f ca="1">IF(AND(C84,F84), COUNTIF(#REF!, A84), "-")</f>
        <v>-</v>
      </c>
      <c r="I84" s="6"/>
    </row>
    <row r="85" spans="1:9" x14ac:dyDescent="0.25">
      <c r="A85" s="5">
        <v>84</v>
      </c>
      <c r="B85" s="6" t="str">
        <f ca="1">IFERROR(__xludf.DUMMYFUNCTION("""COMPUTED_VALUE"""),"Cruz, N. A., Melo, O. O., &amp; Martinez, C. A. (2023). CrossCarry: An R package for the analysis of data from a crossover design with GEE. arXiv preprint arXiv:2304.02440.")</f>
        <v>Cruz, N. A., Melo, O. O., &amp; Martinez, C. A. (2023). CrossCarry: An R package for the analysis of data from a crossover design with GEE. arXiv preprint arXiv:2304.02440.</v>
      </c>
      <c r="C85" s="7" t="b">
        <f ca="1">IFERROR(__xludf.DUMMYFUNCTION("""COMPUTED_VALUE"""),FALSE)</f>
        <v>0</v>
      </c>
      <c r="D85" s="5" t="str">
        <f ca="1">IFERROR(__xludf.DUMMYFUNCTION("""COMPUTED_VALUE"""),"rater1")</f>
        <v>rater1</v>
      </c>
      <c r="E85" s="5" t="str">
        <f ca="1">IF(C85, COUNTIF(Extraction!A:A, A85), "-")</f>
        <v>-</v>
      </c>
      <c r="F85" s="7" t="b">
        <f ca="1">IFERROR(__xludf.DUMMYFUNCTION("(COUNTIF(IMPORTRANGE(""https://docs.google.com/spreadsheets/d/1XUJGjtfB9SoW1rbohdkE9Z52MKac6AJzLHIsCSLTjGo/edit#gid=0"", ""Overlap!A2:A15""), A85)&gt;0)"),FALSE)</f>
        <v>0</v>
      </c>
      <c r="G85" s="5" t="str">
        <f ca="1">IF(OR(NOT(C85), NOT(F85)), " ", IF(D85="rater1","rater2","rater1"))</f>
        <v xml:space="preserve"> </v>
      </c>
      <c r="H85" s="8" t="str">
        <f ca="1">IF(AND(C85,F85), COUNTIF(#REF!, A85), "-")</f>
        <v>-</v>
      </c>
      <c r="I85" s="6"/>
    </row>
    <row r="86" spans="1:9" x14ac:dyDescent="0.25">
      <c r="A86" s="5">
        <v>85</v>
      </c>
      <c r="B86" s="6" t="str">
        <f ca="1">IFERROR(__xludf.DUMMYFUNCTION("""COMPUTED_VALUE"""),"Cruz, N. A., Melo, O. O., &amp; Martinez, C. A. (2024). Estimation of complex carryover effects in crossover designs with repeated measures. arXiv preprint arXiv:2402.16362.")</f>
        <v>Cruz, N. A., Melo, O. O., &amp; Martinez, C. A. (2024). Estimation of complex carryover effects in crossover designs with repeated measures. arXiv preprint arXiv:2402.16362.</v>
      </c>
      <c r="C86" s="7" t="b">
        <f ca="1">IFERROR(__xludf.DUMMYFUNCTION("""COMPUTED_VALUE"""),FALSE)</f>
        <v>0</v>
      </c>
      <c r="D86" s="5" t="str">
        <f ca="1">IFERROR(__xludf.DUMMYFUNCTION("""COMPUTED_VALUE"""),"rater1")</f>
        <v>rater1</v>
      </c>
      <c r="E86" s="5" t="str">
        <f ca="1">IF(C86, COUNTIF(Extraction!A:A, A86), "-")</f>
        <v>-</v>
      </c>
      <c r="F86" s="7" t="b">
        <f ca="1">IFERROR(__xludf.DUMMYFUNCTION("(COUNTIF(IMPORTRANGE(""https://docs.google.com/spreadsheets/d/1XUJGjtfB9SoW1rbohdkE9Z52MKac6AJzLHIsCSLTjGo/edit#gid=0"", ""Overlap!A2:A15""), A86)&gt;0)"),FALSE)</f>
        <v>0</v>
      </c>
      <c r="G86" s="5" t="str">
        <f ca="1">IF(OR(NOT(C86), NOT(F86)), " ", IF(D86="rater1","rater2","rater1"))</f>
        <v xml:space="preserve"> </v>
      </c>
      <c r="H86" s="8" t="str">
        <f ca="1">IF(AND(C86,F86), COUNTIF(#REF!, A86), "-")</f>
        <v>-</v>
      </c>
      <c r="I86" s="6"/>
    </row>
    <row r="87" spans="1:9" x14ac:dyDescent="0.25">
      <c r="A87" s="5">
        <v>86</v>
      </c>
      <c r="B87" s="6" t="str">
        <f ca="1">IFERROR(__xludf.DUMMYFUNCTION("""COMPUTED_VALUE"""),"Auer, F., &amp; Felderer, M. (2021, September). An Architecture to Integrate Experimentation into the Software Development Infrastructure. In 2021 47th Euromicro Conference on Software Engineering and Advanced Applications (SEAA) (pp. 342-350). IEEE.")</f>
        <v>Auer, F., &amp; Felderer, M. (2021, September). An Architecture to Integrate Experimentation into the Software Development Infrastructure. In 2021 47th Euromicro Conference on Software Engineering and Advanced Applications (SEAA) (pp. 342-350). IEEE.</v>
      </c>
      <c r="C87" s="7" t="b">
        <f ca="1">IFERROR(__xludf.DUMMYFUNCTION("""COMPUTED_VALUE"""),TRUE)</f>
        <v>1</v>
      </c>
      <c r="D87" s="5" t="str">
        <f ca="1">IFERROR(__xludf.DUMMYFUNCTION("""COMPUTED_VALUE"""),"rater1")</f>
        <v>rater1</v>
      </c>
      <c r="E87" s="5">
        <f ca="1">IF(C87, COUNTIF(Extraction!A:A, A87), "-")</f>
        <v>1</v>
      </c>
      <c r="F87" s="7" t="b">
        <f ca="1">IFERROR(__xludf.DUMMYFUNCTION("(COUNTIF(IMPORTRANGE(""https://docs.google.com/spreadsheets/d/1XUJGjtfB9SoW1rbohdkE9Z52MKac6AJzLHIsCSLTjGo/edit#gid=0"", ""Overlap!A2:A15""), A87)&gt;0)"),FALSE)</f>
        <v>0</v>
      </c>
      <c r="G87" s="5" t="str">
        <f ca="1">IF(OR(NOT(C87), NOT(F87)), " ", IF(D87="rater1","rater2","rater1"))</f>
        <v xml:space="preserve"> </v>
      </c>
      <c r="H87" s="8" t="str">
        <f ca="1">IF(AND(C87,F87), COUNTIF(#REF!, A87), "-")</f>
        <v>-</v>
      </c>
      <c r="I87" s="6"/>
    </row>
    <row r="88" spans="1:9" x14ac:dyDescent="0.25">
      <c r="A88" s="5">
        <v>87</v>
      </c>
      <c r="B88" s="6" t="str">
        <f ca="1">IFERROR(__xludf.DUMMYFUNCTION("""COMPUTED_VALUE"""),"Recker, J., &amp; Recker, J. (2021). Research methods. Scientific Research in Information Systems: A Beginner's Guide, 87-160.")</f>
        <v>Recker, J., &amp; Recker, J. (2021). Research methods. Scientific Research in Information Systems: A Beginner's Guide, 87-160.</v>
      </c>
      <c r="C88" s="7" t="b">
        <f ca="1">IFERROR(__xludf.DUMMYFUNCTION("""COMPUTED_VALUE"""),FALSE)</f>
        <v>0</v>
      </c>
      <c r="D88" s="5" t="str">
        <f ca="1">IFERROR(__xludf.DUMMYFUNCTION("""COMPUTED_VALUE"""),"rater1")</f>
        <v>rater1</v>
      </c>
      <c r="E88" s="5" t="str">
        <f ca="1">IF(C88, COUNTIF(Extraction!A:A, A88), "-")</f>
        <v>-</v>
      </c>
      <c r="F88" s="7" t="b">
        <f ca="1">IFERROR(__xludf.DUMMYFUNCTION("(COUNTIF(IMPORTRANGE(""https://docs.google.com/spreadsheets/d/1XUJGjtfB9SoW1rbohdkE9Z52MKac6AJzLHIsCSLTjGo/edit#gid=0"", ""Overlap!A2:A15""), A88)&gt;0)"),FALSE)</f>
        <v>0</v>
      </c>
      <c r="G88" s="5" t="str">
        <f ca="1">IF(OR(NOT(C88), NOT(F88)), " ", IF(D88="rater1","rater2","rater1"))</f>
        <v xml:space="preserve"> </v>
      </c>
      <c r="H88" s="8" t="str">
        <f ca="1">IF(AND(C88,F88), COUNTIF(#REF!, A88), "-")</f>
        <v>-</v>
      </c>
      <c r="I88" s="6"/>
    </row>
    <row r="89" spans="1:9" x14ac:dyDescent="0.25">
      <c r="A89" s="5">
        <v>88</v>
      </c>
      <c r="B89" s="6" t="str">
        <f ca="1">IFERROR(__xludf.DUMMYFUNCTION("""COMPUTED_VALUE"""),"Gaspar-Figueiredo, D., Fernández-Diego, M., Abrahao, S., &amp; Insfran, E. (2023). A Comparative Study on Reward Models for UI Adaptation with Reinforcement Learning. methods, 13, 14.")</f>
        <v>Gaspar-Figueiredo, D., Fernández-Diego, M., Abrahao, S., &amp; Insfran, E. (2023). A Comparative Study on Reward Models for UI Adaptation with Reinforcement Learning. methods, 13, 14.</v>
      </c>
      <c r="C89" s="7" t="b">
        <f ca="1">IFERROR(__xludf.DUMMYFUNCTION("""COMPUTED_VALUE"""),FALSE)</f>
        <v>0</v>
      </c>
      <c r="D89" s="5" t="str">
        <f ca="1">IFERROR(__xludf.DUMMYFUNCTION("""COMPUTED_VALUE"""),"rater1")</f>
        <v>rater1</v>
      </c>
      <c r="E89" s="5" t="str">
        <f ca="1">IF(C89, COUNTIF(Extraction!A:A, A89), "-")</f>
        <v>-</v>
      </c>
      <c r="F89" s="7" t="b">
        <f ca="1">IFERROR(__xludf.DUMMYFUNCTION("(COUNTIF(IMPORTRANGE(""https://docs.google.com/spreadsheets/d/1XUJGjtfB9SoW1rbohdkE9Z52MKac6AJzLHIsCSLTjGo/edit#gid=0"", ""Overlap!A2:A15""), A89)&gt;0)"),TRUE)</f>
        <v>1</v>
      </c>
      <c r="G89" s="5" t="str">
        <f ca="1">IF(OR(NOT(C89), NOT(F89)), " ", IF(D89="rater1","rater2","rater1"))</f>
        <v xml:space="preserve"> </v>
      </c>
      <c r="H89" s="8" t="str">
        <f ca="1">IF(AND(C89,F89), COUNTIF(#REF!, A89), "-")</f>
        <v>-</v>
      </c>
      <c r="I89" s="6"/>
    </row>
    <row r="90" spans="1:9" x14ac:dyDescent="0.25">
      <c r="A90" s="5">
        <v>89</v>
      </c>
      <c r="B90" s="6" t="str">
        <f ca="1">IFERROR(__xludf.DUMMYFUNCTION("""COMPUTED_VALUE"""),"Albuquerque, D., Guimarães, E., Braga, A., Perkusich, M., Almeida, H., &amp; Perkusich, A. (2022, September). Empirical Assessment on Interactive Detection of Code Smells. In 2022 International Conference on Software, Telecommunications and Computer Networks "&amp;"(SoftCOM) (pp. 1-6). IEEE.")</f>
        <v>Albuquerque, D., Guimarães, E., Braga, A., Perkusich, M., Almeida, H., &amp; Perkusich, A. (2022, September). Empirical Assessment on Interactive Detection of Code Smells. In 2022 International Conference on Software, Telecommunications and Computer Networks (SoftCOM) (pp. 1-6). IEEE.</v>
      </c>
      <c r="C90" s="7" t="b">
        <f ca="1">IFERROR(__xludf.DUMMYFUNCTION("""COMPUTED_VALUE"""),FALSE)</f>
        <v>0</v>
      </c>
      <c r="D90" s="5" t="str">
        <f ca="1">IFERROR(__xludf.DUMMYFUNCTION("""COMPUTED_VALUE"""),"rater2")</f>
        <v>rater2</v>
      </c>
      <c r="E90" s="5" t="str">
        <f ca="1">IF(C90, COUNTIF(Extraction!A:A, A90), "-")</f>
        <v>-</v>
      </c>
      <c r="F90" s="7" t="b">
        <f ca="1">IFERROR(__xludf.DUMMYFUNCTION("(COUNTIF(IMPORTRANGE(""https://docs.google.com/spreadsheets/d/1XUJGjtfB9SoW1rbohdkE9Z52MKac6AJzLHIsCSLTjGo/edit#gid=0"", ""Overlap!A2:A15""), A90)&gt;0)"),FALSE)</f>
        <v>0</v>
      </c>
      <c r="G90" s="5" t="str">
        <f ca="1">IF(OR(NOT(C90), NOT(F90)), " ", IF(D90="rater1","rater2","rater1"))</f>
        <v xml:space="preserve"> </v>
      </c>
      <c r="H90" s="8" t="str">
        <f ca="1">IF(AND(C90,F90), COUNTIF(#REF!, A90), "-")</f>
        <v>-</v>
      </c>
      <c r="I90" s="6"/>
    </row>
    <row r="91" spans="1:9" x14ac:dyDescent="0.25">
      <c r="A91" s="5">
        <v>90</v>
      </c>
      <c r="B91" s="6" t="str">
        <f ca="1">IFERROR(__xludf.DUMMYFUNCTION("""COMPUTED_VALUE"""),"Kitchenham, B., Madeyski, L., Scanniello, G., &amp; Gravino, C. (2021). The Importance of the Correlation in Crossover Experiments. IEEE Transactions on Software Engineering, 48(8), 2802-2813.")</f>
        <v>Kitchenham, B., Madeyski, L., Scanniello, G., &amp; Gravino, C. (2021). The Importance of the Correlation in Crossover Experiments. IEEE Transactions on Software Engineering, 48(8), 2802-2813.</v>
      </c>
      <c r="C91" s="7" t="b">
        <f ca="1">IFERROR(__xludf.DUMMYFUNCTION("""COMPUTED_VALUE"""),FALSE)</f>
        <v>0</v>
      </c>
      <c r="D91" s="5" t="str">
        <f ca="1">IFERROR(__xludf.DUMMYFUNCTION("""COMPUTED_VALUE"""),"rater1")</f>
        <v>rater1</v>
      </c>
      <c r="E91" s="5" t="str">
        <f ca="1">IF(C91, COUNTIF(Extraction!A:A, A91), "-")</f>
        <v>-</v>
      </c>
      <c r="F91" s="7" t="b">
        <f ca="1">IFERROR(__xludf.DUMMYFUNCTION("(COUNTIF(IMPORTRANGE(""https://docs.google.com/spreadsheets/d/1XUJGjtfB9SoW1rbohdkE9Z52MKac6AJzLHIsCSLTjGo/edit#gid=0"", ""Overlap!A2:A15""), A91)&gt;0)"),FALSE)</f>
        <v>0</v>
      </c>
      <c r="G91" s="5" t="str">
        <f ca="1">IF(OR(NOT(C91), NOT(F91)), " ", IF(D91="rater1","rater2","rater1"))</f>
        <v xml:space="preserve"> </v>
      </c>
      <c r="H91" s="8" t="str">
        <f ca="1">IF(AND(C91,F91), COUNTIF(#REF!, A91), "-")</f>
        <v>-</v>
      </c>
      <c r="I91" s="6"/>
    </row>
    <row r="92" spans="1:9" x14ac:dyDescent="0.25">
      <c r="A92" s="5">
        <v>91</v>
      </c>
      <c r="B92" s="6" t="str">
        <f ca="1">IFERROR(__xludf.DUMMYFUNCTION("""COMPUTED_VALUE"""),"Herbold, V. (2019). Mining developer dynamics for agent-based simulation of software evolution (Doctoral dissertation, Niedersächsische Staats-und Universitätsbibliothek Göttingen).")</f>
        <v>Herbold, V. (2019). Mining developer dynamics for agent-based simulation of software evolution (Doctoral dissertation, Niedersächsische Staats-und Universitätsbibliothek Göttingen).</v>
      </c>
      <c r="C92" s="7" t="b">
        <f ca="1">IFERROR(__xludf.DUMMYFUNCTION("""COMPUTED_VALUE"""),FALSE)</f>
        <v>0</v>
      </c>
      <c r="D92" s="5" t="str">
        <f ca="1">IFERROR(__xludf.DUMMYFUNCTION("""COMPUTED_VALUE"""),"rater1")</f>
        <v>rater1</v>
      </c>
      <c r="E92" s="5" t="str">
        <f ca="1">IF(C92, COUNTIF(Extraction!A:A, A92), "-")</f>
        <v>-</v>
      </c>
      <c r="F92" s="7" t="b">
        <f ca="1">IFERROR(__xludf.DUMMYFUNCTION("(COUNTIF(IMPORTRANGE(""https://docs.google.com/spreadsheets/d/1XUJGjtfB9SoW1rbohdkE9Z52MKac6AJzLHIsCSLTjGo/edit#gid=0"", ""Overlap!A2:A15""), A92)&gt;0)"),FALSE)</f>
        <v>0</v>
      </c>
      <c r="G92" s="5" t="str">
        <f ca="1">IF(OR(NOT(C92), NOT(F92)), " ", IF(D92="rater1","rater2","rater1"))</f>
        <v xml:space="preserve"> </v>
      </c>
      <c r="H92" s="8" t="str">
        <f ca="1">IF(AND(C92,F92), COUNTIF(#REF!, A92), "-")</f>
        <v>-</v>
      </c>
      <c r="I92" s="6"/>
    </row>
    <row r="93" spans="1:9" x14ac:dyDescent="0.25">
      <c r="A93" s="5">
        <v>92</v>
      </c>
      <c r="B93" s="6" t="str">
        <f ca="1">IFERROR(__xludf.DUMMYFUNCTION("""COMPUTED_VALUE"""),"Bünder, H., &amp; Kuchen, H. (2019). Towards behavior-driven graphical user interface testing. ACM SIGAPP Applied Computing Review, 19(2), 5-17.")</f>
        <v>Bünder, H., &amp; Kuchen, H. (2019). Towards behavior-driven graphical user interface testing. ACM SIGAPP Applied Computing Review, 19(2), 5-17.</v>
      </c>
      <c r="C93" s="7" t="b">
        <f ca="1">IFERROR(__xludf.DUMMYFUNCTION("""COMPUTED_VALUE"""),TRUE)</f>
        <v>1</v>
      </c>
      <c r="D93" s="5" t="str">
        <f ca="1">IFERROR(__xludf.DUMMYFUNCTION("""COMPUTED_VALUE"""),"rater1")</f>
        <v>rater1</v>
      </c>
      <c r="E93" s="5">
        <f ca="1">IF(C93, COUNTIF(Extraction!A:A, A93), "-")</f>
        <v>1</v>
      </c>
      <c r="F93" s="7" t="b">
        <f ca="1">IFERROR(__xludf.DUMMYFUNCTION("(COUNTIF(IMPORTRANGE(""https://docs.google.com/spreadsheets/d/1XUJGjtfB9SoW1rbohdkE9Z52MKac6AJzLHIsCSLTjGo/edit#gid=0"", ""Overlap!A2:A15""), A93)&gt;0)"),FALSE)</f>
        <v>0</v>
      </c>
      <c r="G93" s="5" t="str">
        <f ca="1">IF(OR(NOT(C93), NOT(F93)), " ", IF(D93="rater1","rater2","rater1"))</f>
        <v xml:space="preserve"> </v>
      </c>
      <c r="H93" s="8" t="str">
        <f ca="1">IF(AND(C93,F93), COUNTIF(#REF!, A93), "-")</f>
        <v>-</v>
      </c>
      <c r="I93" s="6"/>
    </row>
    <row r="94" spans="1:9" x14ac:dyDescent="0.25">
      <c r="A94" s="5">
        <v>93</v>
      </c>
      <c r="B94" s="6" t="str">
        <f ca="1">IFERROR(__xludf.DUMMYFUNCTION("""COMPUTED_VALUE"""),"Farooq, S. U. (2019). Gap between academia and industry: a case of empirical evaluation of three software testing methods. International Journal of System Assurance Engineering and Management, 10(6), 1487-1504.")</f>
        <v>Farooq, S. U. (2019). Gap between academia and industry: a case of empirical evaluation of three software testing methods. International Journal of System Assurance Engineering and Management, 10(6), 1487-1504.</v>
      </c>
      <c r="C94" s="7" t="b">
        <f ca="1">IFERROR(__xludf.DUMMYFUNCTION("""COMPUTED_VALUE"""),FALSE)</f>
        <v>0</v>
      </c>
      <c r="D94" s="5" t="str">
        <f ca="1">IFERROR(__xludf.DUMMYFUNCTION("""COMPUTED_VALUE"""),"rater1")</f>
        <v>rater1</v>
      </c>
      <c r="E94" s="5" t="str">
        <f ca="1">IF(C94, COUNTIF(Extraction!A:A, A94), "-")</f>
        <v>-</v>
      </c>
      <c r="F94" s="7" t="b">
        <f ca="1">IFERROR(__xludf.DUMMYFUNCTION("(COUNTIF(IMPORTRANGE(""https://docs.google.com/spreadsheets/d/1XUJGjtfB9SoW1rbohdkE9Z52MKac6AJzLHIsCSLTjGo/edit#gid=0"", ""Overlap!A2:A15""), A94)&gt;0)"),FALSE)</f>
        <v>0</v>
      </c>
      <c r="G94" s="5" t="str">
        <f ca="1">IF(OR(NOT(C94), NOT(F94)), " ", IF(D94="rater1","rater2","rater1"))</f>
        <v xml:space="preserve"> </v>
      </c>
      <c r="H94" s="8" t="str">
        <f ca="1">IF(AND(C94,F94), COUNTIF(#REF!, A94), "-")</f>
        <v>-</v>
      </c>
      <c r="I94" s="6"/>
    </row>
    <row r="95" spans="1:9" x14ac:dyDescent="0.25">
      <c r="A95" s="5">
        <v>94</v>
      </c>
      <c r="B95" s="6" t="str">
        <f ca="1">IFERROR(__xludf.DUMMYFUNCTION("""COMPUTED_VALUE"""),"Quesada-López, C., Madrigal-Sánchez, D., &amp; Jenkins, M. (2020). An empirical analysis of ifpug fpa and cosmic ffp measurement methods. In Information Technology and Systems: Proceedings of ICITS 2020 (pp. 265-274). Springer International Publishing.")</f>
        <v>Quesada-López, C., Madrigal-Sánchez, D., &amp; Jenkins, M. (2020). An empirical analysis of ifpug fpa and cosmic ffp measurement methods. In Information Technology and Systems: Proceedings of ICITS 2020 (pp. 265-274). Springer International Publishing.</v>
      </c>
      <c r="C95" s="7" t="b">
        <f ca="1">IFERROR(__xludf.DUMMYFUNCTION("""COMPUTED_VALUE"""),FALSE)</f>
        <v>0</v>
      </c>
      <c r="D95" s="5" t="str">
        <f ca="1">IFERROR(__xludf.DUMMYFUNCTION("""COMPUTED_VALUE"""),"rater1")</f>
        <v>rater1</v>
      </c>
      <c r="E95" s="5" t="str">
        <f ca="1">IF(C95, COUNTIF(Extraction!A:A, A95), "-")</f>
        <v>-</v>
      </c>
      <c r="F95" s="7" t="b">
        <f ca="1">IFERROR(__xludf.DUMMYFUNCTION("(COUNTIF(IMPORTRANGE(""https://docs.google.com/spreadsheets/d/1XUJGjtfB9SoW1rbohdkE9Z52MKac6AJzLHIsCSLTjGo/edit#gid=0"", ""Overlap!A2:A15""), A95)&gt;0)"),FALSE)</f>
        <v>0</v>
      </c>
      <c r="G95" s="5" t="str">
        <f ca="1">IF(OR(NOT(C95), NOT(F95)), " ", IF(D95="rater1","rater2","rater1"))</f>
        <v xml:space="preserve"> </v>
      </c>
      <c r="H95" s="8" t="str">
        <f ca="1">IF(AND(C95,F95), COUNTIF(#REF!, A95), "-")</f>
        <v>-</v>
      </c>
      <c r="I95" s="6"/>
    </row>
    <row r="96" spans="1:9" x14ac:dyDescent="0.25">
      <c r="A96" s="5">
        <v>95</v>
      </c>
      <c r="B96" s="6" t="str">
        <f ca="1">IFERROR(__xludf.DUMMYFUNCTION("""COMPUTED_VALUE"""),"Santana, R., Martins, L., Virgínio, T., Soares, L., Costa, H., &amp; Machado, I. (2022). Refactoring Assertion Roulette and Duplicate Assert test smells: a controlled experiment. arXiv preprint arXiv:2207.05539.")</f>
        <v>Santana, R., Martins, L., Virgínio, T., Soares, L., Costa, H., &amp; Machado, I. (2022). Refactoring Assertion Roulette and Duplicate Assert test smells: a controlled experiment. arXiv preprint arXiv:2207.05539.</v>
      </c>
      <c r="C96" s="7" t="b">
        <f ca="1">IFERROR(__xludf.DUMMYFUNCTION("""COMPUTED_VALUE"""),FALSE)</f>
        <v>0</v>
      </c>
      <c r="D96" s="5" t="str">
        <f ca="1">IFERROR(__xludf.DUMMYFUNCTION("""COMPUTED_VALUE"""),"rater2")</f>
        <v>rater2</v>
      </c>
      <c r="E96" s="5" t="str">
        <f ca="1">IF(C96, COUNTIF(Extraction!A:A, A96), "-")</f>
        <v>-</v>
      </c>
      <c r="F96" s="7" t="b">
        <f ca="1">IFERROR(__xludf.DUMMYFUNCTION("(COUNTIF(IMPORTRANGE(""https://docs.google.com/spreadsheets/d/1XUJGjtfB9SoW1rbohdkE9Z52MKac6AJzLHIsCSLTjGo/edit#gid=0"", ""Overlap!A2:A15""), A96)&gt;0)"),FALSE)</f>
        <v>0</v>
      </c>
      <c r="G96" s="5" t="str">
        <f ca="1">IF(OR(NOT(C96), NOT(F96)), " ", IF(D96="rater1","rater2","rater1"))</f>
        <v xml:space="preserve"> </v>
      </c>
      <c r="H96" s="8" t="str">
        <f ca="1">IF(AND(C96,F96), COUNTIF(#REF!, A96), "-")</f>
        <v>-</v>
      </c>
      <c r="I96" s="6"/>
    </row>
    <row r="97" spans="1:9" x14ac:dyDescent="0.25">
      <c r="A97" s="5">
        <v>96</v>
      </c>
      <c r="B97" s="6" t="str">
        <f ca="1">IFERROR(__xludf.DUMMYFUNCTION("""COMPUTED_VALUE"""),"De La Vara, J. L., Marín, B., Ayora, C., &amp; Giachetti, G. (2017). An experimental evaluation of the understanding of safety compliance needs with models. In Conceptual Modeling: 36th International Conference, ER 2017, Valencia, Spain, November 6–9, 2017, P"&amp;"roceedings 36 (pp. 239-247). Springer International Publishing.")</f>
        <v>De La Vara, J. L., Marín, B., Ayora, C., &amp; Giachetti, G. (2017). An experimental evaluation of the understanding of safety compliance needs with models. In Conceptual Modeling: 36th International Conference, ER 2017, Valencia, Spain, November 6–9, 2017, Proceedings 36 (pp. 239-247). Springer International Publishing.</v>
      </c>
      <c r="C97" s="7" t="b">
        <f ca="1">IFERROR(__xludf.DUMMYFUNCTION("""COMPUTED_VALUE"""),TRUE)</f>
        <v>1</v>
      </c>
      <c r="D97" s="5" t="str">
        <f ca="1">IFERROR(__xludf.DUMMYFUNCTION("""COMPUTED_VALUE"""),"rater1")</f>
        <v>rater1</v>
      </c>
      <c r="E97" s="5">
        <f ca="1">IF(C97, COUNTIF(Extraction!A:A, A97), "-")</f>
        <v>1</v>
      </c>
      <c r="F97" s="7" t="b">
        <f ca="1">IFERROR(__xludf.DUMMYFUNCTION("(COUNTIF(IMPORTRANGE(""https://docs.google.com/spreadsheets/d/1XUJGjtfB9SoW1rbohdkE9Z52MKac6AJzLHIsCSLTjGo/edit#gid=0"", ""Overlap!A2:A15""), A97)&gt;0)"),FALSE)</f>
        <v>0</v>
      </c>
      <c r="G97" s="5" t="str">
        <f ca="1">IF(OR(NOT(C97), NOT(F97)), " ", IF(D97="rater1","rater2","rater1"))</f>
        <v xml:space="preserve"> </v>
      </c>
      <c r="H97" s="8" t="str">
        <f ca="1">IF(AND(C97,F97), COUNTIF(#REF!, A97), "-")</f>
        <v>-</v>
      </c>
      <c r="I97" s="6"/>
    </row>
    <row r="98" spans="1:9" x14ac:dyDescent="0.25">
      <c r="A98" s="5">
        <v>97</v>
      </c>
      <c r="B98" s="6" t="str">
        <f ca="1">IFERROR(__xludf.DUMMYFUNCTION("""COMPUTED_VALUE"""),"Oliveira, J., Macedo, H., Cacho, N., &amp; Romanovsky, A. (2018, October). Droideh: An exception handling mechanism for android applications. In 2018 IEEE 29th International Symposium on Software Reliability Engineering (ISSRE) (pp. 200-211). IEEE.")</f>
        <v>Oliveira, J., Macedo, H., Cacho, N., &amp; Romanovsky, A. (2018, October). Droideh: An exception handling mechanism for android applications. In 2018 IEEE 29th International Symposium on Software Reliability Engineering (ISSRE) (pp. 200-211). IEEE.</v>
      </c>
      <c r="C98" s="7" t="b">
        <f ca="1">IFERROR(__xludf.DUMMYFUNCTION("""COMPUTED_VALUE"""),TRUE)</f>
        <v>1</v>
      </c>
      <c r="D98" s="5" t="str">
        <f ca="1">IFERROR(__xludf.DUMMYFUNCTION("""COMPUTED_VALUE"""),"rater1")</f>
        <v>rater1</v>
      </c>
      <c r="E98" s="5">
        <f ca="1">IF(C98, COUNTIF(Extraction!A:A, A98), "-")</f>
        <v>1</v>
      </c>
      <c r="F98" s="7" t="b">
        <f ca="1">IFERROR(__xludf.DUMMYFUNCTION("(COUNTIF(IMPORTRANGE(""https://docs.google.com/spreadsheets/d/1XUJGjtfB9SoW1rbohdkE9Z52MKac6AJzLHIsCSLTjGo/edit#gid=0"", ""Overlap!A2:A15""), A98)&gt;0)"),FALSE)</f>
        <v>0</v>
      </c>
      <c r="G98" s="5" t="str">
        <f ca="1">IF(OR(NOT(C98), NOT(F98)), " ", IF(D98="rater1","rater2","rater1"))</f>
        <v xml:space="preserve"> </v>
      </c>
      <c r="H98" s="8" t="str">
        <f ca="1">IF(AND(C98,F98), COUNTIF(#REF!, A98), "-")</f>
        <v>-</v>
      </c>
      <c r="I98" s="6"/>
    </row>
    <row r="99" spans="1:9" x14ac:dyDescent="0.25">
      <c r="A99" s="5">
        <v>98</v>
      </c>
      <c r="B99" s="6" t="str">
        <f ca="1">IFERROR(__xludf.DUMMYFUNCTION("""COMPUTED_VALUE"""),"Sivasothy, S. (2021, November). DSInfoSearch: supporting experimentation process of data scientists. In 2021 36th IEEE/ACM International Conference on Automated Software Engineering (ASE) (pp. 1033-1037). IEEE.")</f>
        <v>Sivasothy, S. (2021, November). DSInfoSearch: supporting experimentation process of data scientists. In 2021 36th IEEE/ACM International Conference on Automated Software Engineering (ASE) (pp. 1033-1037). IEEE.</v>
      </c>
      <c r="C99" s="7" t="b">
        <f ca="1">IFERROR(__xludf.DUMMYFUNCTION("""COMPUTED_VALUE"""),FALSE)</f>
        <v>0</v>
      </c>
      <c r="D99" s="5" t="str">
        <f ca="1">IFERROR(__xludf.DUMMYFUNCTION("""COMPUTED_VALUE"""),"rater1")</f>
        <v>rater1</v>
      </c>
      <c r="E99" s="5" t="str">
        <f ca="1">IF(C99, COUNTIF(Extraction!A:A, A99), "-")</f>
        <v>-</v>
      </c>
      <c r="F99" s="7" t="b">
        <f ca="1">IFERROR(__xludf.DUMMYFUNCTION("(COUNTIF(IMPORTRANGE(""https://docs.google.com/spreadsheets/d/1XUJGjtfB9SoW1rbohdkE9Z52MKac6AJzLHIsCSLTjGo/edit#gid=0"", ""Overlap!A2:A15""), A99)&gt;0)"),FALSE)</f>
        <v>0</v>
      </c>
      <c r="G99" s="5" t="str">
        <f ca="1">IF(OR(NOT(C99), NOT(F99)), " ", IF(D99="rater1","rater2","rater1"))</f>
        <v xml:space="preserve"> </v>
      </c>
      <c r="H99" s="8" t="str">
        <f ca="1">IF(AND(C99,F99), COUNTIF(#REF!, A99), "-")</f>
        <v>-</v>
      </c>
      <c r="I99" s="6"/>
    </row>
    <row r="100" spans="1:9" x14ac:dyDescent="0.25">
      <c r="A100" s="5">
        <v>99</v>
      </c>
      <c r="B100" s="6" t="str">
        <f ca="1">IFERROR(__xludf.DUMMYFUNCTION("""COMPUTED_VALUE"""),"Kang, H. J., Wang, K., &amp; Kim, M. (2024, April). Scaling Code Pattern Inference with Interactive What-If Analysis. In Proceedings of the IEEE/ACM 46th International Conference on Software Engineering (pp. 1-12).")</f>
        <v>Kang, H. J., Wang, K., &amp; Kim, M. (2024, April). Scaling Code Pattern Inference with Interactive What-If Analysis. In Proceedings of the IEEE/ACM 46th International Conference on Software Engineering (pp. 1-12).</v>
      </c>
      <c r="C100" s="7" t="b">
        <f ca="1">IFERROR(__xludf.DUMMYFUNCTION("""COMPUTED_VALUE"""),TRUE)</f>
        <v>1</v>
      </c>
      <c r="D100" s="5" t="str">
        <f ca="1">IFERROR(__xludf.DUMMYFUNCTION("""COMPUTED_VALUE"""),"rater1")</f>
        <v>rater1</v>
      </c>
      <c r="E100" s="5">
        <f ca="1">IF(C100, COUNTIF(Extraction!A:A, A100), "-")</f>
        <v>1</v>
      </c>
      <c r="F100" s="7" t="b">
        <f ca="1">IFERROR(__xludf.DUMMYFUNCTION("(COUNTIF(IMPORTRANGE(""https://docs.google.com/spreadsheets/d/1XUJGjtfB9SoW1rbohdkE9Z52MKac6AJzLHIsCSLTjGo/edit#gid=0"", ""Overlap!A2:A15""), A100)&gt;0)"),FALSE)</f>
        <v>0</v>
      </c>
      <c r="G100" s="5" t="str">
        <f ca="1">IF(OR(NOT(C100), NOT(F100)), " ", IF(D100="rater1","rater2","rater1"))</f>
        <v xml:space="preserve"> </v>
      </c>
      <c r="H100" s="8" t="str">
        <f ca="1">IF(AND(C100,F100), COUNTIF(#REF!, A100), "-")</f>
        <v>-</v>
      </c>
      <c r="I100" s="6"/>
    </row>
    <row r="101" spans="1:9" x14ac:dyDescent="0.25">
      <c r="A101" s="5">
        <v>100</v>
      </c>
      <c r="B101" s="6" t="str">
        <f ca="1">IFERROR(__xludf.DUMMYFUNCTION("""COMPUTED_VALUE"""),"Caulo, M., Francese, R., Scanniello, G., &amp; Spera, A. (2019). Does the migration of cross-platform apps towards the android platform matter? An approach and a user study. In Product-Focused Software Process Improvement: 20th International Conference, PROFE"&amp;"S 2019, Barcelona, Spain, November 27–29, 2019, Proceedings 20 (pp. 120-136). Springer International Publishing.")</f>
        <v>Caulo, M., Francese, R., Scanniello, G., &amp; Spera, A. (2019). Does the migration of cross-platform apps towards the android platform matter? An approach and a user study. In Product-Focused Software Process Improvement: 20th International Conference, PROFES 2019, Barcelona, Spain, November 27–29, 2019, Proceedings 20 (pp. 120-136). Springer International Publishing.</v>
      </c>
      <c r="C101" s="7" t="b">
        <f ca="1">IFERROR(__xludf.DUMMYFUNCTION("""COMPUTED_VALUE"""),TRUE)</f>
        <v>1</v>
      </c>
      <c r="D101" s="5" t="str">
        <f ca="1">IFERROR(__xludf.DUMMYFUNCTION("""COMPUTED_VALUE"""),"rater1")</f>
        <v>rater1</v>
      </c>
      <c r="E101" s="5">
        <f ca="1">IF(C101, COUNTIF(Extraction!A:A, A101), "-")</f>
        <v>1</v>
      </c>
      <c r="F101" s="7" t="b">
        <f ca="1">IFERROR(__xludf.DUMMYFUNCTION("(COUNTIF(IMPORTRANGE(""https://docs.google.com/spreadsheets/d/1XUJGjtfB9SoW1rbohdkE9Z52MKac6AJzLHIsCSLTjGo/edit#gid=0"", ""Overlap!A2:A15""), A101)&gt;0)"),FALSE)</f>
        <v>0</v>
      </c>
      <c r="G101" s="5" t="str">
        <f ca="1">IF(OR(NOT(C101), NOT(F101)), " ", IF(D101="rater1","rater2","rater1"))</f>
        <v xml:space="preserve"> </v>
      </c>
      <c r="H101" s="8" t="str">
        <f ca="1">IF(AND(C101,F101), COUNTIF(#REF!, A101), "-")</f>
        <v>-</v>
      </c>
      <c r="I101" s="6"/>
    </row>
    <row r="102" spans="1:9" x14ac:dyDescent="0.25">
      <c r="A102" s="5">
        <v>101</v>
      </c>
      <c r="B102" s="6" t="str">
        <f ca="1">IFERROR(__xludf.DUMMYFUNCTION("""COMPUTED_VALUE"""),"Dieste, O., &amp; Juristo, N. (2021). A City upon a Hill: Casting Light on a Real Experimental Process. arXiv preprint arXiv:2108.12800.")</f>
        <v>Dieste, O., &amp; Juristo, N. (2021). A City upon a Hill: Casting Light on a Real Experimental Process. arXiv preprint arXiv:2108.12800.</v>
      </c>
      <c r="C102" s="7" t="b">
        <f ca="1">IFERROR(__xludf.DUMMYFUNCTION("""COMPUTED_VALUE"""),FALSE)</f>
        <v>0</v>
      </c>
      <c r="D102" s="5" t="str">
        <f ca="1">IFERROR(__xludf.DUMMYFUNCTION("""COMPUTED_VALUE"""),"rater1")</f>
        <v>rater1</v>
      </c>
      <c r="E102" s="5" t="str">
        <f ca="1">IF(C102, COUNTIF(Extraction!A:A, A102), "-")</f>
        <v>-</v>
      </c>
      <c r="F102" s="7" t="b">
        <f ca="1">IFERROR(__xludf.DUMMYFUNCTION("(COUNTIF(IMPORTRANGE(""https://docs.google.com/spreadsheets/d/1XUJGjtfB9SoW1rbohdkE9Z52MKac6AJzLHIsCSLTjGo/edit#gid=0"", ""Overlap!A2:A15""), A102)&gt;0)"),FALSE)</f>
        <v>0</v>
      </c>
      <c r="G102" s="5" t="str">
        <f ca="1">IF(OR(NOT(C102), NOT(F102)), " ", IF(D102="rater1","rater2","rater1"))</f>
        <v xml:space="preserve"> </v>
      </c>
      <c r="H102" s="8" t="str">
        <f ca="1">IF(AND(C102,F102), COUNTIF(#REF!, A102), "-")</f>
        <v>-</v>
      </c>
      <c r="I102" s="6"/>
    </row>
    <row r="103" spans="1:9" x14ac:dyDescent="0.25">
      <c r="A103" s="5">
        <v>102</v>
      </c>
      <c r="B103" s="6" t="str">
        <f ca="1">IFERROR(__xludf.DUMMYFUNCTION("""COMPUTED_VALUE"""),"Romano, S., Scanniello, G., Fucci, D., Juristo, N., &amp; Turhan, B. (2018, May). The effect of noise on requirements comprehension. In Proceedings of the 40th International Conference on Software Engineering: Companion Proceeedings (pp. 308-309).")</f>
        <v>Romano, S., Scanniello, G., Fucci, D., Juristo, N., &amp; Turhan, B. (2018, May). The effect of noise on requirements comprehension. In Proceedings of the 40th International Conference on Software Engineering: Companion Proceeedings (pp. 308-309).</v>
      </c>
      <c r="C103" s="7" t="b">
        <f ca="1">IFERROR(__xludf.DUMMYFUNCTION("""COMPUTED_VALUE"""),FALSE)</f>
        <v>0</v>
      </c>
      <c r="D103" s="5" t="str">
        <f ca="1">IFERROR(__xludf.DUMMYFUNCTION("""COMPUTED_VALUE"""),"rater2")</f>
        <v>rater2</v>
      </c>
      <c r="E103" s="5" t="str">
        <f ca="1">IF(C103, COUNTIF(Extraction!A:A, A103), "-")</f>
        <v>-</v>
      </c>
      <c r="F103" s="7" t="b">
        <f ca="1">IFERROR(__xludf.DUMMYFUNCTION("(COUNTIF(IMPORTRANGE(""https://docs.google.com/spreadsheets/d/1XUJGjtfB9SoW1rbohdkE9Z52MKac6AJzLHIsCSLTjGo/edit#gid=0"", ""Overlap!A2:A15""), A103)&gt;0)"),FALSE)</f>
        <v>0</v>
      </c>
      <c r="G103" s="5" t="str">
        <f ca="1">IF(OR(NOT(C103), NOT(F103)), " ", IF(D103="rater1","rater2","rater1"))</f>
        <v xml:space="preserve"> </v>
      </c>
      <c r="H103" s="8" t="str">
        <f ca="1">IF(AND(C103,F103), COUNTIF(#REF!, A103), "-")</f>
        <v>-</v>
      </c>
      <c r="I103" s="6"/>
    </row>
    <row r="104" spans="1:9" x14ac:dyDescent="0.25">
      <c r="A104" s="5">
        <v>103</v>
      </c>
      <c r="B104" s="6" t="str">
        <f ca="1">IFERROR(__xludf.DUMMYFUNCTION("""COMPUTED_VALUE"""),"Sotelo-Figueroa, M. A., del Rosario Baltazar-Flores, M., Carpio, J. M., &amp; Zamudio, V. (2010, November). A comparation between Bee Swarm Optimization and Greedy Algorithm for the Knapsack Problem with bee reallocation. In 2010 Ninth Mexican International C"&amp;"onference on Artificial Intelligence (pp. 22-27). IEEE.")</f>
        <v>Sotelo-Figueroa, M. A., del Rosario Baltazar-Flores, M., Carpio, J. M., &amp; Zamudio, V. (2010, November). A comparation between Bee Swarm Optimization and Greedy Algorithm for the Knapsack Problem with bee reallocation. In 2010 Ninth Mexican International Conference on Artificial Intelligence (pp. 22-27). IEEE.</v>
      </c>
      <c r="C104" s="7" t="b">
        <f ca="1">IFERROR(__xludf.DUMMYFUNCTION("""COMPUTED_VALUE"""),FALSE)</f>
        <v>0</v>
      </c>
      <c r="D104" s="5" t="str">
        <f ca="1">IFERROR(__xludf.DUMMYFUNCTION("""COMPUTED_VALUE"""),"rater1")</f>
        <v>rater1</v>
      </c>
      <c r="E104" s="5" t="str">
        <f ca="1">IF(C104, COUNTIF(Extraction!A:A, A104), "-")</f>
        <v>-</v>
      </c>
      <c r="F104" s="7" t="b">
        <f ca="1">IFERROR(__xludf.DUMMYFUNCTION("(COUNTIF(IMPORTRANGE(""https://docs.google.com/spreadsheets/d/1XUJGjtfB9SoW1rbohdkE9Z52MKac6AJzLHIsCSLTjGo/edit#gid=0"", ""Overlap!A2:A15""), A104)&gt;0)"),FALSE)</f>
        <v>0</v>
      </c>
      <c r="G104" s="5" t="str">
        <f ca="1">IF(OR(NOT(C104), NOT(F104)), " ", IF(D104="rater1","rater2","rater1"))</f>
        <v xml:space="preserve"> </v>
      </c>
      <c r="H104" s="8" t="str">
        <f ca="1">IF(AND(C104,F104), COUNTIF(#REF!, A104), "-")</f>
        <v>-</v>
      </c>
      <c r="I104" s="6"/>
    </row>
    <row r="105" spans="1:9" x14ac:dyDescent="0.25">
      <c r="A105" s="5">
        <v>104</v>
      </c>
      <c r="B105" s="6" t="str">
        <f ca="1">IFERROR(__xludf.DUMMYFUNCTION("""COMPUTED_VALUE"""),"Wójcik, P. (2023). Towards empirical evidence for the impact of microservice API patterns on software quality: a controlled experiment (Master's thesis).")</f>
        <v>Wójcik, P. (2023). Towards empirical evidence for the impact of microservice API patterns on software quality: a controlled experiment (Master's thesis).</v>
      </c>
      <c r="C105" s="7" t="b">
        <f ca="1">IFERROR(__xludf.DUMMYFUNCTION("""COMPUTED_VALUE"""),FALSE)</f>
        <v>0</v>
      </c>
      <c r="D105" s="5" t="str">
        <f ca="1">IFERROR(__xludf.DUMMYFUNCTION("""COMPUTED_VALUE"""),"rater1")</f>
        <v>rater1</v>
      </c>
      <c r="E105" s="5" t="str">
        <f ca="1">IF(C105, COUNTIF(Extraction!A:A, A105), "-")</f>
        <v>-</v>
      </c>
      <c r="F105" s="7" t="b">
        <f ca="1">IFERROR(__xludf.DUMMYFUNCTION("(COUNTIF(IMPORTRANGE(""https://docs.google.com/spreadsheets/d/1XUJGjtfB9SoW1rbohdkE9Z52MKac6AJzLHIsCSLTjGo/edit#gid=0"", ""Overlap!A2:A15""), A105)&gt;0)"),TRUE)</f>
        <v>1</v>
      </c>
      <c r="G105" s="5" t="str">
        <f ca="1">IF(OR(NOT(C105), NOT(F105)), " ", IF(D105="rater1","rater2","rater1"))</f>
        <v xml:space="preserve"> </v>
      </c>
      <c r="H105" s="8" t="str">
        <f ca="1">IF(AND(C105,F105), COUNTIF(#REF!, A105), "-")</f>
        <v>-</v>
      </c>
      <c r="I105" s="6"/>
    </row>
    <row r="106" spans="1:9" x14ac:dyDescent="0.25">
      <c r="A106" s="5">
        <v>105</v>
      </c>
      <c r="B106" s="6" t="str">
        <f ca="1">IFERROR(__xludf.DUMMYFUNCTION("""COMPUTED_VALUE"""),"Gomes, E., Guerra, E., Lima, P., &amp; Meirelles, P. (2023). An Approach Based on Metadata to Implement Convention over Configuration Decoupled from Framework Logic.")</f>
        <v>Gomes, E., Guerra, E., Lima, P., &amp; Meirelles, P. (2023). An Approach Based on Metadata to Implement Convention over Configuration Decoupled from Framework Logic.</v>
      </c>
      <c r="C106" s="7" t="b">
        <f ca="1">IFERROR(__xludf.DUMMYFUNCTION("""COMPUTED_VALUE"""),FALSE)</f>
        <v>0</v>
      </c>
      <c r="D106" s="5" t="str">
        <f ca="1">IFERROR(__xludf.DUMMYFUNCTION("""COMPUTED_VALUE"""),"rater1")</f>
        <v>rater1</v>
      </c>
      <c r="E106" s="5" t="str">
        <f ca="1">IF(C106, COUNTIF(Extraction!A:A, A106), "-")</f>
        <v>-</v>
      </c>
      <c r="F106" s="7" t="b">
        <f ca="1">IFERROR(__xludf.DUMMYFUNCTION("(COUNTIF(IMPORTRANGE(""https://docs.google.com/spreadsheets/d/1XUJGjtfB9SoW1rbohdkE9Z52MKac6AJzLHIsCSLTjGo/edit#gid=0"", ""Overlap!A2:A15""), A106)&gt;0)"),FALSE)</f>
        <v>0</v>
      </c>
      <c r="G106" s="5" t="str">
        <f ca="1">IF(OR(NOT(C106), NOT(F106)), " ", IF(D106="rater1","rater2","rater1"))</f>
        <v xml:space="preserve"> </v>
      </c>
      <c r="H106" s="8" t="str">
        <f ca="1">IF(AND(C106,F106), COUNTIF(#REF!, A106), "-")</f>
        <v>-</v>
      </c>
      <c r="I106" s="6"/>
    </row>
    <row r="107" spans="1:9" x14ac:dyDescent="0.25">
      <c r="A107" s="5">
        <v>106</v>
      </c>
      <c r="B107" s="6" t="str">
        <f ca="1">IFERROR(__xludf.DUMMYFUNCTION("""COMPUTED_VALUE"""),"Marchezan de Paula, L. A. (2023). Improving Consistency Maintenance for Collaborative Software Systems Engineering/eingereicht von Luciano Augusto Marchezan de Paula.")</f>
        <v>Marchezan de Paula, L. A. (2023). Improving Consistency Maintenance for Collaborative Software Systems Engineering/eingereicht von Luciano Augusto Marchezan de Paula.</v>
      </c>
      <c r="C107" s="7" t="b">
        <f ca="1">IFERROR(__xludf.DUMMYFUNCTION("""COMPUTED_VALUE"""),FALSE)</f>
        <v>0</v>
      </c>
      <c r="D107" s="5" t="str">
        <f ca="1">IFERROR(__xludf.DUMMYFUNCTION("""COMPUTED_VALUE"""),"rater1")</f>
        <v>rater1</v>
      </c>
      <c r="E107" s="5" t="str">
        <f ca="1">IF(C107, COUNTIF(Extraction!A:A, A107), "-")</f>
        <v>-</v>
      </c>
      <c r="F107" s="7" t="b">
        <f ca="1">IFERROR(__xludf.DUMMYFUNCTION("(COUNTIF(IMPORTRANGE(""https://docs.google.com/spreadsheets/d/1XUJGjtfB9SoW1rbohdkE9Z52MKac6AJzLHIsCSLTjGo/edit#gid=0"", ""Overlap!A2:A15""), A107)&gt;0)"),FALSE)</f>
        <v>0</v>
      </c>
      <c r="G107" s="5" t="str">
        <f ca="1">IF(OR(NOT(C107), NOT(F107)), " ", IF(D107="rater1","rater2","rater1"))</f>
        <v xml:space="preserve"> </v>
      </c>
      <c r="H107" s="8" t="str">
        <f ca="1">IF(AND(C107,F107), COUNTIF(#REF!, A107), "-")</f>
        <v>-</v>
      </c>
      <c r="I107" s="6"/>
    </row>
    <row r="108" spans="1:9" x14ac:dyDescent="0.25">
      <c r="A108" s="5">
        <v>107</v>
      </c>
      <c r="B108" s="6" t="str">
        <f ca="1">IFERROR(__xludf.DUMMYFUNCTION("""COMPUTED_VALUE"""),"Ramač, R., Karac, I., Turhan, B., Juristo, N., &amp; Mandić, V. (2017). Lessons learned from a partial replication of an experiment in the context of a software engineering course. In International Scientific Conference on Industrial Systems 2017 (pp. 198-203"&amp;"). University of Novi Sad.")</f>
        <v>Ramač, R., Karac, I., Turhan, B., Juristo, N., &amp; Mandić, V. (2017). Lessons learned from a partial replication of an experiment in the context of a software engineering course. In International Scientific Conference on Industrial Systems 2017 (pp. 198-203). University of Novi Sad.</v>
      </c>
      <c r="C108" s="7" t="b">
        <f ca="1">IFERROR(__xludf.DUMMYFUNCTION("""COMPUTED_VALUE"""),FALSE)</f>
        <v>0</v>
      </c>
      <c r="D108" s="5" t="str">
        <f ca="1">IFERROR(__xludf.DUMMYFUNCTION("""COMPUTED_VALUE"""),"rater1")</f>
        <v>rater1</v>
      </c>
      <c r="E108" s="5" t="str">
        <f ca="1">IF(C108, COUNTIF(Extraction!A:A, A108), "-")</f>
        <v>-</v>
      </c>
      <c r="F108" s="7" t="b">
        <f ca="1">IFERROR(__xludf.DUMMYFUNCTION("(COUNTIF(IMPORTRANGE(""https://docs.google.com/spreadsheets/d/1XUJGjtfB9SoW1rbohdkE9Z52MKac6AJzLHIsCSLTjGo/edit#gid=0"", ""Overlap!A2:A15""), A108)&gt;0)"),FALSE)</f>
        <v>0</v>
      </c>
      <c r="G108" s="5" t="str">
        <f ca="1">IF(OR(NOT(C108), NOT(F108)), " ", IF(D108="rater1","rater2","rater1"))</f>
        <v xml:space="preserve"> </v>
      </c>
      <c r="H108" s="8" t="str">
        <f ca="1">IF(AND(C108,F108), COUNTIF(#REF!, A108), "-")</f>
        <v>-</v>
      </c>
      <c r="I108" s="6"/>
    </row>
    <row r="109" spans="1:9" x14ac:dyDescent="0.25">
      <c r="A109" s="5">
        <v>108</v>
      </c>
      <c r="B109" s="6" t="str">
        <f ca="1">IFERROR(__xludf.DUMMYFUNCTION("""COMPUTED_VALUE"""),"Reyes, R. P., Dieste, O., &amp; Juristo, N. (2020, April). Publication bias: A detailed analysis of experiments published in ESEM. In Proceedings of the 24th International Conference on Evaluation and Assessment in Software Engineering (pp. 130-139).")</f>
        <v>Reyes, R. P., Dieste, O., &amp; Juristo, N. (2020, April). Publication bias: A detailed analysis of experiments published in ESEM. In Proceedings of the 24th International Conference on Evaluation and Assessment in Software Engineering (pp. 130-139).</v>
      </c>
      <c r="C109" s="7" t="b">
        <f ca="1">IFERROR(__xludf.DUMMYFUNCTION("""COMPUTED_VALUE"""),FALSE)</f>
        <v>0</v>
      </c>
      <c r="D109" s="5" t="str">
        <f ca="1">IFERROR(__xludf.DUMMYFUNCTION("""COMPUTED_VALUE"""),"rater1")</f>
        <v>rater1</v>
      </c>
      <c r="E109" s="5" t="str">
        <f ca="1">IF(C109, COUNTIF(Extraction!A:A, A109), "-")</f>
        <v>-</v>
      </c>
      <c r="F109" s="7" t="b">
        <f ca="1">IFERROR(__xludf.DUMMYFUNCTION("(COUNTIF(IMPORTRANGE(""https://docs.google.com/spreadsheets/d/1XUJGjtfB9SoW1rbohdkE9Z52MKac6AJzLHIsCSLTjGo/edit#gid=0"", ""Overlap!A2:A15""), A109)&gt;0)"),FALSE)</f>
        <v>0</v>
      </c>
      <c r="G109" s="5" t="str">
        <f ca="1">IF(OR(NOT(C109), NOT(F109)), " ", IF(D109="rater1","rater2","rater1"))</f>
        <v xml:space="preserve"> </v>
      </c>
      <c r="H109" s="8" t="str">
        <f ca="1">IF(AND(C109,F109), COUNTIF(#REF!, A109), "-")</f>
        <v>-</v>
      </c>
      <c r="I109" s="6"/>
    </row>
    <row r="110" spans="1:9" x14ac:dyDescent="0.25">
      <c r="A110" s="5">
        <v>109</v>
      </c>
      <c r="B110" s="6" t="str">
        <f ca="1">IFERROR(__xludf.DUMMYFUNCTION("""COMPUTED_VALUE"""),"Iñiguez-Jarrín, C., Panach, J. I., &amp; López, O. P. (2020). Improvement of usability in user interfaces for massive data analysis: an empirical study. Multimedia Tools and Applications, 79, 12257-12288.")</f>
        <v>Iñiguez-Jarrín, C., Panach, J. I., &amp; López, O. P. (2020). Improvement of usability in user interfaces for massive data analysis: an empirical study. Multimedia Tools and Applications, 79, 12257-12288.</v>
      </c>
      <c r="C110" s="7" t="b">
        <f ca="1">IFERROR(__xludf.DUMMYFUNCTION("""COMPUTED_VALUE"""),TRUE)</f>
        <v>1</v>
      </c>
      <c r="D110" s="5" t="str">
        <f ca="1">IFERROR(__xludf.DUMMYFUNCTION("""COMPUTED_VALUE"""),"rater1")</f>
        <v>rater1</v>
      </c>
      <c r="E110" s="5">
        <f ca="1">IF(C110, COUNTIF(Extraction!A:A, A110), "-")</f>
        <v>2</v>
      </c>
      <c r="F110" s="7" t="b">
        <f ca="1">IFERROR(__xludf.DUMMYFUNCTION("(COUNTIF(IMPORTRANGE(""https://docs.google.com/spreadsheets/d/1XUJGjtfB9SoW1rbohdkE9Z52MKac6AJzLHIsCSLTjGo/edit#gid=0"", ""Overlap!A2:A15""), A110)&gt;0)"),FALSE)</f>
        <v>0</v>
      </c>
      <c r="G110" s="5" t="str">
        <f ca="1">IF(OR(NOT(C110), NOT(F110)), " ", IF(D110="rater1","rater2","rater1"))</f>
        <v xml:space="preserve"> </v>
      </c>
      <c r="H110" s="8" t="str">
        <f ca="1">IF(AND(C110,F110), COUNTIF(#REF!, A110), "-")</f>
        <v>-</v>
      </c>
      <c r="I110" s="6"/>
    </row>
    <row r="111" spans="1:9" x14ac:dyDescent="0.25">
      <c r="A111" s="5">
        <v>110</v>
      </c>
      <c r="B111" s="6" t="str">
        <f ca="1">IFERROR(__xludf.DUMMYFUNCTION("""COMPUTED_VALUE"""),"Ch, R. P. R., Dieste, O., &amp; Juristo, N. (2020). Publication Bias: A Detailed Analysis of Experiments Published in ESEM.")</f>
        <v>Ch, R. P. R., Dieste, O., &amp; Juristo, N. (2020). Publication Bias: A Detailed Analysis of Experiments Published in ESEM.</v>
      </c>
      <c r="C111" s="7" t="b">
        <f ca="1">IFERROR(__xludf.DUMMYFUNCTION("""COMPUTED_VALUE"""),FALSE)</f>
        <v>0</v>
      </c>
      <c r="D111" s="5" t="str">
        <f ca="1">IFERROR(__xludf.DUMMYFUNCTION("""COMPUTED_VALUE"""),"rater1")</f>
        <v>rater1</v>
      </c>
      <c r="E111" s="5" t="str">
        <f ca="1">IF(C111, COUNTIF(Extraction!A:A, A111), "-")</f>
        <v>-</v>
      </c>
      <c r="F111" s="7" t="b">
        <f ca="1">IFERROR(__xludf.DUMMYFUNCTION("(COUNTIF(IMPORTRANGE(""https://docs.google.com/spreadsheets/d/1XUJGjtfB9SoW1rbohdkE9Z52MKac6AJzLHIsCSLTjGo/edit#gid=0"", ""Overlap!A2:A15""), A111)&gt;0)"),FALSE)</f>
        <v>0</v>
      </c>
      <c r="G111" s="5" t="str">
        <f ca="1">IF(OR(NOT(C111), NOT(F111)), " ", IF(D111="rater1","rater2","rater1"))</f>
        <v xml:space="preserve"> </v>
      </c>
      <c r="H111" s="8" t="str">
        <f ca="1">IF(AND(C111,F111), COUNTIF(#REF!, A111), "-")</f>
        <v>-</v>
      </c>
      <c r="I111" s="6"/>
    </row>
    <row r="112" spans="1:9" x14ac:dyDescent="0.25">
      <c r="A112" s="5">
        <v>111</v>
      </c>
      <c r="B112" s="6" t="str">
        <f ca="1">IFERROR(__xludf.DUMMYFUNCTION("""COMPUTED_VALUE"""),"Marchezan, L. (2023). Improving Consistency Maintenance for Collaborative Software Systems Engineering (Doctoral dissertation, JOHANNES KEPLER UNIVERSITY LINZ).")</f>
        <v>Marchezan, L. (2023). Improving Consistency Maintenance for Collaborative Software Systems Engineering (Doctoral dissertation, JOHANNES KEPLER UNIVERSITY LINZ).</v>
      </c>
      <c r="C112" s="7" t="b">
        <f ca="1">IFERROR(__xludf.DUMMYFUNCTION("""COMPUTED_VALUE"""),FALSE)</f>
        <v>0</v>
      </c>
      <c r="D112" s="5" t="str">
        <f ca="1">IFERROR(__xludf.DUMMYFUNCTION("""COMPUTED_VALUE"""),"rater1")</f>
        <v>rater1</v>
      </c>
      <c r="E112" s="5" t="str">
        <f ca="1">IF(C112, COUNTIF(Extraction!A:A, A112), "-")</f>
        <v>-</v>
      </c>
      <c r="F112" s="7" t="b">
        <f ca="1">IFERROR(__xludf.DUMMYFUNCTION("(COUNTIF(IMPORTRANGE(""https://docs.google.com/spreadsheets/d/1XUJGjtfB9SoW1rbohdkE9Z52MKac6AJzLHIsCSLTjGo/edit#gid=0"", ""Overlap!A2:A15""), A112)&gt;0)"),FALSE)</f>
        <v>0</v>
      </c>
      <c r="G112" s="5" t="str">
        <f ca="1">IF(OR(NOT(C112), NOT(F112)), " ", IF(D112="rater1","rater2","rater1"))</f>
        <v xml:space="preserve"> </v>
      </c>
      <c r="H112" s="8" t="str">
        <f ca="1">IF(AND(C112,F112), COUNTIF(#REF!, A112), "-")</f>
        <v>-</v>
      </c>
      <c r="I112" s="6"/>
    </row>
    <row r="113" spans="1:9" x14ac:dyDescent="0.25">
      <c r="A113" s="5">
        <v>112</v>
      </c>
      <c r="B113" s="6" t="str">
        <f ca="1">IFERROR(__xludf.DUMMYFUNCTION("""COMPUTED_VALUE"""),"Romano, S., Scanniello, G., Baldassarre, M. T., &amp; Fucci, D. (2020, August). On the Effect of Noise on Software Engineers’ Performance: Results from Two Replicated Experiments. In 2020 46th Euromicro Conference on Software Engineering and Advanced Applicat"&amp;"ions (SEAA) (pp. 334-341). IEEE.")</f>
        <v>Romano, S., Scanniello, G., Baldassarre, M. T., &amp; Fucci, D. (2020, August). On the Effect of Noise on Software Engineers’ Performance: Results from Two Replicated Experiments. In 2020 46th Euromicro Conference on Software Engineering and Advanced Applications (SEAA) (pp. 334-341). IEEE.</v>
      </c>
      <c r="C113" s="7" t="b">
        <f ca="1">IFERROR(__xludf.DUMMYFUNCTION("""COMPUTED_VALUE"""),TRUE)</f>
        <v>1</v>
      </c>
      <c r="D113" s="5" t="str">
        <f ca="1">IFERROR(__xludf.DUMMYFUNCTION("""COMPUTED_VALUE"""),"rater2")</f>
        <v>rater2</v>
      </c>
      <c r="E113" s="5">
        <f ca="1">IF(C113, COUNTIF(Extraction!A:A, A113), "-")</f>
        <v>2</v>
      </c>
      <c r="F113" s="7" t="b">
        <f ca="1">IFERROR(__xludf.DUMMYFUNCTION("(COUNTIF(IMPORTRANGE(""https://docs.google.com/spreadsheets/d/1XUJGjtfB9SoW1rbohdkE9Z52MKac6AJzLHIsCSLTjGo/edit#gid=0"", ""Overlap!A2:A15""), A113)&gt;0)"),FALSE)</f>
        <v>0</v>
      </c>
      <c r="G113" s="5" t="str">
        <f ca="1">IF(OR(NOT(C113), NOT(F113)), " ", IF(D113="rater1","rater2","rater1"))</f>
        <v xml:space="preserve"> </v>
      </c>
      <c r="H113" s="8" t="str">
        <f ca="1">IF(AND(C113,F113), COUNTIF(#REF!, A113), "-")</f>
        <v>-</v>
      </c>
      <c r="I113" s="6"/>
    </row>
    <row r="114" spans="1:9" x14ac:dyDescent="0.25">
      <c r="A114" s="5">
        <v>113</v>
      </c>
      <c r="B114" s="6" t="str">
        <f ca="1">IFERROR(__xludf.DUMMYFUNCTION("""COMPUTED_VALUE"""),"Geraldino, G. C. L., da Silva, R. G., &amp; Santander, V. F. A. (2020). Avaliando o processo de derivação de casos de uso a partir de i* e BPMN e suporte computacional. In CIbSE (pp. 250-263).")</f>
        <v>Geraldino, G. C. L., da Silva, R. G., &amp; Santander, V. F. A. (2020). Avaliando o processo de derivação de casos de uso a partir de i* e BPMN e suporte computacional. In CIbSE (pp. 250-263).</v>
      </c>
      <c r="C114" s="7" t="b">
        <f ca="1">IFERROR(__xludf.DUMMYFUNCTION("""COMPUTED_VALUE"""),FALSE)</f>
        <v>0</v>
      </c>
      <c r="D114" s="5" t="str">
        <f ca="1">IFERROR(__xludf.DUMMYFUNCTION("""COMPUTED_VALUE"""),"rater1")</f>
        <v>rater1</v>
      </c>
      <c r="E114" s="5" t="str">
        <f ca="1">IF(C114, COUNTIF(Extraction!A:A, A114), "-")</f>
        <v>-</v>
      </c>
      <c r="F114" s="7" t="b">
        <f ca="1">IFERROR(__xludf.DUMMYFUNCTION("(COUNTIF(IMPORTRANGE(""https://docs.google.com/spreadsheets/d/1XUJGjtfB9SoW1rbohdkE9Z52MKac6AJzLHIsCSLTjGo/edit#gid=0"", ""Overlap!A2:A15""), A114)&gt;0)"),FALSE)</f>
        <v>0</v>
      </c>
      <c r="G114" s="5" t="str">
        <f ca="1">IF(OR(NOT(C114), NOT(F114)), " ", IF(D114="rater1","rater2","rater1"))</f>
        <v xml:space="preserve"> </v>
      </c>
      <c r="H114" s="8" t="str">
        <f ca="1">IF(AND(C114,F114), COUNTIF(#REF!, A114), "-")</f>
        <v>-</v>
      </c>
      <c r="I114" s="6"/>
    </row>
    <row r="115" spans="1:9" x14ac:dyDescent="0.25">
      <c r="A115" s="5">
        <v>114</v>
      </c>
      <c r="B115" s="6" t="str">
        <f ca="1">IFERROR(__xludf.DUMMYFUNCTION("""COMPUTED_VALUE"""),"Albuquerque, D. W. (2023). Avaliação Experimental da Detecção Interativa de Anomalias de Código.")</f>
        <v>Albuquerque, D. W. (2023). Avaliação Experimental da Detecção Interativa de Anomalias de Código.</v>
      </c>
      <c r="C115" s="7" t="b">
        <f ca="1">IFERROR(__xludf.DUMMYFUNCTION("""COMPUTED_VALUE"""),FALSE)</f>
        <v>0</v>
      </c>
      <c r="D115" s="5" t="str">
        <f ca="1">IFERROR(__xludf.DUMMYFUNCTION("""COMPUTED_VALUE"""),"rater1")</f>
        <v>rater1</v>
      </c>
      <c r="E115" s="5" t="str">
        <f ca="1">IF(C115, COUNTIF(Extraction!A:A, A115), "-")</f>
        <v>-</v>
      </c>
      <c r="F115" s="7" t="b">
        <f ca="1">IFERROR(__xludf.DUMMYFUNCTION("(COUNTIF(IMPORTRANGE(""https://docs.google.com/spreadsheets/d/1XUJGjtfB9SoW1rbohdkE9Z52MKac6AJzLHIsCSLTjGo/edit#gid=0"", ""Overlap!A2:A15""), A115)&gt;0)"),FALSE)</f>
        <v>0</v>
      </c>
      <c r="G115" s="5" t="str">
        <f ca="1">IF(OR(NOT(C115), NOT(F115)), " ", IF(D115="rater1","rater2","rater1"))</f>
        <v xml:space="preserve"> </v>
      </c>
      <c r="H115" s="8" t="str">
        <f ca="1">IF(AND(C115,F115), COUNTIF(#REF!, A115), "-")</f>
        <v>-</v>
      </c>
      <c r="I115" s="6"/>
    </row>
    <row r="116" spans="1:9" x14ac:dyDescent="0.25">
      <c r="A116" s="5">
        <v>115</v>
      </c>
      <c r="B116" s="6" t="str">
        <f ca="1">IFERROR(__xludf.DUMMYFUNCTION("""COMPUTED_VALUE"""),"Fabia Valdatta, P. (2023). Comprensión de modelos de procesos por expertos de dominio.")</f>
        <v>Fabia Valdatta, P. (2023). Comprensión de modelos de procesos por expertos de dominio.</v>
      </c>
      <c r="C116" s="7" t="b">
        <f ca="1">IFERROR(__xludf.DUMMYFUNCTION("""COMPUTED_VALUE"""),FALSE)</f>
        <v>0</v>
      </c>
      <c r="D116" s="5" t="str">
        <f ca="1">IFERROR(__xludf.DUMMYFUNCTION("""COMPUTED_VALUE"""),"rater1")</f>
        <v>rater1</v>
      </c>
      <c r="E116" s="5" t="str">
        <f ca="1">IF(C116, COUNTIF(Extraction!A:A, A116), "-")</f>
        <v>-</v>
      </c>
      <c r="F116" s="7" t="b">
        <f ca="1">IFERROR(__xludf.DUMMYFUNCTION("(COUNTIF(IMPORTRANGE(""https://docs.google.com/spreadsheets/d/1XUJGjtfB9SoW1rbohdkE9Z52MKac6AJzLHIsCSLTjGo/edit#gid=0"", ""Overlap!A2:A15""), A116)&gt;0)"),FALSE)</f>
        <v>0</v>
      </c>
      <c r="G116" s="5" t="str">
        <f ca="1">IF(OR(NOT(C116), NOT(F116)), " ", IF(D116="rater1","rater2","rater1"))</f>
        <v xml:space="preserve"> </v>
      </c>
      <c r="H116" s="8" t="str">
        <f ca="1">IF(AND(C116,F116), COUNTIF(#REF!, A116), "-")</f>
        <v>-</v>
      </c>
      <c r="I116" s="6"/>
    </row>
    <row r="117" spans="1:9" x14ac:dyDescent="0.25">
      <c r="A117" s="5">
        <v>116</v>
      </c>
      <c r="B117" s="6" t="str">
        <f ca="1">IFERROR(__xludf.DUMMYFUNCTION("""COMPUTED_VALUE"""),"Ren, R., Castro, J. W., &amp; Acuña, S. T. (2021). A family of experiments for evaluating the usability of a collaborative modelling chatbot. In SEKE (pp. 275-280).")</f>
        <v>Ren, R., Castro, J. W., &amp; Acuña, S. T. (2021). A family of experiments for evaluating the usability of a collaborative modelling chatbot. In SEKE (pp. 275-280).</v>
      </c>
      <c r="C117" s="7" t="b">
        <f ca="1">IFERROR(__xludf.DUMMYFUNCTION("""COMPUTED_VALUE"""),TRUE)</f>
        <v>1</v>
      </c>
      <c r="D117" s="5" t="str">
        <f ca="1">IFERROR(__xludf.DUMMYFUNCTION("""COMPUTED_VALUE"""),"rater1")</f>
        <v>rater1</v>
      </c>
      <c r="E117" s="5">
        <f ca="1">IF(C117, COUNTIF(Extraction!A:A, A117), "-")</f>
        <v>3</v>
      </c>
      <c r="F117" s="7" t="b">
        <f ca="1">IFERROR(__xludf.DUMMYFUNCTION("(COUNTIF(IMPORTRANGE(""https://docs.google.com/spreadsheets/d/1XUJGjtfB9SoW1rbohdkE9Z52MKac6AJzLHIsCSLTjGo/edit#gid=0"", ""Overlap!A2:A15""), A117)&gt;0)"),TRUE)</f>
        <v>1</v>
      </c>
      <c r="G117" s="5" t="str">
        <f ca="1">IF(OR(NOT(C117), NOT(F117)), " ", IF(D117="rater1","rater2","rater1"))</f>
        <v>rater2</v>
      </c>
      <c r="H117" s="8" t="e">
        <f ca="1">IF(AND(C117,F117), COUNTIF(#REF!, A117), "-")</f>
        <v>#REF!</v>
      </c>
      <c r="I117" s="6"/>
    </row>
    <row r="118" spans="1:9" x14ac:dyDescent="0.25">
      <c r="A118" s="5">
        <v>117</v>
      </c>
      <c r="B118" s="6" t="str">
        <f ca="1">IFERROR(__xludf.DUMMYFUNCTION("""COMPUTED_VALUE"""),"Caivano, D., Fernández-Ropero, M., Pérez-Castillo, R., Piattini, M., &amp; Scalera, M. (2018). Artifact-based vs human-perceived understandability and modifiability of refactored business processes: An experiment. In Journal of Systems and Software.")</f>
        <v>Caivano, D., Fernández-Ropero, M., Pérez-Castillo, R., Piattini, M., &amp; Scalera, M. (2018). Artifact-based vs human-perceived understandability and modifiability of refactored business processes: An experiment. In Journal of Systems and Software.</v>
      </c>
      <c r="C118" s="7" t="b">
        <f ca="1">IFERROR(__xludf.DUMMYFUNCTION("""COMPUTED_VALUE"""),FALSE)</f>
        <v>0</v>
      </c>
      <c r="D118" s="5" t="str">
        <f ca="1">IFERROR(__xludf.DUMMYFUNCTION("""COMPUTED_VALUE"""),"rater1")</f>
        <v>rater1</v>
      </c>
      <c r="E118" s="5" t="str">
        <f ca="1">IF(C118, COUNTIF(Extraction!A:A, A118), "-")</f>
        <v>-</v>
      </c>
      <c r="F118" s="7" t="b">
        <f ca="1">IFERROR(__xludf.DUMMYFUNCTION("(COUNTIF(IMPORTRANGE(""https://docs.google.com/spreadsheets/d/1XUJGjtfB9SoW1rbohdkE9Z52MKac6AJzLHIsCSLTjGo/edit#gid=0"", ""Overlap!A2:A15""), A118)&gt;0)"),FALSE)</f>
        <v>0</v>
      </c>
      <c r="G118" s="5" t="str">
        <f ca="1">IF(OR(NOT(C118), NOT(F118)), " ", IF(D118="rater1","rater2","rater1"))</f>
        <v xml:space="preserve"> </v>
      </c>
      <c r="H118" s="8" t="str">
        <f ca="1">IF(AND(C118,F118), COUNTIF(#REF!, A118), "-")</f>
        <v>-</v>
      </c>
      <c r="I118" s="6"/>
    </row>
    <row r="119" spans="1:9" x14ac:dyDescent="0.25">
      <c r="A119" s="5">
        <v>118</v>
      </c>
      <c r="B119" s="6" t="str">
        <f ca="1">IFERROR(__xludf.DUMMYFUNCTION("""COMPUTED_VALUE"""),"Cruz Gutiérrez, N. A. Analysis of crossover designs with repeated measurements using generalized estimating equations (Doctoral dissertation, Universidad Nacional de Colombia).")</f>
        <v>Cruz Gutiérrez, N. A. Analysis of crossover designs with repeated measurements using generalized estimating equations (Doctoral dissertation, Universidad Nacional de Colombia).</v>
      </c>
      <c r="C119" s="7" t="b">
        <f ca="1">IFERROR(__xludf.DUMMYFUNCTION("""COMPUTED_VALUE"""),FALSE)</f>
        <v>0</v>
      </c>
      <c r="D119" s="5" t="str">
        <f ca="1">IFERROR(__xludf.DUMMYFUNCTION("""COMPUTED_VALUE"""),"rater1")</f>
        <v>rater1</v>
      </c>
      <c r="E119" s="5" t="str">
        <f ca="1">IF(C119, COUNTIF(Extraction!A:A, A119), "-")</f>
        <v>-</v>
      </c>
      <c r="F119" s="7" t="b">
        <f ca="1">IFERROR(__xludf.DUMMYFUNCTION("(COUNTIF(IMPORTRANGE(""https://docs.google.com/spreadsheets/d/1XUJGjtfB9SoW1rbohdkE9Z52MKac6AJzLHIsCSLTjGo/edit#gid=0"", ""Overlap!A2:A15""), A119)&gt;0)"),FALSE)</f>
        <v>0</v>
      </c>
      <c r="G119" s="5" t="str">
        <f ca="1">IF(OR(NOT(C119), NOT(F119)), " ", IF(D119="rater1","rater2","rater1"))</f>
        <v xml:space="preserve"> </v>
      </c>
      <c r="H119" s="8" t="str">
        <f ca="1">IF(AND(C119,F119), COUNTIF(#REF!, A119), "-")</f>
        <v>-</v>
      </c>
      <c r="I119" s="6"/>
    </row>
    <row r="120" spans="1:9" x14ac:dyDescent="0.25">
      <c r="A120" s="5">
        <v>119</v>
      </c>
      <c r="B120" s="6" t="str">
        <f ca="1">IFERROR(__xludf.DUMMYFUNCTION("""COMPUTED_VALUE"""),"Francese, R., Risi, M., &amp; Tortora, G. (2020, September). miniJava: Automatic Miniaturization of Java Applications. In Proceedings of the International Conference on Advanced Visual Interfaces (pp. 1-8).")</f>
        <v>Francese, R., Risi, M., &amp; Tortora, G. (2020, September). miniJava: Automatic Miniaturization of Java Applications. In Proceedings of the International Conference on Advanced Visual Interfaces (pp. 1-8).</v>
      </c>
      <c r="C120" s="7" t="b">
        <f ca="1">IFERROR(__xludf.DUMMYFUNCTION("""COMPUTED_VALUE"""),TRUE)</f>
        <v>1</v>
      </c>
      <c r="D120" s="5" t="str">
        <f ca="1">IFERROR(__xludf.DUMMYFUNCTION("""COMPUTED_VALUE"""),"rater2")</f>
        <v>rater2</v>
      </c>
      <c r="E120" s="5">
        <f ca="1">IF(C120, COUNTIF(Extraction!A:A, A120), "-")</f>
        <v>1</v>
      </c>
      <c r="F120" s="7" t="b">
        <f ca="1">IFERROR(__xludf.DUMMYFUNCTION("(COUNTIF(IMPORTRANGE(""https://docs.google.com/spreadsheets/d/1XUJGjtfB9SoW1rbohdkE9Z52MKac6AJzLHIsCSLTjGo/edit#gid=0"", ""Overlap!A2:A15""), A120)&gt;0)"),FALSE)</f>
        <v>0</v>
      </c>
      <c r="G120" s="5" t="str">
        <f ca="1">IF(OR(NOT(C120), NOT(F120)), " ", IF(D120="rater1","rater2","rater1"))</f>
        <v xml:space="preserve"> </v>
      </c>
      <c r="H120" s="8" t="str">
        <f ca="1">IF(AND(C120,F120), COUNTIF(#REF!, A120), "-")</f>
        <v>-</v>
      </c>
      <c r="I120" s="6"/>
    </row>
    <row r="121" spans="1:9" x14ac:dyDescent="0.25">
      <c r="A121" s="5">
        <v>120</v>
      </c>
      <c r="B121" s="6" t="str">
        <f ca="1">IFERROR(__xludf.DUMMYFUNCTION("""COMPUTED_VALUE"""),"BAYET, A. THESIS/THÈSE.")</f>
        <v>BAYET, A. THESIS/THÈSE.</v>
      </c>
      <c r="C121" s="7" t="b">
        <f ca="1">IFERROR(__xludf.DUMMYFUNCTION("""COMPUTED_VALUE"""),FALSE)</f>
        <v>0</v>
      </c>
      <c r="D121" s="5" t="str">
        <f ca="1">IFERROR(__xludf.DUMMYFUNCTION("""COMPUTED_VALUE"""),"rater1")</f>
        <v>rater1</v>
      </c>
      <c r="E121" s="5" t="str">
        <f ca="1">IF(C121, COUNTIF(Extraction!A:A, A121), "-")</f>
        <v>-</v>
      </c>
      <c r="F121" s="7" t="b">
        <f ca="1">IFERROR(__xludf.DUMMYFUNCTION("(COUNTIF(IMPORTRANGE(""https://docs.google.com/spreadsheets/d/1XUJGjtfB9SoW1rbohdkE9Z52MKac6AJzLHIsCSLTjGo/edit#gid=0"", ""Overlap!A2:A15""), A121)&gt;0)"),FALSE)</f>
        <v>0</v>
      </c>
      <c r="G121" s="5" t="str">
        <f ca="1">IF(OR(NOT(C121), NOT(F121)), " ", IF(D121="rater1","rater2","rater1"))</f>
        <v xml:space="preserve"> </v>
      </c>
      <c r="H121" s="8" t="str">
        <f ca="1">IF(AND(C121,F121), COUNTIF(#REF!, A121), "-")</f>
        <v>-</v>
      </c>
      <c r="I121" s="6"/>
    </row>
    <row r="122" spans="1:9" x14ac:dyDescent="0.25">
      <c r="A122" s="5">
        <v>121</v>
      </c>
      <c r="B122" s="6" t="str">
        <f ca="1">IFERROR(__xludf.DUMMYFUNCTION("""COMPUTED_VALUE"""),"GRABSI, A. THESIS/THÈSE.")</f>
        <v>GRABSI, A. THESIS/THÈSE.</v>
      </c>
      <c r="C122" s="7" t="b">
        <f ca="1">IFERROR(__xludf.DUMMYFUNCTION("""COMPUTED_VALUE"""),FALSE)</f>
        <v>0</v>
      </c>
      <c r="D122" s="5" t="str">
        <f ca="1">IFERROR(__xludf.DUMMYFUNCTION("""COMPUTED_VALUE"""),"rater1")</f>
        <v>rater1</v>
      </c>
      <c r="E122" s="5" t="str">
        <f ca="1">IF(C122, COUNTIF(Extraction!A:A, A122), "-")</f>
        <v>-</v>
      </c>
      <c r="F122" s="7" t="b">
        <f ca="1">IFERROR(__xludf.DUMMYFUNCTION("(COUNTIF(IMPORTRANGE(""https://docs.google.com/spreadsheets/d/1XUJGjtfB9SoW1rbohdkE9Z52MKac6AJzLHIsCSLTjGo/edit#gid=0"", ""Overlap!A2:A15""), A122)&gt;0)"),FALSE)</f>
        <v>0</v>
      </c>
      <c r="G122" s="5" t="str">
        <f ca="1">IF(OR(NOT(C122), NOT(F122)), " ", IF(D122="rater1","rater2","rater1"))</f>
        <v xml:space="preserve"> </v>
      </c>
      <c r="H122" s="8" t="str">
        <f ca="1">IF(AND(C122,F122), COUNTIF(#REF!, A122), "-")</f>
        <v>-</v>
      </c>
      <c r="I122" s="6"/>
    </row>
    <row r="123" spans="1:9" x14ac:dyDescent="0.25">
      <c r="A123" s="5">
        <v>122</v>
      </c>
      <c r="B123" s="6" t="str">
        <f ca="1">IFERROR(__xludf.DUMMYFUNCTION("""COMPUTED_VALUE"""),"de Roberto, P., De Lucia, A., &amp; Tortora, G. from Petroglyphs to CoDe Graphs.")</f>
        <v>de Roberto, P., De Lucia, A., &amp; Tortora, G. from Petroglyphs to CoDe Graphs.</v>
      </c>
      <c r="C123" s="7" t="b">
        <f ca="1">IFERROR(__xludf.DUMMYFUNCTION("""COMPUTED_VALUE"""),FALSE)</f>
        <v>0</v>
      </c>
      <c r="D123" s="5" t="str">
        <f ca="1">IFERROR(__xludf.DUMMYFUNCTION("""COMPUTED_VALUE"""),"rater1")</f>
        <v>rater1</v>
      </c>
      <c r="E123" s="5" t="str">
        <f ca="1">IF(C123, COUNTIF(Extraction!A:A, A123), "-")</f>
        <v>-</v>
      </c>
      <c r="F123" s="7" t="b">
        <f ca="1">IFERROR(__xludf.DUMMYFUNCTION("(COUNTIF(IMPORTRANGE(""https://docs.google.com/spreadsheets/d/1XUJGjtfB9SoW1rbohdkE9Z52MKac6AJzLHIsCSLTjGo/edit#gid=0"", ""Overlap!A2:A15""), A123)&gt;0)"),FALSE)</f>
        <v>0</v>
      </c>
      <c r="G123" s="5" t="str">
        <f ca="1">IF(OR(NOT(C123), NOT(F123)), " ", IF(D123="rater1","rater2","rater1"))</f>
        <v xml:space="preserve"> </v>
      </c>
      <c r="H123" s="8" t="str">
        <f ca="1">IF(AND(C123,F123), COUNTIF(#REF!, A123), "-")</f>
        <v>-</v>
      </c>
      <c r="I123" s="6"/>
    </row>
    <row r="124" spans="1:9" x14ac:dyDescent="0.25">
      <c r="A124" s="5">
        <v>123</v>
      </c>
      <c r="B124" s="6" t="str">
        <f ca="1">IFERROR(__xludf.DUMMYFUNCTION("""COMPUTED_VALUE"""),"Moran, M. J. (2017). On Comparative Algorithmic Pathfinding in Complex Networks for Resource-Constrained Software Agents (Doctoral dissertation, Walden University).")</f>
        <v>Moran, M. J. (2017). On Comparative Algorithmic Pathfinding in Complex Networks for Resource-Constrained Software Agents (Doctoral dissertation, Walden University).</v>
      </c>
      <c r="C124" s="7" t="b">
        <f ca="1">IFERROR(__xludf.DUMMYFUNCTION("""COMPUTED_VALUE"""),FALSE)</f>
        <v>0</v>
      </c>
      <c r="D124" s="5" t="str">
        <f ca="1">IFERROR(__xludf.DUMMYFUNCTION("""COMPUTED_VALUE"""),"rater1")</f>
        <v>rater1</v>
      </c>
      <c r="E124" s="5" t="str">
        <f ca="1">IF(C124, COUNTIF(Extraction!A:A, A124), "-")</f>
        <v>-</v>
      </c>
      <c r="F124" s="7" t="b">
        <f ca="1">IFERROR(__xludf.DUMMYFUNCTION("(COUNTIF(IMPORTRANGE(""https://docs.google.com/spreadsheets/d/1XUJGjtfB9SoW1rbohdkE9Z52MKac6AJzLHIsCSLTjGo/edit#gid=0"", ""Overlap!A2:A15""), A124)&gt;0)"),FALSE)</f>
        <v>0</v>
      </c>
      <c r="G124" s="5" t="str">
        <f ca="1">IF(OR(NOT(C124), NOT(F124)), " ", IF(D124="rater1","rater2","rater1"))</f>
        <v xml:space="preserve"> </v>
      </c>
      <c r="H124" s="8" t="str">
        <f ca="1">IF(AND(C124,F124), COUNTIF(#REF!, A124), "-")</f>
        <v>-</v>
      </c>
      <c r="I124" s="6"/>
    </row>
    <row r="125" spans="1:9" x14ac:dyDescent="0.25">
      <c r="A125" s="5">
        <v>124</v>
      </c>
      <c r="B125" s="6" t="str">
        <f ca="1">IFERROR(__xludf.DUMMYFUNCTION("""COMPUTED_VALUE"""),"Oliveira, J. D. A. (2021). Engineering efficient exception handling for android applications.")</f>
        <v>Oliveira, J. D. A. (2021). Engineering efficient exception handling for android applications.</v>
      </c>
      <c r="C125" s="7" t="b">
        <f ca="1">IFERROR(__xludf.DUMMYFUNCTION("""COMPUTED_VALUE"""),FALSE)</f>
        <v>0</v>
      </c>
      <c r="D125" s="5" t="str">
        <f ca="1">IFERROR(__xludf.DUMMYFUNCTION("""COMPUTED_VALUE"""),"rater1")</f>
        <v>rater1</v>
      </c>
      <c r="E125" s="5" t="str">
        <f ca="1">IF(C125, COUNTIF(Extraction!A:A, A125), "-")</f>
        <v>-</v>
      </c>
      <c r="F125" s="7" t="b">
        <f ca="1">IFERROR(__xludf.DUMMYFUNCTION("(COUNTIF(IMPORTRANGE(""https://docs.google.com/spreadsheets/d/1XUJGjtfB9SoW1rbohdkE9Z52MKac6AJzLHIsCSLTjGo/edit#gid=0"", ""Overlap!A2:A15""), A125)&gt;0)"),FALSE)</f>
        <v>0</v>
      </c>
      <c r="G125" s="5" t="str">
        <f ca="1">IF(OR(NOT(C125), NOT(F125)), " ", IF(D125="rater1","rater2","rater1"))</f>
        <v xml:space="preserve"> </v>
      </c>
      <c r="H125" s="8" t="str">
        <f ca="1">IF(AND(C125,F125), COUNTIF(#REF!, A125), "-")</f>
        <v>-</v>
      </c>
      <c r="I125" s="6"/>
    </row>
    <row r="126" spans="1:9" x14ac:dyDescent="0.25">
      <c r="A126" s="5">
        <v>125</v>
      </c>
      <c r="B126" s="6" t="str">
        <f ca="1">IFERROR(__xludf.DUMMYFUNCTION("""COMPUTED_VALUE"""),"Raura, G., Pons, C. F., Fonseca, E. R., &amp; Dieste, O. (2022). ¿ Qué factores personales afectan a la calidad y productividad de TDD? Un experimento con profesionales. Electronic Journal of SADIO, 21.")</f>
        <v>Raura, G., Pons, C. F., Fonseca, E. R., &amp; Dieste, O. (2022). ¿ Qué factores personales afectan a la calidad y productividad de TDD? Un experimento con profesionales. Electronic Journal of SADIO, 21.</v>
      </c>
      <c r="C126" s="7" t="b">
        <f ca="1">IFERROR(__xludf.DUMMYFUNCTION("""COMPUTED_VALUE"""),FALSE)</f>
        <v>0</v>
      </c>
      <c r="D126" s="5" t="str">
        <f ca="1">IFERROR(__xludf.DUMMYFUNCTION("""COMPUTED_VALUE"""),"rater1")</f>
        <v>rater1</v>
      </c>
      <c r="E126" s="5" t="str">
        <f ca="1">IF(C126, COUNTIF(Extraction!A:A, A126), "-")</f>
        <v>-</v>
      </c>
      <c r="F126" s="7" t="b">
        <f ca="1">IFERROR(__xludf.DUMMYFUNCTION("(COUNTIF(IMPORTRANGE(""https://docs.google.com/spreadsheets/d/1XUJGjtfB9SoW1rbohdkE9Z52MKac6AJzLHIsCSLTjGo/edit#gid=0"", ""Overlap!A2:A15""), A126)&gt;0)"),FALSE)</f>
        <v>0</v>
      </c>
      <c r="G126" s="5" t="str">
        <f ca="1">IF(OR(NOT(C126), NOT(F126)), " ", IF(D126="rater1","rater2","rater1"))</f>
        <v xml:space="preserve"> </v>
      </c>
      <c r="H126" s="8" t="str">
        <f ca="1">IF(AND(C126,F126), COUNTIF(#REF!, A126), "-")</f>
        <v>-</v>
      </c>
      <c r="I126" s="6"/>
    </row>
    <row r="127" spans="1:9" x14ac:dyDescent="0.25">
      <c r="A127" s="5">
        <v>126</v>
      </c>
      <c r="B127" s="6" t="str">
        <f ca="1">IFERROR(__xludf.DUMMYFUNCTION("""COMPUTED_VALUE"""),"Fonseca, E. R., &amp; Dieste, O. ¿ Qué factores personales afectan a la calidad y productividad de TDD? Un experimento con profesionales.")</f>
        <v>Fonseca, E. R., &amp; Dieste, O. ¿ Qué factores personales afectan a la calidad y productividad de TDD? Un experimento con profesionales.</v>
      </c>
      <c r="C127" s="7" t="b">
        <f ca="1">IFERROR(__xludf.DUMMYFUNCTION("""COMPUTED_VALUE"""),FALSE)</f>
        <v>0</v>
      </c>
      <c r="D127" s="5" t="str">
        <f ca="1">IFERROR(__xludf.DUMMYFUNCTION("""COMPUTED_VALUE"""),"rater1")</f>
        <v>rater1</v>
      </c>
      <c r="E127" s="5" t="str">
        <f ca="1">IF(C127, COUNTIF(Extraction!A:A, A127), "-")</f>
        <v>-</v>
      </c>
      <c r="F127" s="7" t="b">
        <f ca="1">IFERROR(__xludf.DUMMYFUNCTION("(COUNTIF(IMPORTRANGE(""https://docs.google.com/spreadsheets/d/1XUJGjtfB9SoW1rbohdkE9Z52MKac6AJzLHIsCSLTjGo/edit#gid=0"", ""Overlap!A2:A15""), A127)&gt;0)"),FALSE)</f>
        <v>0</v>
      </c>
      <c r="G127" s="5" t="str">
        <f ca="1">IF(OR(NOT(C127), NOT(F127)), " ", IF(D127="rater1","rater2","rater1"))</f>
        <v xml:space="preserve"> </v>
      </c>
      <c r="H127" s="8" t="str">
        <f ca="1">IF(AND(C127,F127), COUNTIF(#REF!, A127), "-")</f>
        <v>-</v>
      </c>
      <c r="I127" s="6"/>
    </row>
    <row r="128" spans="1:9" x14ac:dyDescent="0.25">
      <c r="A128" s="5">
        <v>127</v>
      </c>
      <c r="B128" s="6" t="str">
        <f ca="1">IFERROR(__xludf.DUMMYFUNCTION("""COMPUTED_VALUE"""),"de Almeida, A. C. G. (2019). Quality Evaluation of Requirements Models: The Case of Goal Models and Scenarios (Doctoral dissertation, Universidade NOVA de Lisboa (Portugal)).")</f>
        <v>de Almeida, A. C. G. (2019). Quality Evaluation of Requirements Models: The Case of Goal Models and Scenarios (Doctoral dissertation, Universidade NOVA de Lisboa (Portugal)).</v>
      </c>
      <c r="C128" s="7" t="b">
        <f ca="1">IFERROR(__xludf.DUMMYFUNCTION("""COMPUTED_VALUE"""),FALSE)</f>
        <v>0</v>
      </c>
      <c r="D128" s="5" t="str">
        <f ca="1">IFERROR(__xludf.DUMMYFUNCTION("""COMPUTED_VALUE"""),"rater1")</f>
        <v>rater1</v>
      </c>
      <c r="E128" s="5" t="str">
        <f ca="1">IF(C128, COUNTIF(Extraction!A:A, A128), "-")</f>
        <v>-</v>
      </c>
      <c r="F128" s="7" t="b">
        <f ca="1">IFERROR(__xludf.DUMMYFUNCTION("(COUNTIF(IMPORTRANGE(""https://docs.google.com/spreadsheets/d/1XUJGjtfB9SoW1rbohdkE9Z52MKac6AJzLHIsCSLTjGo/edit#gid=0"", ""Overlap!A2:A15""), A128)&gt;0)"),FALSE)</f>
        <v>0</v>
      </c>
      <c r="G128" s="5" t="str">
        <f ca="1">IF(OR(NOT(C128), NOT(F128)), " ", IF(D128="rater1","rater2","rater1"))</f>
        <v xml:space="preserve"> </v>
      </c>
      <c r="H128" s="8" t="str">
        <f ca="1">IF(AND(C128,F128), COUNTIF(#REF!, A128), "-")</f>
        <v>-</v>
      </c>
      <c r="I128" s="6"/>
    </row>
    <row r="129" spans="1:9" x14ac:dyDescent="0.25">
      <c r="A129" s="5">
        <v>128</v>
      </c>
      <c r="B129" s="6" t="str">
        <f ca="1">IFERROR(__xludf.DUMMYFUNCTION("""COMPUTED_VALUE"""),"Sandobalín Guamán, J. C. (2020). MoCIP: Un enfoque dirigido por modelos para el aprovisionamiento de infraestructura en la nube (Doctoral dissertation, Universitat Politècnica de València).")</f>
        <v>Sandobalín Guamán, J. C. (2020). MoCIP: Un enfoque dirigido por modelos para el aprovisionamiento de infraestructura en la nube (Doctoral dissertation, Universitat Politècnica de València).</v>
      </c>
      <c r="C129" s="7" t="b">
        <f ca="1">IFERROR(__xludf.DUMMYFUNCTION("""COMPUTED_VALUE"""),FALSE)</f>
        <v>0</v>
      </c>
      <c r="D129" s="5" t="str">
        <f ca="1">IFERROR(__xludf.DUMMYFUNCTION("""COMPUTED_VALUE"""),"rater1")</f>
        <v>rater1</v>
      </c>
      <c r="E129" s="5" t="str">
        <f ca="1">IF(C129, COUNTIF(Extraction!A:A, A129), "-")</f>
        <v>-</v>
      </c>
      <c r="F129" s="7" t="b">
        <f ca="1">IFERROR(__xludf.DUMMYFUNCTION("(COUNTIF(IMPORTRANGE(""https://docs.google.com/spreadsheets/d/1XUJGjtfB9SoW1rbohdkE9Z52MKac6AJzLHIsCSLTjGo/edit#gid=0"", ""Overlap!A2:A15""), A129)&gt;0)"),FALSE)</f>
        <v>0</v>
      </c>
      <c r="G129" s="5" t="str">
        <f ca="1">IF(OR(NOT(C129), NOT(F129)), " ", IF(D129="rater1","rater2","rater1"))</f>
        <v xml:space="preserve"> </v>
      </c>
      <c r="H129" s="8" t="str">
        <f ca="1">IF(AND(C129,F129), COUNTIF(#REF!, A129), "-")</f>
        <v>-</v>
      </c>
      <c r="I129" s="6"/>
    </row>
    <row r="130" spans="1:9" x14ac:dyDescent="0.25">
      <c r="A130" s="5">
        <v>129</v>
      </c>
      <c r="B130" s="6" t="str">
        <f ca="1">IFERROR(__xludf.DUMMYFUNCTION("""COMPUTED_VALUE"""),"Íñiguez Jarrín, C. E. (2020). GenomIUm: Un Método Basado en Patrones para el Diseño de Interfaces de Usuario de Acceso a Datos Genómicos (Doctoral dissertation, Universitat Politècnica de València).")</f>
        <v>Íñiguez Jarrín, C. E. (2020). GenomIUm: Un Método Basado en Patrones para el Diseño de Interfaces de Usuario de Acceso a Datos Genómicos (Doctoral dissertation, Universitat Politècnica de València).</v>
      </c>
      <c r="C130" s="7" t="b">
        <f ca="1">IFERROR(__xludf.DUMMYFUNCTION("""COMPUTED_VALUE"""),FALSE)</f>
        <v>0</v>
      </c>
      <c r="D130" s="5" t="str">
        <f ca="1">IFERROR(__xludf.DUMMYFUNCTION("""COMPUTED_VALUE"""),"rater1")</f>
        <v>rater1</v>
      </c>
      <c r="E130" s="5" t="str">
        <f ca="1">IF(C130, COUNTIF(Extraction!A:A, A130), "-")</f>
        <v>-</v>
      </c>
      <c r="F130" s="7" t="b">
        <f ca="1">IFERROR(__xludf.DUMMYFUNCTION("(COUNTIF(IMPORTRANGE(""https://docs.google.com/spreadsheets/d/1XUJGjtfB9SoW1rbohdkE9Z52MKac6AJzLHIsCSLTjGo/edit#gid=0"", ""Overlap!A2:A15""), A130)&gt;0)"),FALSE)</f>
        <v>0</v>
      </c>
      <c r="G130" s="5" t="str">
        <f ca="1">IF(OR(NOT(C130), NOT(F130)), " ", IF(D130="rater1","rater2","rater1"))</f>
        <v xml:space="preserve"> </v>
      </c>
      <c r="H130" s="8" t="str">
        <f ca="1">IF(AND(C130,F130), COUNTIF(#REF!, A130), "-")</f>
        <v>-</v>
      </c>
      <c r="I130" s="6"/>
    </row>
    <row r="131" spans="1:9" x14ac:dyDescent="0.25">
      <c r="A131" s="5">
        <v>130</v>
      </c>
      <c r="B131" s="6" t="str">
        <f ca="1">IFERROR(__xludf.DUMMYFUNCTION("""COMPUTED_VALUE"""),"Juristo, N. (2018). Statistical Errors in Software Engineering Experiments: A Preliminary Literature Review.")</f>
        <v>Juristo, N. (2018). Statistical Errors in Software Engineering Experiments: A Preliminary Literature Review.</v>
      </c>
      <c r="C131" s="7" t="b">
        <f ca="1">IFERROR(__xludf.DUMMYFUNCTION("""COMPUTED_VALUE"""),FALSE)</f>
        <v>0</v>
      </c>
      <c r="D131" s="5" t="str">
        <f ca="1">IFERROR(__xludf.DUMMYFUNCTION("""COMPUTED_VALUE"""),"rater1")</f>
        <v>rater1</v>
      </c>
      <c r="E131" s="5" t="str">
        <f ca="1">IF(C131, COUNTIF(Extraction!A:A, A131), "-")</f>
        <v>-</v>
      </c>
      <c r="F131" s="7" t="b">
        <f ca="1">IFERROR(__xludf.DUMMYFUNCTION("(COUNTIF(IMPORTRANGE(""https://docs.google.com/spreadsheets/d/1XUJGjtfB9SoW1rbohdkE9Z52MKac6AJzLHIsCSLTjGo/edit#gid=0"", ""Overlap!A2:A15""), A131)&gt;0)"),FALSE)</f>
        <v>0</v>
      </c>
      <c r="G131" s="5" t="str">
        <f ca="1">IF(OR(NOT(C131), NOT(F131)), " ", IF(D131="rater1","rater2","rater1"))</f>
        <v xml:space="preserve"> </v>
      </c>
      <c r="H131" s="8" t="str">
        <f ca="1">IF(AND(C131,F131), COUNTIF(#REF!, A131), "-")</f>
        <v>-</v>
      </c>
      <c r="I131" s="6"/>
    </row>
    <row r="132" spans="1:9" x14ac:dyDescent="0.25">
      <c r="A132" s="5">
        <v>131</v>
      </c>
      <c r="B132" s="6" t="str">
        <f ca="1">IFERROR(__xludf.DUMMYFUNCTION("""COMPUTED_VALUE"""),"De Roberto, P. (2018). Information visualization: from petroglyphs to CoDe Graphs.")</f>
        <v>De Roberto, P. (2018). Information visualization: from petroglyphs to CoDe Graphs.</v>
      </c>
      <c r="C132" s="7" t="b">
        <f ca="1">IFERROR(__xludf.DUMMYFUNCTION("""COMPUTED_VALUE"""),FALSE)</f>
        <v>0</v>
      </c>
      <c r="D132" s="5" t="str">
        <f ca="1">IFERROR(__xludf.DUMMYFUNCTION("""COMPUTED_VALUE"""),"rater1")</f>
        <v>rater1</v>
      </c>
      <c r="E132" s="5" t="str">
        <f ca="1">IF(C132, COUNTIF(Extraction!A:A, A132), "-")</f>
        <v>-</v>
      </c>
      <c r="F132" s="7" t="b">
        <f ca="1">IFERROR(__xludf.DUMMYFUNCTION("(COUNTIF(IMPORTRANGE(""https://docs.google.com/spreadsheets/d/1XUJGjtfB9SoW1rbohdkE9Z52MKac6AJzLHIsCSLTjGo/edit#gid=0"", ""Overlap!A2:A15""), A132)&gt;0)"),FALSE)</f>
        <v>0</v>
      </c>
      <c r="G132" s="5" t="str">
        <f ca="1">IF(OR(NOT(C132), NOT(F132)), " ", IF(D132="rater1","rater2","rater1"))</f>
        <v xml:space="preserve"> </v>
      </c>
      <c r="H132" s="8" t="str">
        <f ca="1">IF(AND(C132,F132), COUNTIF(#REF!, A132), "-")</f>
        <v>-</v>
      </c>
      <c r="I132" s="6"/>
    </row>
    <row r="133" spans="1:9" x14ac:dyDescent="0.25">
      <c r="A133" s="5">
        <v>132</v>
      </c>
      <c r="B133" s="6" t="str">
        <f ca="1">IFERROR(__xludf.DUMMYFUNCTION("""COMPUTED_VALUE"""),"Messe, N. Z. (2021). Security by Design: An asset-based approach to bridge the gap between architects and security experts (Doctoral dissertation, Université de Bretagne Sud).")</f>
        <v>Messe, N. Z. (2021). Security by Design: An asset-based approach to bridge the gap between architects and security experts (Doctoral dissertation, Université de Bretagne Sud).</v>
      </c>
      <c r="C133" s="7" t="b">
        <f ca="1">IFERROR(__xludf.DUMMYFUNCTION("""COMPUTED_VALUE"""),FALSE)</f>
        <v>0</v>
      </c>
      <c r="D133" s="5" t="str">
        <f ca="1">IFERROR(__xludf.DUMMYFUNCTION("""COMPUTED_VALUE"""),"rater1")</f>
        <v>rater1</v>
      </c>
      <c r="E133" s="5" t="str">
        <f ca="1">IF(C133, COUNTIF(Extraction!A:A, A133), "-")</f>
        <v>-</v>
      </c>
      <c r="F133" s="7" t="b">
        <f ca="1">IFERROR(__xludf.DUMMYFUNCTION("(COUNTIF(IMPORTRANGE(""https://docs.google.com/spreadsheets/d/1XUJGjtfB9SoW1rbohdkE9Z52MKac6AJzLHIsCSLTjGo/edit#gid=0"", ""Overlap!A2:A15""), A133)&gt;0)"),FALSE)</f>
        <v>0</v>
      </c>
      <c r="G133" s="5" t="str">
        <f ca="1">IF(OR(NOT(C133), NOT(F133)), " ", IF(D133="rater1","rater2","rater1"))</f>
        <v xml:space="preserve"> </v>
      </c>
      <c r="H133" s="8" t="str">
        <f ca="1">IF(AND(C133,F133), COUNTIF(#REF!, A133), "-")</f>
        <v>-</v>
      </c>
      <c r="I133" s="6"/>
    </row>
    <row r="134" spans="1:9" x14ac:dyDescent="0.25">
      <c r="A134" s="5">
        <v>133</v>
      </c>
      <c r="B134" s="6" t="str">
        <f ca="1">IFERROR(__xludf.DUMMYFUNCTION("""COMPUTED_VALUE"""),"Vara González, J. L. D. L., Marín, B., Ayora, C., &amp; Giachetti, G. (2017). An experimental evaluation of the understanding of safety compliance needs with models.")</f>
        <v>Vara González, J. L. D. L., Marín, B., Ayora, C., &amp; Giachetti, G. (2017). An experimental evaluation of the understanding of safety compliance needs with models.</v>
      </c>
      <c r="C134" s="7" t="b">
        <f ca="1">IFERROR(__xludf.DUMMYFUNCTION("""COMPUTED_VALUE"""),FALSE)</f>
        <v>0</v>
      </c>
      <c r="D134" s="5" t="str">
        <f ca="1">IFERROR(__xludf.DUMMYFUNCTION("""COMPUTED_VALUE"""),"rater1")</f>
        <v>rater1</v>
      </c>
      <c r="E134" s="5" t="str">
        <f ca="1">IF(C134, COUNTIF(Extraction!A:A, A134), "-")</f>
        <v>-</v>
      </c>
      <c r="F134" s="7" t="b">
        <f ca="1">IFERROR(__xludf.DUMMYFUNCTION("(COUNTIF(IMPORTRANGE(""https://docs.google.com/spreadsheets/d/1XUJGjtfB9SoW1rbohdkE9Z52MKac6AJzLHIsCSLTjGo/edit#gid=0"", ""Overlap!A2:A15""), A134)&gt;0)"),FALSE)</f>
        <v>0</v>
      </c>
      <c r="G134" s="5" t="str">
        <f ca="1">IF(OR(NOT(C134), NOT(F134)), " ", IF(D134="rater1","rater2","rater1"))</f>
        <v xml:space="preserve"> </v>
      </c>
      <c r="H134" s="8" t="str">
        <f ca="1">IF(AND(C134,F134), COUNTIF(#REF!, A134), "-")</f>
        <v>-</v>
      </c>
      <c r="I134" s="6"/>
    </row>
    <row r="135" spans="1:9" x14ac:dyDescent="0.25">
      <c r="A135" s="5">
        <v>134</v>
      </c>
      <c r="B135" s="6" t="str">
        <f ca="1">IFERROR(__xludf.DUMMYFUNCTION("""COMPUTED_VALUE"""),"Romano, S., Scanniello, G., Fucci, D., Juristo, N., &amp; Turhan, B. (2016). The E ect of Noise on Requirements Comprehension.")</f>
        <v>Romano, S., Scanniello, G., Fucci, D., Juristo, N., &amp; Turhan, B. (2016). The E ect of Noise on Requirements Comprehension.</v>
      </c>
      <c r="C135" s="7" t="b">
        <f ca="1">IFERROR(__xludf.DUMMYFUNCTION("""COMPUTED_VALUE"""),FALSE)</f>
        <v>0</v>
      </c>
      <c r="D135" s="5" t="str">
        <f ca="1">IFERROR(__xludf.DUMMYFUNCTION("""COMPUTED_VALUE"""),"rater2")</f>
        <v>rater2</v>
      </c>
      <c r="E135" s="5" t="str">
        <f ca="1">IF(C135, COUNTIF(Extraction!A:A, A135), "-")</f>
        <v>-</v>
      </c>
      <c r="F135" s="7" t="b">
        <f ca="1">IFERROR(__xludf.DUMMYFUNCTION("(COUNTIF(IMPORTRANGE(""https://docs.google.com/spreadsheets/d/1XUJGjtfB9SoW1rbohdkE9Z52MKac6AJzLHIsCSLTjGo/edit#gid=0"", ""Overlap!A2:A15""), A135)&gt;0)"),FALSE)</f>
        <v>0</v>
      </c>
      <c r="G135" s="5" t="str">
        <f ca="1">IF(OR(NOT(C135), NOT(F135)), " ", IF(D135="rater1","rater2","rater1"))</f>
        <v xml:space="preserve"> </v>
      </c>
      <c r="H135" s="8" t="str">
        <f ca="1">IF(AND(C135,F135), COUNTIF(#REF!, A135), "-")</f>
        <v>-</v>
      </c>
      <c r="I135" s="6"/>
    </row>
    <row r="136" spans="1:9" x14ac:dyDescent="0.25">
      <c r="A136" s="5">
        <v>135</v>
      </c>
      <c r="B136" s="6" t="str">
        <f ca="1">IFERROR(__xludf.DUMMYFUNCTION("""COMPUTED_VALUE"""),"Romano, S. (2018). Dead code: Study and detection (Doctoral dissertation, Ph. D. dissertation, University of Salento and University of Basilicata, 2018.[Online]. Available: http://www2. unibas. it/sromano/downloads/thesis. pdf).")</f>
        <v>Romano, S. (2018). Dead code: Study and detection (Doctoral dissertation, Ph. D. dissertation, University of Salento and University of Basilicata, 2018.[Online]. Available: http://www2. unibas. it/sromano/downloads/thesis. pdf).</v>
      </c>
      <c r="C136" s="7" t="b">
        <f ca="1">IFERROR(__xludf.DUMMYFUNCTION("""COMPUTED_VALUE"""),FALSE)</f>
        <v>0</v>
      </c>
      <c r="D136" s="5" t="str">
        <f ca="1">IFERROR(__xludf.DUMMYFUNCTION("""COMPUTED_VALUE"""),"rater1")</f>
        <v>rater1</v>
      </c>
      <c r="E136" s="5" t="str">
        <f ca="1">IF(C136, COUNTIF(Extraction!A:A, A136), "-")</f>
        <v>-</v>
      </c>
      <c r="F136" s="7" t="b">
        <f ca="1">IFERROR(__xludf.DUMMYFUNCTION("(COUNTIF(IMPORTRANGE(""https://docs.google.com/spreadsheets/d/1XUJGjtfB9SoW1rbohdkE9Z52MKac6AJzLHIsCSLTjGo/edit#gid=0"", ""Overlap!A2:A15""), A136)&gt;0)"),FALSE)</f>
        <v>0</v>
      </c>
      <c r="G136" s="5" t="str">
        <f ca="1">IF(OR(NOT(C136), NOT(F136)), " ", IF(D136="rater1","rater2","rater1"))</f>
        <v xml:space="preserve"> </v>
      </c>
      <c r="H136" s="8" t="str">
        <f ca="1">IF(AND(C136,F136), COUNTIF(#REF!, A136), "-")</f>
        <v>-</v>
      </c>
      <c r="I136" s="6"/>
    </row>
    <row r="137" spans="1:9" x14ac:dyDescent="0.25">
      <c r="A137" s="5">
        <v>136</v>
      </c>
      <c r="B137" s="6" t="str">
        <f ca="1">IFERROR(__xludf.DUMMYFUNCTION("""COMPUTED_VALUE"""),"Nowak, A., &amp; Schünemann, H. J. Toward Evidence-Based Software Engineering.")</f>
        <v>Nowak, A., &amp; Schünemann, H. J. Toward Evidence-Based Software Engineering.</v>
      </c>
      <c r="C137" s="7" t="b">
        <f ca="1">IFERROR(__xludf.DUMMYFUNCTION("""COMPUTED_VALUE"""),FALSE)</f>
        <v>0</v>
      </c>
      <c r="D137" s="5" t="str">
        <f ca="1">IFERROR(__xludf.DUMMYFUNCTION("""COMPUTED_VALUE"""),"rater1")</f>
        <v>rater1</v>
      </c>
      <c r="E137" s="5" t="str">
        <f ca="1">IF(C137, COUNTIF(Extraction!A:A, A137), "-")</f>
        <v>-</v>
      </c>
      <c r="F137" s="7" t="b">
        <f ca="1">IFERROR(__xludf.DUMMYFUNCTION("(COUNTIF(IMPORTRANGE(""https://docs.google.com/spreadsheets/d/1XUJGjtfB9SoW1rbohdkE9Z52MKac6AJzLHIsCSLTjGo/edit#gid=0"", ""Overlap!A2:A15""), A137)&gt;0)"),FALSE)</f>
        <v>0</v>
      </c>
      <c r="G137" s="5" t="str">
        <f ca="1">IF(OR(NOT(C137), NOT(F137)), " ", IF(D137="rater1","rater2","rater1"))</f>
        <v xml:space="preserve"> </v>
      </c>
      <c r="H137" s="8" t="str">
        <f ca="1">IF(AND(C137,F137), COUNTIF(#REF!, A137), "-")</f>
        <v>-</v>
      </c>
      <c r="I137" s="6"/>
    </row>
  </sheetData>
  <autoFilter ref="F1:F137" xr:uid="{00000000-0009-0000-0000-000000000000}"/>
  <conditionalFormatting sqref="A2:A137">
    <cfRule type="expression" dxfId="7" priority="5">
      <formula>NOT(C2)</formula>
    </cfRule>
  </conditionalFormatting>
  <conditionalFormatting sqref="B2:B137">
    <cfRule type="expression" dxfId="6" priority="4">
      <formula>NOT(C2)</formula>
    </cfRule>
  </conditionalFormatting>
  <conditionalFormatting sqref="E2:E137 H2:H137">
    <cfRule type="cellIs" dxfId="5" priority="1" operator="equal">
      <formula>"-"</formula>
    </cfRule>
    <cfRule type="cellIs" dxfId="4" priority="2" operator="equal">
      <formula>0</formula>
    </cfRule>
    <cfRule type="cellIs" dxfId="3" priority="3" operator="greaterThan">
      <formula>0</formula>
    </cfRule>
  </conditionalFormatting>
  <conditionalFormatting sqref="F2:F137">
    <cfRule type="expression" dxfId="2" priority="6">
      <formula>NOT(C2)</formula>
    </cfRule>
    <cfRule type="expression" dxfId="1" priority="7">
      <formula>AND(C2,F2)</formula>
    </cfRule>
  </conditionalFormatting>
  <dataValidations count="2">
    <dataValidation type="list" allowBlank="1" showErrorMessage="1" sqref="G2:G137" xr:uid="{00000000-0002-0000-0000-000000000000}">
      <formula1>"dfu,jfr, "</formula1>
    </dataValidation>
    <dataValidation type="list" allowBlank="1" showErrorMessage="1" sqref="D2:D137" xr:uid="{00000000-0002-0000-0000-000001000000}">
      <formula1>"dfu,jfr"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70"/>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2.6640625" defaultRowHeight="15.75" customHeight="1" x14ac:dyDescent="0.25"/>
  <cols>
    <col min="1" max="2" width="8.88671875" customWidth="1"/>
    <col min="3" max="5" width="25.109375" customWidth="1"/>
    <col min="6" max="6" width="31.33203125" customWidth="1"/>
    <col min="7" max="7" width="8.21875" customWidth="1"/>
    <col min="8" max="8" width="17.21875" customWidth="1"/>
    <col min="10" max="10" width="22.44140625" customWidth="1"/>
    <col min="11" max="14" width="16.33203125" customWidth="1"/>
    <col min="15" max="15" width="10.109375" customWidth="1"/>
    <col min="16" max="16" width="17.6640625" customWidth="1"/>
    <col min="17" max="17" width="25.109375" customWidth="1"/>
    <col min="18" max="18" width="17.6640625" customWidth="1"/>
    <col min="19" max="19" width="25.109375" customWidth="1"/>
    <col min="20" max="20" width="50.109375" customWidth="1"/>
    <col min="21" max="21" width="3.88671875" customWidth="1"/>
    <col min="22" max="22" width="50.109375" customWidth="1"/>
  </cols>
  <sheetData>
    <row r="1" spans="1:22" x14ac:dyDescent="0.25">
      <c r="A1" s="1"/>
      <c r="B1" s="4"/>
      <c r="C1" s="53" t="s">
        <v>9</v>
      </c>
      <c r="D1" s="51"/>
      <c r="E1" s="51"/>
      <c r="F1" s="52"/>
      <c r="G1" s="53" t="s">
        <v>10</v>
      </c>
      <c r="H1" s="52"/>
      <c r="I1" s="50" t="s">
        <v>11</v>
      </c>
      <c r="J1" s="51"/>
      <c r="K1" s="51"/>
      <c r="L1" s="51"/>
      <c r="M1" s="51"/>
      <c r="N1" s="51"/>
      <c r="O1" s="10"/>
      <c r="P1" s="50" t="s">
        <v>12</v>
      </c>
      <c r="Q1" s="51"/>
      <c r="R1" s="51"/>
      <c r="S1" s="52"/>
      <c r="T1" s="2"/>
      <c r="U1" s="9"/>
      <c r="V1" s="2"/>
    </row>
    <row r="2" spans="1:22" x14ac:dyDescent="0.25">
      <c r="A2" s="1"/>
      <c r="B2" s="4"/>
      <c r="C2" s="53" t="s">
        <v>13</v>
      </c>
      <c r="D2" s="51"/>
      <c r="E2" s="53" t="s">
        <v>14</v>
      </c>
      <c r="F2" s="52"/>
      <c r="G2" s="2"/>
      <c r="H2" s="4"/>
      <c r="I2" s="1"/>
      <c r="J2" s="11"/>
      <c r="K2" s="50" t="s">
        <v>15</v>
      </c>
      <c r="L2" s="51"/>
      <c r="M2" s="51"/>
      <c r="N2" s="51"/>
      <c r="O2" s="10"/>
      <c r="P2" s="50" t="s">
        <v>16</v>
      </c>
      <c r="Q2" s="51"/>
      <c r="R2" s="50" t="s">
        <v>11</v>
      </c>
      <c r="S2" s="52"/>
      <c r="T2" s="2"/>
      <c r="U2" s="9"/>
      <c r="V2" s="2"/>
    </row>
    <row r="3" spans="1:22" x14ac:dyDescent="0.25">
      <c r="A3" s="1" t="s">
        <v>17</v>
      </c>
      <c r="B3" s="4" t="s">
        <v>18</v>
      </c>
      <c r="C3" s="2" t="s">
        <v>19</v>
      </c>
      <c r="D3" s="12" t="s">
        <v>20</v>
      </c>
      <c r="E3" s="2" t="s">
        <v>21</v>
      </c>
      <c r="F3" s="13" t="s">
        <v>22</v>
      </c>
      <c r="G3" s="2" t="s">
        <v>23</v>
      </c>
      <c r="H3" s="4" t="s">
        <v>24</v>
      </c>
      <c r="I3" s="1" t="s">
        <v>25</v>
      </c>
      <c r="J3" s="11" t="s">
        <v>26</v>
      </c>
      <c r="K3" s="1" t="s">
        <v>27</v>
      </c>
      <c r="L3" s="1" t="s">
        <v>28</v>
      </c>
      <c r="M3" s="1" t="s">
        <v>29</v>
      </c>
      <c r="N3" s="1" t="s">
        <v>30</v>
      </c>
      <c r="O3" s="4" t="s">
        <v>31</v>
      </c>
      <c r="P3" s="1" t="s">
        <v>32</v>
      </c>
      <c r="Q3" s="12" t="s">
        <v>33</v>
      </c>
      <c r="R3" s="1" t="s">
        <v>34</v>
      </c>
      <c r="S3" s="13" t="s">
        <v>35</v>
      </c>
      <c r="T3" s="2" t="s">
        <v>36</v>
      </c>
      <c r="U3" s="9" t="s">
        <v>37</v>
      </c>
      <c r="V3" s="2" t="s">
        <v>38</v>
      </c>
    </row>
    <row r="4" spans="1:22" x14ac:dyDescent="0.25">
      <c r="A4" s="5">
        <v>6</v>
      </c>
      <c r="B4" s="8" t="str">
        <f ca="1">IF(ISBLANK(A4), "", VLOOKUP(A4, Studies!A:D, 4))</f>
        <v>rater2</v>
      </c>
      <c r="C4" s="6" t="s">
        <v>39</v>
      </c>
      <c r="D4" s="14" t="s">
        <v>40</v>
      </c>
      <c r="E4" s="6" t="s">
        <v>41</v>
      </c>
      <c r="F4" s="15" t="s">
        <v>42</v>
      </c>
      <c r="G4" s="6" t="s">
        <v>43</v>
      </c>
      <c r="H4" s="8" t="s">
        <v>44</v>
      </c>
      <c r="I4" s="5" t="s">
        <v>45</v>
      </c>
      <c r="J4" s="16" t="s">
        <v>46</v>
      </c>
      <c r="K4" s="5" t="s">
        <v>47</v>
      </c>
      <c r="L4" s="5" t="s">
        <v>47</v>
      </c>
      <c r="M4" s="5" t="s">
        <v>48</v>
      </c>
      <c r="N4" s="5" t="s">
        <v>48</v>
      </c>
      <c r="O4" s="8" t="b">
        <v>0</v>
      </c>
      <c r="P4" s="5" t="s">
        <v>49</v>
      </c>
      <c r="Q4" s="16"/>
      <c r="R4" s="5" t="s">
        <v>49</v>
      </c>
      <c r="S4" s="8"/>
      <c r="T4" s="6"/>
      <c r="U4" s="17" t="b">
        <v>0</v>
      </c>
      <c r="V4" s="6"/>
    </row>
    <row r="5" spans="1:22" x14ac:dyDescent="0.25">
      <c r="A5" s="5">
        <v>9</v>
      </c>
      <c r="B5" s="8" t="str">
        <f ca="1">IF(ISBLANK(A5), "", VLOOKUP(A5, Studies!A:D, 4))</f>
        <v>rater1</v>
      </c>
      <c r="C5" s="6" t="s">
        <v>50</v>
      </c>
      <c r="D5" s="14" t="s">
        <v>51</v>
      </c>
      <c r="E5" s="6" t="s">
        <v>52</v>
      </c>
      <c r="F5" s="15" t="s">
        <v>53</v>
      </c>
      <c r="G5" s="6">
        <v>105</v>
      </c>
      <c r="H5" s="8" t="s">
        <v>54</v>
      </c>
      <c r="I5" s="5" t="s">
        <v>45</v>
      </c>
      <c r="J5" s="16" t="s">
        <v>46</v>
      </c>
      <c r="K5" s="5" t="s">
        <v>47</v>
      </c>
      <c r="L5" s="5" t="s">
        <v>47</v>
      </c>
      <c r="M5" s="5" t="s">
        <v>55</v>
      </c>
      <c r="N5" s="5" t="s">
        <v>47</v>
      </c>
      <c r="O5" s="8" t="b">
        <v>0</v>
      </c>
      <c r="P5" s="5" t="s">
        <v>56</v>
      </c>
      <c r="Q5" s="18" t="s">
        <v>57</v>
      </c>
      <c r="R5" s="5" t="s">
        <v>56</v>
      </c>
      <c r="S5" s="19" t="s">
        <v>57</v>
      </c>
      <c r="T5" s="6" t="s">
        <v>58</v>
      </c>
      <c r="U5" s="17" t="b">
        <v>0</v>
      </c>
      <c r="V5" s="6"/>
    </row>
    <row r="6" spans="1:22" x14ac:dyDescent="0.25">
      <c r="A6" s="5">
        <v>14</v>
      </c>
      <c r="B6" s="8" t="str">
        <f ca="1">IF(ISBLANK(A6), "", VLOOKUP(A6, Studies!A:D, 4))</f>
        <v>rater2</v>
      </c>
      <c r="C6" s="6" t="s">
        <v>59</v>
      </c>
      <c r="D6" s="14" t="s">
        <v>60</v>
      </c>
      <c r="E6" s="6" t="s">
        <v>61</v>
      </c>
      <c r="F6" s="15" t="s">
        <v>62</v>
      </c>
      <c r="G6" s="6">
        <v>21</v>
      </c>
      <c r="H6" s="8" t="s">
        <v>44</v>
      </c>
      <c r="I6" s="5" t="s">
        <v>45</v>
      </c>
      <c r="J6" s="16" t="s">
        <v>63</v>
      </c>
      <c r="K6" s="5" t="s">
        <v>48</v>
      </c>
      <c r="L6" s="5" t="s">
        <v>64</v>
      </c>
      <c r="M6" s="5" t="s">
        <v>48</v>
      </c>
      <c r="N6" s="5" t="s">
        <v>64</v>
      </c>
      <c r="O6" s="8" t="b">
        <v>0</v>
      </c>
      <c r="P6" s="5" t="s">
        <v>49</v>
      </c>
      <c r="Q6" s="16"/>
      <c r="R6" s="5" t="s">
        <v>49</v>
      </c>
      <c r="S6" s="8"/>
      <c r="T6" s="6" t="s">
        <v>65</v>
      </c>
      <c r="U6" s="17" t="b">
        <v>0</v>
      </c>
      <c r="V6" s="6"/>
    </row>
    <row r="7" spans="1:22" x14ac:dyDescent="0.25">
      <c r="A7" s="5">
        <v>48</v>
      </c>
      <c r="B7" s="8" t="str">
        <f ca="1">IF(ISBLANK(A7), "", VLOOKUP(A7, Studies!A:D, 4))</f>
        <v>rater2</v>
      </c>
      <c r="C7" s="6" t="s">
        <v>59</v>
      </c>
      <c r="D7" s="14" t="s">
        <v>66</v>
      </c>
      <c r="E7" s="6" t="s">
        <v>67</v>
      </c>
      <c r="F7" s="15" t="s">
        <v>68</v>
      </c>
      <c r="G7" s="6">
        <v>18</v>
      </c>
      <c r="H7" s="8" t="s">
        <v>44</v>
      </c>
      <c r="I7" s="5" t="s">
        <v>69</v>
      </c>
      <c r="J7" s="16"/>
      <c r="K7" s="5" t="s">
        <v>47</v>
      </c>
      <c r="L7" s="5" t="s">
        <v>48</v>
      </c>
      <c r="M7" s="5" t="s">
        <v>48</v>
      </c>
      <c r="N7" s="5" t="s">
        <v>47</v>
      </c>
      <c r="O7" s="8" t="b">
        <v>0</v>
      </c>
      <c r="P7" s="5" t="s">
        <v>49</v>
      </c>
      <c r="Q7" s="16"/>
      <c r="R7" s="5" t="s">
        <v>49</v>
      </c>
      <c r="S7" s="8"/>
      <c r="T7" s="6" t="s">
        <v>70</v>
      </c>
      <c r="U7" s="17" t="b">
        <v>1</v>
      </c>
      <c r="V7" s="6" t="s">
        <v>71</v>
      </c>
    </row>
    <row r="8" spans="1:22" x14ac:dyDescent="0.25">
      <c r="A8" s="5">
        <v>71</v>
      </c>
      <c r="B8" s="8" t="str">
        <f ca="1">IF(ISBLANK(A8), "", VLOOKUP(A8, Studies!A:D, 4))</f>
        <v>rater2</v>
      </c>
      <c r="C8" s="6" t="s">
        <v>72</v>
      </c>
      <c r="D8" s="14" t="s">
        <v>73</v>
      </c>
      <c r="E8" s="6" t="s">
        <v>74</v>
      </c>
      <c r="F8" s="15" t="s">
        <v>75</v>
      </c>
      <c r="G8" s="6">
        <v>24</v>
      </c>
      <c r="H8" s="8" t="s">
        <v>54</v>
      </c>
      <c r="I8" s="5" t="s">
        <v>45</v>
      </c>
      <c r="J8" s="16" t="s">
        <v>76</v>
      </c>
      <c r="K8" s="5" t="s">
        <v>48</v>
      </c>
      <c r="L8" s="5" t="s">
        <v>48</v>
      </c>
      <c r="M8" s="5" t="s">
        <v>64</v>
      </c>
      <c r="N8" s="5" t="s">
        <v>48</v>
      </c>
      <c r="O8" s="8" t="b">
        <v>0</v>
      </c>
      <c r="P8" s="5" t="s">
        <v>49</v>
      </c>
      <c r="Q8" s="14"/>
      <c r="R8" s="5" t="s">
        <v>49</v>
      </c>
      <c r="S8" s="15"/>
      <c r="T8" s="6"/>
      <c r="U8" s="17" t="b">
        <v>0</v>
      </c>
      <c r="V8" s="6"/>
    </row>
    <row r="9" spans="1:22" x14ac:dyDescent="0.25">
      <c r="A9" s="5">
        <v>77</v>
      </c>
      <c r="B9" s="8" t="str">
        <f ca="1">IF(ISBLANK(A9), "", VLOOKUP(A9, Studies!A:D, 4))</f>
        <v>rater1</v>
      </c>
      <c r="C9" s="6" t="s">
        <v>77</v>
      </c>
      <c r="D9" s="14" t="s">
        <v>78</v>
      </c>
      <c r="E9" s="6" t="s">
        <v>79</v>
      </c>
      <c r="F9" s="15" t="s">
        <v>80</v>
      </c>
      <c r="G9" s="6">
        <v>14</v>
      </c>
      <c r="H9" s="8" t="s">
        <v>81</v>
      </c>
      <c r="I9" s="5" t="s">
        <v>82</v>
      </c>
      <c r="J9" s="16"/>
      <c r="K9" s="5" t="s">
        <v>48</v>
      </c>
      <c r="L9" s="5" t="s">
        <v>48</v>
      </c>
      <c r="M9" s="5" t="s">
        <v>48</v>
      </c>
      <c r="N9" s="5" t="s">
        <v>48</v>
      </c>
      <c r="O9" s="8" t="b">
        <v>0</v>
      </c>
      <c r="P9" s="5" t="s">
        <v>83</v>
      </c>
      <c r="Q9" s="18" t="s">
        <v>84</v>
      </c>
      <c r="R9" s="5" t="s">
        <v>49</v>
      </c>
      <c r="S9" s="15"/>
      <c r="T9" s="6" t="s">
        <v>85</v>
      </c>
      <c r="U9" s="17" t="b">
        <v>0</v>
      </c>
      <c r="V9" s="6"/>
    </row>
    <row r="10" spans="1:22" x14ac:dyDescent="0.25">
      <c r="A10" s="5">
        <v>116</v>
      </c>
      <c r="B10" s="8" t="str">
        <f ca="1">IF(ISBLANK(A10), "", VLOOKUP(A10, Studies!A:D, 4))</f>
        <v>rater1</v>
      </c>
      <c r="C10" s="6" t="s">
        <v>86</v>
      </c>
      <c r="D10" s="14" t="s">
        <v>87</v>
      </c>
      <c r="E10" s="6" t="s">
        <v>88</v>
      </c>
      <c r="F10" s="15" t="s">
        <v>89</v>
      </c>
      <c r="G10" s="6">
        <v>18</v>
      </c>
      <c r="H10" s="8" t="s">
        <v>90</v>
      </c>
      <c r="I10" s="5" t="s">
        <v>69</v>
      </c>
      <c r="J10" s="16"/>
      <c r="K10" s="5" t="s">
        <v>91</v>
      </c>
      <c r="L10" s="5" t="s">
        <v>91</v>
      </c>
      <c r="M10" s="5" t="s">
        <v>47</v>
      </c>
      <c r="N10" s="5" t="s">
        <v>48</v>
      </c>
      <c r="O10" s="8" t="b">
        <v>0</v>
      </c>
      <c r="P10" s="5" t="s">
        <v>92</v>
      </c>
      <c r="Q10" s="20" t="s">
        <v>93</v>
      </c>
      <c r="R10" s="5" t="s">
        <v>92</v>
      </c>
      <c r="S10" s="19" t="s">
        <v>93</v>
      </c>
      <c r="T10" s="6" t="s">
        <v>94</v>
      </c>
      <c r="U10" s="17" t="b">
        <v>0</v>
      </c>
      <c r="V10" s="6"/>
    </row>
    <row r="11" spans="1:22" x14ac:dyDescent="0.25">
      <c r="A11" s="5">
        <v>116</v>
      </c>
      <c r="B11" s="8" t="str">
        <f ca="1">IF(ISBLANK(A11), "", VLOOKUP(A11, Studies!A:D, 4))</f>
        <v>rater1</v>
      </c>
      <c r="C11" s="6" t="s">
        <v>86</v>
      </c>
      <c r="D11" s="14" t="s">
        <v>87</v>
      </c>
      <c r="E11" s="6" t="s">
        <v>88</v>
      </c>
      <c r="F11" s="15" t="s">
        <v>89</v>
      </c>
      <c r="G11" s="6">
        <v>10</v>
      </c>
      <c r="H11" s="8" t="s">
        <v>90</v>
      </c>
      <c r="I11" s="5" t="s">
        <v>69</v>
      </c>
      <c r="J11" s="16"/>
      <c r="K11" s="5" t="s">
        <v>91</v>
      </c>
      <c r="L11" s="5" t="s">
        <v>91</v>
      </c>
      <c r="M11" s="5" t="s">
        <v>47</v>
      </c>
      <c r="N11" s="5" t="s">
        <v>48</v>
      </c>
      <c r="O11" s="8" t="b">
        <v>0</v>
      </c>
      <c r="P11" s="5" t="s">
        <v>92</v>
      </c>
      <c r="Q11" s="18" t="s">
        <v>93</v>
      </c>
      <c r="R11" s="5" t="s">
        <v>92</v>
      </c>
      <c r="S11" s="19" t="s">
        <v>93</v>
      </c>
      <c r="T11" s="6"/>
      <c r="U11" s="17" t="b">
        <v>0</v>
      </c>
      <c r="V11" s="6"/>
    </row>
    <row r="12" spans="1:22" x14ac:dyDescent="0.25">
      <c r="A12" s="5">
        <v>116</v>
      </c>
      <c r="B12" s="8" t="str">
        <f ca="1">IF(ISBLANK(A12), "", VLOOKUP(A12, Studies!A:D, 4))</f>
        <v>rater1</v>
      </c>
      <c r="C12" s="6" t="s">
        <v>86</v>
      </c>
      <c r="D12" s="14" t="s">
        <v>87</v>
      </c>
      <c r="E12" s="6" t="s">
        <v>88</v>
      </c>
      <c r="F12" s="15" t="s">
        <v>89</v>
      </c>
      <c r="G12" s="6">
        <v>11</v>
      </c>
      <c r="H12" s="8" t="s">
        <v>90</v>
      </c>
      <c r="I12" s="5" t="s">
        <v>69</v>
      </c>
      <c r="J12" s="16"/>
      <c r="K12" s="5" t="s">
        <v>91</v>
      </c>
      <c r="L12" s="5" t="s">
        <v>91</v>
      </c>
      <c r="M12" s="5" t="s">
        <v>47</v>
      </c>
      <c r="N12" s="5" t="s">
        <v>48</v>
      </c>
      <c r="O12" s="8" t="b">
        <v>0</v>
      </c>
      <c r="P12" s="5" t="s">
        <v>92</v>
      </c>
      <c r="Q12" s="18" t="s">
        <v>93</v>
      </c>
      <c r="R12" s="5" t="s">
        <v>92</v>
      </c>
      <c r="S12" s="21" t="s">
        <v>93</v>
      </c>
      <c r="T12" s="6"/>
      <c r="U12" s="17" t="b">
        <v>0</v>
      </c>
      <c r="V12" s="6"/>
    </row>
    <row r="13" spans="1:22" x14ac:dyDescent="0.25">
      <c r="A13" s="5">
        <v>7</v>
      </c>
      <c r="B13" s="8" t="str">
        <f ca="1">IF(ISBLANK(A13), "", VLOOKUP(A13, Studies!A:D, 4))</f>
        <v>rater1</v>
      </c>
      <c r="C13" s="6" t="s">
        <v>95</v>
      </c>
      <c r="D13" s="14" t="s">
        <v>96</v>
      </c>
      <c r="E13" s="6" t="s">
        <v>97</v>
      </c>
      <c r="F13" s="15" t="s">
        <v>98</v>
      </c>
      <c r="G13" s="6">
        <v>62</v>
      </c>
      <c r="H13" s="8" t="s">
        <v>44</v>
      </c>
      <c r="I13" s="5" t="s">
        <v>45</v>
      </c>
      <c r="J13" s="16" t="s">
        <v>76</v>
      </c>
      <c r="K13" s="5" t="s">
        <v>55</v>
      </c>
      <c r="L13" s="5" t="s">
        <v>48</v>
      </c>
      <c r="M13" s="5" t="s">
        <v>48</v>
      </c>
      <c r="N13" s="5" t="s">
        <v>48</v>
      </c>
      <c r="O13" s="8" t="b">
        <v>0</v>
      </c>
      <c r="P13" s="5" t="s">
        <v>49</v>
      </c>
      <c r="Q13" s="14"/>
      <c r="R13" s="5" t="s">
        <v>49</v>
      </c>
      <c r="S13" s="15"/>
      <c r="T13" s="6" t="s">
        <v>99</v>
      </c>
      <c r="U13" s="17" t="b">
        <v>0</v>
      </c>
      <c r="V13" s="6"/>
    </row>
    <row r="14" spans="1:22" x14ac:dyDescent="0.25">
      <c r="A14" s="5">
        <v>4</v>
      </c>
      <c r="B14" s="8" t="str">
        <f ca="1">IF(ISBLANK(A14), "", VLOOKUP(A14, Studies!A:D, 4))</f>
        <v>rater2</v>
      </c>
      <c r="C14" s="6" t="s">
        <v>100</v>
      </c>
      <c r="D14" s="14" t="s">
        <v>101</v>
      </c>
      <c r="E14" s="6" t="s">
        <v>102</v>
      </c>
      <c r="F14" s="15" t="s">
        <v>103</v>
      </c>
      <c r="G14" s="6">
        <v>22</v>
      </c>
      <c r="H14" s="8" t="s">
        <v>44</v>
      </c>
      <c r="I14" s="5" t="s">
        <v>69</v>
      </c>
      <c r="J14" s="16"/>
      <c r="K14" s="5" t="s">
        <v>91</v>
      </c>
      <c r="L14" s="5" t="s">
        <v>91</v>
      </c>
      <c r="M14" s="5" t="s">
        <v>48</v>
      </c>
      <c r="N14" s="5" t="s">
        <v>47</v>
      </c>
      <c r="O14" s="8" t="b">
        <v>0</v>
      </c>
      <c r="P14" s="5" t="s">
        <v>49</v>
      </c>
      <c r="Q14" s="14"/>
      <c r="R14" s="5" t="s">
        <v>49</v>
      </c>
      <c r="S14" s="15"/>
      <c r="T14" s="6"/>
      <c r="U14" s="17" t="b">
        <v>0</v>
      </c>
      <c r="V14" s="6"/>
    </row>
    <row r="15" spans="1:22" x14ac:dyDescent="0.25">
      <c r="A15" s="5">
        <v>4</v>
      </c>
      <c r="B15" s="8" t="str">
        <f ca="1">IF(ISBLANK(A15), "", VLOOKUP(A15, Studies!A:D, 4))</f>
        <v>rater2</v>
      </c>
      <c r="C15" s="6" t="s">
        <v>100</v>
      </c>
      <c r="D15" s="14" t="s">
        <v>101</v>
      </c>
      <c r="E15" s="6" t="s">
        <v>102</v>
      </c>
      <c r="F15" s="15" t="s">
        <v>103</v>
      </c>
      <c r="G15" s="6">
        <v>24</v>
      </c>
      <c r="H15" s="8" t="s">
        <v>44</v>
      </c>
      <c r="I15" s="5" t="s">
        <v>69</v>
      </c>
      <c r="J15" s="16"/>
      <c r="K15" s="5" t="s">
        <v>91</v>
      </c>
      <c r="L15" s="5" t="s">
        <v>91</v>
      </c>
      <c r="M15" s="5" t="s">
        <v>48</v>
      </c>
      <c r="N15" s="5" t="s">
        <v>47</v>
      </c>
      <c r="O15" s="8" t="b">
        <v>0</v>
      </c>
      <c r="P15" s="5" t="s">
        <v>49</v>
      </c>
      <c r="Q15" s="14"/>
      <c r="R15" s="5" t="s">
        <v>49</v>
      </c>
      <c r="S15" s="15"/>
      <c r="T15" s="6"/>
      <c r="U15" s="17" t="b">
        <v>0</v>
      </c>
      <c r="V15" s="6"/>
    </row>
    <row r="16" spans="1:22" x14ac:dyDescent="0.25">
      <c r="A16" s="5">
        <v>4</v>
      </c>
      <c r="B16" s="8" t="str">
        <f ca="1">IF(ISBLANK(A16), "", VLOOKUP(A16, Studies!A:D, 4))</f>
        <v>rater2</v>
      </c>
      <c r="C16" s="6" t="s">
        <v>100</v>
      </c>
      <c r="D16" s="14" t="s">
        <v>101</v>
      </c>
      <c r="E16" s="6" t="s">
        <v>102</v>
      </c>
      <c r="F16" s="15" t="s">
        <v>103</v>
      </c>
      <c r="G16" s="6">
        <v>21</v>
      </c>
      <c r="H16" s="8" t="s">
        <v>44</v>
      </c>
      <c r="I16" s="5" t="s">
        <v>69</v>
      </c>
      <c r="J16" s="16"/>
      <c r="K16" s="5" t="s">
        <v>91</v>
      </c>
      <c r="L16" s="5" t="s">
        <v>91</v>
      </c>
      <c r="M16" s="5" t="s">
        <v>48</v>
      </c>
      <c r="N16" s="5" t="s">
        <v>47</v>
      </c>
      <c r="O16" s="8" t="b">
        <v>0</v>
      </c>
      <c r="P16" s="5" t="s">
        <v>49</v>
      </c>
      <c r="Q16" s="14"/>
      <c r="R16" s="5" t="s">
        <v>49</v>
      </c>
      <c r="S16" s="15"/>
      <c r="T16" s="6"/>
      <c r="U16" s="17" t="b">
        <v>0</v>
      </c>
      <c r="V16" s="6"/>
    </row>
    <row r="17" spans="1:22" x14ac:dyDescent="0.25">
      <c r="A17" s="5">
        <v>11</v>
      </c>
      <c r="B17" s="8" t="str">
        <f ca="1">IF(ISBLANK(A17), "", VLOOKUP(A17, Studies!A:D, 4))</f>
        <v>rater1</v>
      </c>
      <c r="C17" s="6" t="s">
        <v>104</v>
      </c>
      <c r="D17" s="14" t="s">
        <v>105</v>
      </c>
      <c r="E17" s="6" t="s">
        <v>106</v>
      </c>
      <c r="F17" s="15" t="s">
        <v>107</v>
      </c>
      <c r="G17" s="6">
        <v>20</v>
      </c>
      <c r="H17" s="8" t="s">
        <v>44</v>
      </c>
      <c r="I17" s="5" t="s">
        <v>45</v>
      </c>
      <c r="J17" s="16" t="s">
        <v>108</v>
      </c>
      <c r="K17" s="5" t="s">
        <v>64</v>
      </c>
      <c r="L17" s="5" t="s">
        <v>48</v>
      </c>
      <c r="M17" s="5" t="s">
        <v>55</v>
      </c>
      <c r="N17" s="5" t="s">
        <v>48</v>
      </c>
      <c r="O17" s="8" t="b">
        <v>0</v>
      </c>
      <c r="P17" s="5" t="s">
        <v>49</v>
      </c>
      <c r="Q17" s="14"/>
      <c r="R17" s="5" t="s">
        <v>49</v>
      </c>
      <c r="S17" s="15"/>
      <c r="T17" s="6" t="s">
        <v>109</v>
      </c>
      <c r="U17" s="17" t="b">
        <v>0</v>
      </c>
      <c r="V17" s="6"/>
    </row>
    <row r="18" spans="1:22" x14ac:dyDescent="0.25">
      <c r="A18" s="5">
        <v>24</v>
      </c>
      <c r="B18" s="8" t="str">
        <f ca="1">IF(ISBLANK(A18), "", VLOOKUP(A18, Studies!A:D, 4))</f>
        <v>rater1</v>
      </c>
      <c r="C18" s="6" t="s">
        <v>110</v>
      </c>
      <c r="D18" s="14" t="s">
        <v>111</v>
      </c>
      <c r="E18" s="6" t="s">
        <v>112</v>
      </c>
      <c r="F18" s="15" t="s">
        <v>113</v>
      </c>
      <c r="G18" s="6">
        <v>18</v>
      </c>
      <c r="H18" s="8" t="s">
        <v>81</v>
      </c>
      <c r="I18" s="5" t="s">
        <v>69</v>
      </c>
      <c r="J18" s="16"/>
      <c r="K18" s="5" t="s">
        <v>55</v>
      </c>
      <c r="L18" s="5" t="s">
        <v>48</v>
      </c>
      <c r="M18" s="5" t="s">
        <v>91</v>
      </c>
      <c r="N18" s="5" t="s">
        <v>48</v>
      </c>
      <c r="O18" s="8" t="b">
        <v>0</v>
      </c>
      <c r="P18" s="5" t="s">
        <v>49</v>
      </c>
      <c r="Q18" s="14"/>
      <c r="R18" s="5" t="s">
        <v>49</v>
      </c>
      <c r="S18" s="15"/>
      <c r="T18" s="6" t="s">
        <v>114</v>
      </c>
      <c r="U18" s="17"/>
      <c r="V18" s="6"/>
    </row>
    <row r="19" spans="1:22" x14ac:dyDescent="0.25">
      <c r="A19" s="5">
        <v>26</v>
      </c>
      <c r="B19" s="8" t="str">
        <f ca="1">IF(ISBLANK(A19), "", VLOOKUP(A19, Studies!A:D, 4))</f>
        <v>rater1</v>
      </c>
      <c r="C19" s="6" t="s">
        <v>115</v>
      </c>
      <c r="D19" s="14" t="s">
        <v>116</v>
      </c>
      <c r="E19" s="6" t="s">
        <v>117</v>
      </c>
      <c r="F19" s="15" t="s">
        <v>118</v>
      </c>
      <c r="G19" s="6">
        <v>16</v>
      </c>
      <c r="H19" s="8" t="s">
        <v>54</v>
      </c>
      <c r="I19" s="5" t="s">
        <v>45</v>
      </c>
      <c r="J19" s="16" t="s">
        <v>76</v>
      </c>
      <c r="K19" s="5" t="s">
        <v>48</v>
      </c>
      <c r="L19" s="5" t="s">
        <v>48</v>
      </c>
      <c r="M19" s="5" t="s">
        <v>48</v>
      </c>
      <c r="N19" s="5" t="s">
        <v>48</v>
      </c>
      <c r="O19" s="8" t="b">
        <v>0</v>
      </c>
      <c r="P19" s="5" t="s">
        <v>49</v>
      </c>
      <c r="Q19" s="14"/>
      <c r="R19" s="5" t="s">
        <v>49</v>
      </c>
      <c r="S19" s="15"/>
      <c r="T19" s="6" t="s">
        <v>119</v>
      </c>
      <c r="U19" s="17" t="b">
        <v>0</v>
      </c>
      <c r="V19" s="6"/>
    </row>
    <row r="20" spans="1:22" x14ac:dyDescent="0.25">
      <c r="A20" s="5">
        <v>31</v>
      </c>
      <c r="B20" s="8" t="str">
        <f ca="1">IF(ISBLANK(A20), "", VLOOKUP(A20, Studies!A:D, 4))</f>
        <v>rater1</v>
      </c>
      <c r="C20" s="6" t="s">
        <v>120</v>
      </c>
      <c r="D20" s="14" t="s">
        <v>121</v>
      </c>
      <c r="E20" s="6" t="s">
        <v>122</v>
      </c>
      <c r="F20" s="15" t="s">
        <v>123</v>
      </c>
      <c r="G20" s="6">
        <v>49</v>
      </c>
      <c r="H20" s="8" t="s">
        <v>44</v>
      </c>
      <c r="I20" s="5" t="s">
        <v>69</v>
      </c>
      <c r="J20" s="16"/>
      <c r="K20" s="5" t="s">
        <v>48</v>
      </c>
      <c r="L20" s="5" t="s">
        <v>48</v>
      </c>
      <c r="M20" s="5" t="s">
        <v>91</v>
      </c>
      <c r="N20" s="5" t="s">
        <v>55</v>
      </c>
      <c r="O20" s="8" t="b">
        <v>0</v>
      </c>
      <c r="P20" s="5" t="s">
        <v>83</v>
      </c>
      <c r="Q20" s="20" t="s">
        <v>124</v>
      </c>
      <c r="R20" s="5" t="s">
        <v>49</v>
      </c>
      <c r="S20" s="15"/>
      <c r="T20" s="6" t="s">
        <v>125</v>
      </c>
      <c r="U20" s="17" t="b">
        <v>0</v>
      </c>
      <c r="V20" s="6"/>
    </row>
    <row r="21" spans="1:22" x14ac:dyDescent="0.25">
      <c r="A21" s="5">
        <v>31</v>
      </c>
      <c r="B21" s="8" t="str">
        <f ca="1">IF(ISBLANK(A21), "", VLOOKUP(A21, Studies!A:D, 4))</f>
        <v>rater1</v>
      </c>
      <c r="C21" s="6" t="s">
        <v>120</v>
      </c>
      <c r="D21" s="14" t="s">
        <v>121</v>
      </c>
      <c r="E21" s="6" t="s">
        <v>122</v>
      </c>
      <c r="F21" s="15" t="s">
        <v>123</v>
      </c>
      <c r="G21" s="6">
        <v>19</v>
      </c>
      <c r="H21" s="8" t="s">
        <v>44</v>
      </c>
      <c r="I21" s="5" t="s">
        <v>69</v>
      </c>
      <c r="J21" s="16"/>
      <c r="K21" s="5" t="s">
        <v>48</v>
      </c>
      <c r="L21" s="5" t="s">
        <v>48</v>
      </c>
      <c r="M21" s="5" t="s">
        <v>91</v>
      </c>
      <c r="N21" s="5" t="s">
        <v>55</v>
      </c>
      <c r="O21" s="8" t="b">
        <v>0</v>
      </c>
      <c r="P21" s="5" t="s">
        <v>83</v>
      </c>
      <c r="Q21" s="18" t="s">
        <v>124</v>
      </c>
      <c r="R21" s="5" t="s">
        <v>49</v>
      </c>
      <c r="S21" s="15"/>
      <c r="T21" s="6"/>
      <c r="U21" s="17" t="b">
        <v>0</v>
      </c>
      <c r="V21" s="6"/>
    </row>
    <row r="22" spans="1:22" x14ac:dyDescent="0.25">
      <c r="A22" s="5">
        <v>31</v>
      </c>
      <c r="B22" s="8" t="str">
        <f ca="1">IF(ISBLANK(A22), "", VLOOKUP(A22, Studies!A:D, 4))</f>
        <v>rater1</v>
      </c>
      <c r="C22" s="6" t="s">
        <v>120</v>
      </c>
      <c r="D22" s="14" t="s">
        <v>121</v>
      </c>
      <c r="E22" s="6" t="s">
        <v>122</v>
      </c>
      <c r="F22" s="15" t="s">
        <v>123</v>
      </c>
      <c r="G22" s="6">
        <v>16</v>
      </c>
      <c r="H22" s="8" t="s">
        <v>44</v>
      </c>
      <c r="I22" s="5" t="s">
        <v>69</v>
      </c>
      <c r="J22" s="16"/>
      <c r="K22" s="5" t="s">
        <v>48</v>
      </c>
      <c r="L22" s="5" t="s">
        <v>48</v>
      </c>
      <c r="M22" s="5" t="s">
        <v>91</v>
      </c>
      <c r="N22" s="5" t="s">
        <v>55</v>
      </c>
      <c r="O22" s="8" t="b">
        <v>0</v>
      </c>
      <c r="P22" s="5" t="s">
        <v>83</v>
      </c>
      <c r="Q22" s="18" t="s">
        <v>124</v>
      </c>
      <c r="R22" s="5" t="s">
        <v>49</v>
      </c>
      <c r="S22" s="15"/>
      <c r="T22" s="6"/>
      <c r="U22" s="17" t="b">
        <v>0</v>
      </c>
      <c r="V22" s="6"/>
    </row>
    <row r="23" spans="1:22" x14ac:dyDescent="0.25">
      <c r="A23" s="5">
        <v>31</v>
      </c>
      <c r="B23" s="8" t="str">
        <f ca="1">IF(ISBLANK(A23), "", VLOOKUP(A23, Studies!A:D, 4))</f>
        <v>rater1</v>
      </c>
      <c r="C23" s="6" t="s">
        <v>120</v>
      </c>
      <c r="D23" s="14" t="s">
        <v>121</v>
      </c>
      <c r="E23" s="6" t="s">
        <v>122</v>
      </c>
      <c r="F23" s="15" t="s">
        <v>123</v>
      </c>
      <c r="G23" s="6">
        <v>16</v>
      </c>
      <c r="H23" s="8" t="s">
        <v>126</v>
      </c>
      <c r="I23" s="5" t="s">
        <v>69</v>
      </c>
      <c r="J23" s="16"/>
      <c r="K23" s="5" t="s">
        <v>48</v>
      </c>
      <c r="L23" s="5" t="s">
        <v>48</v>
      </c>
      <c r="M23" s="5" t="s">
        <v>91</v>
      </c>
      <c r="N23" s="5" t="s">
        <v>55</v>
      </c>
      <c r="O23" s="8" t="b">
        <v>0</v>
      </c>
      <c r="P23" s="5" t="s">
        <v>83</v>
      </c>
      <c r="Q23" s="20" t="s">
        <v>124</v>
      </c>
      <c r="R23" s="5" t="s">
        <v>49</v>
      </c>
      <c r="S23" s="15"/>
      <c r="T23" s="6"/>
      <c r="U23" s="17" t="b">
        <v>0</v>
      </c>
      <c r="V23" s="6"/>
    </row>
    <row r="24" spans="1:22" x14ac:dyDescent="0.25">
      <c r="A24" s="5">
        <v>44</v>
      </c>
      <c r="B24" s="8" t="str">
        <f ca="1">IF(ISBLANK(A24), "", VLOOKUP(A24, Studies!A:D, 4))</f>
        <v>rater1</v>
      </c>
      <c r="C24" s="6" t="s">
        <v>127</v>
      </c>
      <c r="D24" s="14" t="s">
        <v>128</v>
      </c>
      <c r="E24" s="6" t="s">
        <v>129</v>
      </c>
      <c r="F24" s="15" t="s">
        <v>130</v>
      </c>
      <c r="G24" s="6">
        <v>32</v>
      </c>
      <c r="H24" s="8" t="s">
        <v>54</v>
      </c>
      <c r="I24" s="5" t="s">
        <v>45</v>
      </c>
      <c r="J24" s="16" t="s">
        <v>76</v>
      </c>
      <c r="K24" s="5" t="s">
        <v>48</v>
      </c>
      <c r="L24" s="5" t="s">
        <v>48</v>
      </c>
      <c r="M24" s="5" t="s">
        <v>48</v>
      </c>
      <c r="N24" s="5" t="s">
        <v>55</v>
      </c>
      <c r="O24" s="8" t="b">
        <v>0</v>
      </c>
      <c r="P24" s="5" t="s">
        <v>83</v>
      </c>
      <c r="Q24" s="18" t="s">
        <v>131</v>
      </c>
      <c r="R24" s="5" t="s">
        <v>49</v>
      </c>
      <c r="S24" s="15"/>
      <c r="T24" s="6"/>
      <c r="U24" s="17" t="b">
        <v>0</v>
      </c>
      <c r="V24" s="6"/>
    </row>
    <row r="25" spans="1:22" x14ac:dyDescent="0.25">
      <c r="A25" s="5">
        <v>50</v>
      </c>
      <c r="B25" s="8" t="str">
        <f ca="1">IF(ISBLANK(A25), "", VLOOKUP(A25, Studies!A:D, 4))</f>
        <v>rater1</v>
      </c>
      <c r="C25" s="6" t="s">
        <v>132</v>
      </c>
      <c r="D25" s="14" t="s">
        <v>133</v>
      </c>
      <c r="E25" s="6" t="s">
        <v>134</v>
      </c>
      <c r="F25" s="15" t="s">
        <v>135</v>
      </c>
      <c r="G25" s="6">
        <v>28</v>
      </c>
      <c r="H25" s="8" t="s">
        <v>81</v>
      </c>
      <c r="I25" s="5" t="s">
        <v>69</v>
      </c>
      <c r="J25" s="16"/>
      <c r="K25" s="5" t="s">
        <v>91</v>
      </c>
      <c r="L25" s="5" t="s">
        <v>91</v>
      </c>
      <c r="M25" s="5" t="s">
        <v>91</v>
      </c>
      <c r="N25" s="5" t="s">
        <v>48</v>
      </c>
      <c r="O25" s="8" t="b">
        <v>0</v>
      </c>
      <c r="P25" s="5" t="s">
        <v>83</v>
      </c>
      <c r="Q25" s="18" t="s">
        <v>136</v>
      </c>
      <c r="R25" s="5" t="s">
        <v>83</v>
      </c>
      <c r="S25" s="19" t="s">
        <v>136</v>
      </c>
      <c r="T25" s="6" t="s">
        <v>137</v>
      </c>
      <c r="U25" s="17" t="b">
        <v>0</v>
      </c>
      <c r="V25" s="6"/>
    </row>
    <row r="26" spans="1:22" x14ac:dyDescent="0.25">
      <c r="A26" s="5">
        <v>50</v>
      </c>
      <c r="B26" s="8" t="str">
        <f ca="1">IF(ISBLANK(A26), "", VLOOKUP(A26, Studies!A:D, 4))</f>
        <v>rater1</v>
      </c>
      <c r="C26" s="6" t="s">
        <v>132</v>
      </c>
      <c r="D26" s="14" t="s">
        <v>133</v>
      </c>
      <c r="E26" s="6" t="s">
        <v>134</v>
      </c>
      <c r="F26" s="15" t="s">
        <v>135</v>
      </c>
      <c r="G26" s="6">
        <v>51</v>
      </c>
      <c r="H26" s="8" t="s">
        <v>81</v>
      </c>
      <c r="I26" s="5" t="s">
        <v>69</v>
      </c>
      <c r="J26" s="16"/>
      <c r="K26" s="5" t="s">
        <v>91</v>
      </c>
      <c r="L26" s="5" t="s">
        <v>91</v>
      </c>
      <c r="M26" s="5" t="s">
        <v>91</v>
      </c>
      <c r="N26" s="5" t="s">
        <v>48</v>
      </c>
      <c r="O26" s="8" t="b">
        <v>0</v>
      </c>
      <c r="P26" s="5" t="s">
        <v>83</v>
      </c>
      <c r="Q26" s="18" t="s">
        <v>136</v>
      </c>
      <c r="R26" s="5" t="s">
        <v>83</v>
      </c>
      <c r="S26" s="21" t="s">
        <v>136</v>
      </c>
      <c r="T26" s="6" t="s">
        <v>138</v>
      </c>
      <c r="U26" s="17" t="b">
        <v>0</v>
      </c>
      <c r="V26" s="6"/>
    </row>
    <row r="27" spans="1:22" x14ac:dyDescent="0.25">
      <c r="A27" s="5">
        <v>54</v>
      </c>
      <c r="B27" s="8" t="str">
        <f ca="1">IF(ISBLANK(A27), "", VLOOKUP(A27, Studies!A:D, 4))</f>
        <v>rater1</v>
      </c>
      <c r="C27" s="6" t="s">
        <v>139</v>
      </c>
      <c r="D27" s="14" t="s">
        <v>140</v>
      </c>
      <c r="E27" s="6" t="s">
        <v>141</v>
      </c>
      <c r="F27" s="15" t="s">
        <v>142</v>
      </c>
      <c r="G27" s="6">
        <v>44</v>
      </c>
      <c r="H27" s="8" t="s">
        <v>44</v>
      </c>
      <c r="I27" s="5" t="s">
        <v>69</v>
      </c>
      <c r="J27" s="16"/>
      <c r="K27" s="5" t="s">
        <v>91</v>
      </c>
      <c r="L27" s="5" t="s">
        <v>91</v>
      </c>
      <c r="M27" s="5" t="s">
        <v>91</v>
      </c>
      <c r="N27" s="5" t="s">
        <v>55</v>
      </c>
      <c r="O27" s="8" t="b">
        <v>0</v>
      </c>
      <c r="P27" s="5" t="s">
        <v>83</v>
      </c>
      <c r="Q27" s="18" t="s">
        <v>143</v>
      </c>
      <c r="R27" s="5" t="s">
        <v>49</v>
      </c>
      <c r="S27" s="15"/>
      <c r="T27" s="6" t="s">
        <v>144</v>
      </c>
      <c r="U27" s="17" t="b">
        <v>0</v>
      </c>
      <c r="V27" s="6"/>
    </row>
    <row r="28" spans="1:22" x14ac:dyDescent="0.25">
      <c r="A28" s="5">
        <v>56</v>
      </c>
      <c r="B28" s="8" t="str">
        <f ca="1">IF(ISBLANK(A28), "", VLOOKUP(A28, Studies!A:D, 4))</f>
        <v>rater1</v>
      </c>
      <c r="C28" s="6" t="s">
        <v>145</v>
      </c>
      <c r="D28" s="14" t="s">
        <v>146</v>
      </c>
      <c r="E28" s="6" t="s">
        <v>147</v>
      </c>
      <c r="F28" s="15" t="s">
        <v>148</v>
      </c>
      <c r="G28" s="6">
        <v>20</v>
      </c>
      <c r="H28" s="8" t="s">
        <v>54</v>
      </c>
      <c r="I28" s="5" t="s">
        <v>45</v>
      </c>
      <c r="J28" s="16" t="s">
        <v>108</v>
      </c>
      <c r="K28" s="5" t="s">
        <v>47</v>
      </c>
      <c r="L28" s="5" t="s">
        <v>64</v>
      </c>
      <c r="M28" s="5" t="s">
        <v>48</v>
      </c>
      <c r="N28" s="5" t="s">
        <v>47</v>
      </c>
      <c r="O28" s="8" t="b">
        <v>0</v>
      </c>
      <c r="P28" s="5" t="s">
        <v>56</v>
      </c>
      <c r="Q28" s="20" t="s">
        <v>149</v>
      </c>
      <c r="R28" s="5" t="s">
        <v>56</v>
      </c>
      <c r="S28" s="19" t="s">
        <v>149</v>
      </c>
      <c r="T28" s="6"/>
      <c r="U28" s="17" t="b">
        <v>0</v>
      </c>
      <c r="V28" s="6"/>
    </row>
    <row r="29" spans="1:22" x14ac:dyDescent="0.25">
      <c r="A29" s="5">
        <v>61</v>
      </c>
      <c r="B29" s="8" t="str">
        <f ca="1">IF(ISBLANK(A29), "", VLOOKUP(A29, Studies!A:D, 4))</f>
        <v>rater1</v>
      </c>
      <c r="C29" s="6" t="s">
        <v>39</v>
      </c>
      <c r="D29" s="14" t="s">
        <v>150</v>
      </c>
      <c r="E29" s="6" t="s">
        <v>151</v>
      </c>
      <c r="F29" s="15" t="s">
        <v>152</v>
      </c>
      <c r="G29" s="6">
        <v>65</v>
      </c>
      <c r="H29" s="8" t="s">
        <v>44</v>
      </c>
      <c r="I29" s="5" t="s">
        <v>45</v>
      </c>
      <c r="J29" s="16" t="s">
        <v>46</v>
      </c>
      <c r="K29" s="5" t="s">
        <v>47</v>
      </c>
      <c r="L29" s="5" t="s">
        <v>48</v>
      </c>
      <c r="M29" s="5" t="s">
        <v>48</v>
      </c>
      <c r="N29" s="5" t="s">
        <v>55</v>
      </c>
      <c r="O29" s="8" t="b">
        <v>0</v>
      </c>
      <c r="P29" s="5" t="s">
        <v>92</v>
      </c>
      <c r="Q29" s="18" t="s">
        <v>153</v>
      </c>
      <c r="R29" s="5" t="s">
        <v>92</v>
      </c>
      <c r="S29" s="21" t="s">
        <v>153</v>
      </c>
      <c r="T29" s="6"/>
      <c r="U29" s="17" t="b">
        <v>0</v>
      </c>
      <c r="V29" s="6"/>
    </row>
    <row r="30" spans="1:22" x14ac:dyDescent="0.25">
      <c r="A30" s="5">
        <v>73</v>
      </c>
      <c r="B30" s="8" t="str">
        <f ca="1">IF(ISBLANK(A30), "", VLOOKUP(A30, Studies!A:D, 4))</f>
        <v>rater1</v>
      </c>
      <c r="C30" s="6" t="s">
        <v>154</v>
      </c>
      <c r="D30" s="14" t="s">
        <v>155</v>
      </c>
      <c r="E30" s="6" t="s">
        <v>156</v>
      </c>
      <c r="F30" s="15" t="s">
        <v>157</v>
      </c>
      <c r="G30" s="6">
        <v>24</v>
      </c>
      <c r="H30" s="8" t="s">
        <v>44</v>
      </c>
      <c r="I30" s="5" t="s">
        <v>45</v>
      </c>
      <c r="J30" s="16" t="s">
        <v>108</v>
      </c>
      <c r="K30" s="5" t="s">
        <v>55</v>
      </c>
      <c r="L30" s="5" t="s">
        <v>47</v>
      </c>
      <c r="M30" s="5" t="s">
        <v>48</v>
      </c>
      <c r="N30" s="5" t="s">
        <v>48</v>
      </c>
      <c r="O30" s="8" t="b">
        <v>0</v>
      </c>
      <c r="P30" s="5" t="s">
        <v>83</v>
      </c>
      <c r="Q30" s="18" t="s">
        <v>158</v>
      </c>
      <c r="R30" s="5" t="s">
        <v>49</v>
      </c>
      <c r="S30" s="15"/>
      <c r="T30" s="6"/>
      <c r="U30" s="17" t="b">
        <v>0</v>
      </c>
      <c r="V30" s="6"/>
    </row>
    <row r="31" spans="1:22" x14ac:dyDescent="0.25">
      <c r="A31" s="5">
        <v>81</v>
      </c>
      <c r="B31" s="8" t="str">
        <f ca="1">IF(ISBLANK(A31), "", VLOOKUP(A31, Studies!A:D, 4))</f>
        <v>rater1</v>
      </c>
      <c r="C31" s="6" t="s">
        <v>159</v>
      </c>
      <c r="D31" s="14" t="s">
        <v>160</v>
      </c>
      <c r="E31" s="6" t="s">
        <v>161</v>
      </c>
      <c r="F31" s="15" t="s">
        <v>162</v>
      </c>
      <c r="G31" s="6">
        <v>20</v>
      </c>
      <c r="H31" s="8" t="s">
        <v>81</v>
      </c>
      <c r="I31" s="5" t="s">
        <v>69</v>
      </c>
      <c r="J31" s="16"/>
      <c r="K31" s="5" t="s">
        <v>91</v>
      </c>
      <c r="L31" s="5" t="s">
        <v>91</v>
      </c>
      <c r="M31" s="5" t="s">
        <v>91</v>
      </c>
      <c r="N31" s="5" t="s">
        <v>55</v>
      </c>
      <c r="O31" s="8" t="b">
        <v>0</v>
      </c>
      <c r="P31" s="5" t="s">
        <v>56</v>
      </c>
      <c r="Q31" s="20" t="s">
        <v>163</v>
      </c>
      <c r="R31" s="5" t="s">
        <v>49</v>
      </c>
      <c r="S31" s="15"/>
      <c r="T31" s="6" t="s">
        <v>164</v>
      </c>
      <c r="U31" s="17" t="b">
        <v>0</v>
      </c>
      <c r="V31" s="6"/>
    </row>
    <row r="32" spans="1:22" x14ac:dyDescent="0.25">
      <c r="A32" s="5">
        <v>86</v>
      </c>
      <c r="B32" s="8" t="str">
        <f ca="1">IF(ISBLANK(A32), "", VLOOKUP(A32, Studies!A:D, 4))</f>
        <v>rater1</v>
      </c>
      <c r="C32" s="6" t="s">
        <v>165</v>
      </c>
      <c r="D32" s="14" t="s">
        <v>166</v>
      </c>
      <c r="E32" s="6" t="s">
        <v>167</v>
      </c>
      <c r="F32" s="15" t="s">
        <v>168</v>
      </c>
      <c r="G32" s="6">
        <v>34</v>
      </c>
      <c r="H32" s="8" t="s">
        <v>44</v>
      </c>
      <c r="I32" s="5" t="s">
        <v>81</v>
      </c>
      <c r="J32" s="16"/>
      <c r="K32" s="5" t="s">
        <v>48</v>
      </c>
      <c r="L32" s="5" t="s">
        <v>64</v>
      </c>
      <c r="M32" s="5" t="s">
        <v>48</v>
      </c>
      <c r="N32" s="5" t="s">
        <v>64</v>
      </c>
      <c r="O32" s="8" t="b">
        <v>0</v>
      </c>
      <c r="P32" s="5" t="s">
        <v>49</v>
      </c>
      <c r="Q32" s="14"/>
      <c r="R32" s="5" t="s">
        <v>49</v>
      </c>
      <c r="S32" s="15"/>
      <c r="T32" s="6" t="s">
        <v>169</v>
      </c>
      <c r="U32" s="17" t="b">
        <v>1</v>
      </c>
      <c r="V32" s="6" t="s">
        <v>170</v>
      </c>
    </row>
    <row r="33" spans="1:22" x14ac:dyDescent="0.25">
      <c r="A33" s="5">
        <v>92</v>
      </c>
      <c r="B33" s="8" t="str">
        <f ca="1">IF(ISBLANK(A33), "", VLOOKUP(A33, Studies!A:D, 4))</f>
        <v>rater1</v>
      </c>
      <c r="C33" s="6" t="s">
        <v>171</v>
      </c>
      <c r="D33" s="14" t="s">
        <v>172</v>
      </c>
      <c r="E33" s="6" t="s">
        <v>173</v>
      </c>
      <c r="F33" s="15" t="s">
        <v>174</v>
      </c>
      <c r="G33" s="6">
        <v>17</v>
      </c>
      <c r="H33" s="8" t="s">
        <v>44</v>
      </c>
      <c r="I33" s="5" t="s">
        <v>69</v>
      </c>
      <c r="J33" s="16"/>
      <c r="K33" s="5" t="s">
        <v>91</v>
      </c>
      <c r="L33" s="5" t="s">
        <v>91</v>
      </c>
      <c r="M33" s="5" t="s">
        <v>91</v>
      </c>
      <c r="N33" s="5" t="s">
        <v>47</v>
      </c>
      <c r="O33" s="8" t="b">
        <v>0</v>
      </c>
      <c r="P33" s="5" t="s">
        <v>83</v>
      </c>
      <c r="Q33" s="20" t="s">
        <v>175</v>
      </c>
      <c r="R33" s="5" t="s">
        <v>49</v>
      </c>
      <c r="S33" s="15"/>
      <c r="T33" s="6" t="s">
        <v>176</v>
      </c>
      <c r="U33" s="17" t="b">
        <v>1</v>
      </c>
      <c r="V33" s="6" t="s">
        <v>177</v>
      </c>
    </row>
    <row r="34" spans="1:22" x14ac:dyDescent="0.25">
      <c r="A34" s="5">
        <v>96</v>
      </c>
      <c r="B34" s="8" t="str">
        <f ca="1">IF(ISBLANK(A34), "", VLOOKUP(A34, Studies!A:D, 4))</f>
        <v>rater1</v>
      </c>
      <c r="C34" s="6" t="s">
        <v>104</v>
      </c>
      <c r="D34" s="14" t="s">
        <v>105</v>
      </c>
      <c r="E34" s="6" t="s">
        <v>178</v>
      </c>
      <c r="F34" s="15" t="s">
        <v>107</v>
      </c>
      <c r="G34" s="6">
        <v>16</v>
      </c>
      <c r="H34" s="8" t="s">
        <v>44</v>
      </c>
      <c r="I34" s="5" t="s">
        <v>45</v>
      </c>
      <c r="J34" s="16" t="s">
        <v>76</v>
      </c>
      <c r="K34" s="5" t="s">
        <v>55</v>
      </c>
      <c r="L34" s="5" t="s">
        <v>48</v>
      </c>
      <c r="M34" s="5" t="s">
        <v>48</v>
      </c>
      <c r="N34" s="5" t="s">
        <v>48</v>
      </c>
      <c r="O34" s="8" t="b">
        <v>0</v>
      </c>
      <c r="P34" s="5" t="s">
        <v>49</v>
      </c>
      <c r="Q34" s="14"/>
      <c r="R34" s="5" t="s">
        <v>49</v>
      </c>
      <c r="S34" s="15"/>
      <c r="T34" s="6"/>
      <c r="U34" s="17" t="b">
        <v>0</v>
      </c>
      <c r="V34" s="6"/>
    </row>
    <row r="35" spans="1:22" x14ac:dyDescent="0.25">
      <c r="A35" s="5">
        <v>97</v>
      </c>
      <c r="B35" s="8" t="str">
        <f ca="1">IF(ISBLANK(A35), "", VLOOKUP(A35, Studies!A:D, 4))</f>
        <v>rater1</v>
      </c>
      <c r="C35" s="6" t="s">
        <v>179</v>
      </c>
      <c r="D35" s="14" t="s">
        <v>180</v>
      </c>
      <c r="E35" s="6" t="s">
        <v>181</v>
      </c>
      <c r="F35" s="15" t="s">
        <v>182</v>
      </c>
      <c r="G35" s="6">
        <v>4</v>
      </c>
      <c r="H35" s="8" t="s">
        <v>44</v>
      </c>
      <c r="I35" s="5" t="s">
        <v>45</v>
      </c>
      <c r="J35" s="16" t="s">
        <v>183</v>
      </c>
      <c r="K35" s="5" t="s">
        <v>48</v>
      </c>
      <c r="L35" s="5" t="s">
        <v>55</v>
      </c>
      <c r="M35" s="5" t="s">
        <v>48</v>
      </c>
      <c r="N35" s="5" t="s">
        <v>55</v>
      </c>
      <c r="O35" s="8" t="b">
        <v>0</v>
      </c>
      <c r="P35" s="5" t="s">
        <v>49</v>
      </c>
      <c r="Q35" s="14"/>
      <c r="R35" s="5" t="s">
        <v>49</v>
      </c>
      <c r="S35" s="15"/>
      <c r="T35" s="6"/>
      <c r="U35" s="17" t="b">
        <v>0</v>
      </c>
      <c r="V35" s="6"/>
    </row>
    <row r="36" spans="1:22" x14ac:dyDescent="0.25">
      <c r="A36" s="5">
        <v>99</v>
      </c>
      <c r="B36" s="8" t="str">
        <f ca="1">IF(ISBLANK(A36), "", VLOOKUP(A36, Studies!A:D, 4))</f>
        <v>rater1</v>
      </c>
      <c r="C36" s="6" t="s">
        <v>184</v>
      </c>
      <c r="D36" s="14" t="s">
        <v>185</v>
      </c>
      <c r="E36" s="6" t="s">
        <v>186</v>
      </c>
      <c r="F36" s="15" t="s">
        <v>187</v>
      </c>
      <c r="G36" s="6">
        <v>14</v>
      </c>
      <c r="H36" s="8" t="s">
        <v>54</v>
      </c>
      <c r="I36" s="5" t="s">
        <v>69</v>
      </c>
      <c r="J36" s="16"/>
      <c r="K36" s="5" t="s">
        <v>48</v>
      </c>
      <c r="L36" s="5" t="s">
        <v>91</v>
      </c>
      <c r="M36" s="5" t="s">
        <v>55</v>
      </c>
      <c r="N36" s="5" t="s">
        <v>48</v>
      </c>
      <c r="O36" s="8" t="b">
        <v>0</v>
      </c>
      <c r="P36" s="5" t="s">
        <v>188</v>
      </c>
      <c r="Q36" s="20" t="s">
        <v>189</v>
      </c>
      <c r="R36" s="5" t="s">
        <v>49</v>
      </c>
      <c r="S36" s="15"/>
      <c r="T36" s="6"/>
      <c r="U36" s="17" t="b">
        <v>0</v>
      </c>
      <c r="V36" s="6"/>
    </row>
    <row r="37" spans="1:22" x14ac:dyDescent="0.25">
      <c r="A37" s="5">
        <v>100</v>
      </c>
      <c r="B37" s="8" t="str">
        <f ca="1">IF(ISBLANK(A37), "", VLOOKUP(A37, Studies!A:D, 4))</f>
        <v>rater1</v>
      </c>
      <c r="C37" s="6" t="s">
        <v>190</v>
      </c>
      <c r="D37" s="14" t="s">
        <v>191</v>
      </c>
      <c r="E37" s="6" t="s">
        <v>192</v>
      </c>
      <c r="F37" s="15" t="s">
        <v>193</v>
      </c>
      <c r="G37" s="6">
        <v>18</v>
      </c>
      <c r="H37" s="8" t="s">
        <v>44</v>
      </c>
      <c r="I37" s="5" t="s">
        <v>45</v>
      </c>
      <c r="J37" s="16" t="s">
        <v>194</v>
      </c>
      <c r="K37" s="5" t="s">
        <v>48</v>
      </c>
      <c r="L37" s="5" t="s">
        <v>91</v>
      </c>
      <c r="M37" s="5" t="s">
        <v>48</v>
      </c>
      <c r="N37" s="5" t="s">
        <v>48</v>
      </c>
      <c r="O37" s="8" t="b">
        <v>0</v>
      </c>
      <c r="P37" s="5" t="s">
        <v>49</v>
      </c>
      <c r="Q37" s="14"/>
      <c r="R37" s="5" t="s">
        <v>49</v>
      </c>
      <c r="S37" s="15"/>
      <c r="T37" s="6" t="s">
        <v>195</v>
      </c>
      <c r="U37" s="17" t="b">
        <v>1</v>
      </c>
      <c r="V37" s="6" t="s">
        <v>196</v>
      </c>
    </row>
    <row r="38" spans="1:22" x14ac:dyDescent="0.25">
      <c r="A38" s="5">
        <v>109</v>
      </c>
      <c r="B38" s="8" t="str">
        <f ca="1">IF(ISBLANK(A38), "", VLOOKUP(A38, Studies!A:D, 4))</f>
        <v>rater1</v>
      </c>
      <c r="C38" s="6" t="s">
        <v>197</v>
      </c>
      <c r="D38" s="14" t="s">
        <v>198</v>
      </c>
      <c r="E38" s="6" t="s">
        <v>199</v>
      </c>
      <c r="F38" s="15" t="s">
        <v>200</v>
      </c>
      <c r="G38" s="6">
        <v>24</v>
      </c>
      <c r="H38" s="8" t="s">
        <v>44</v>
      </c>
      <c r="I38" s="5" t="s">
        <v>69</v>
      </c>
      <c r="J38" s="16"/>
      <c r="K38" s="5" t="s">
        <v>55</v>
      </c>
      <c r="L38" s="5" t="s">
        <v>48</v>
      </c>
      <c r="M38" s="5" t="s">
        <v>48</v>
      </c>
      <c r="N38" s="5" t="s">
        <v>55</v>
      </c>
      <c r="O38" s="8" t="b">
        <v>0</v>
      </c>
      <c r="P38" s="5" t="s">
        <v>49</v>
      </c>
      <c r="Q38" s="14"/>
      <c r="R38" s="5" t="s">
        <v>49</v>
      </c>
      <c r="S38" s="15"/>
      <c r="T38" s="6"/>
      <c r="U38" s="17" t="b">
        <v>0</v>
      </c>
      <c r="V38" s="6"/>
    </row>
    <row r="39" spans="1:22" x14ac:dyDescent="0.25">
      <c r="A39" s="5">
        <v>109</v>
      </c>
      <c r="B39" s="8" t="str">
        <f ca="1">IF(ISBLANK(A39), "", VLOOKUP(A39, Studies!A:D, 4))</f>
        <v>rater1</v>
      </c>
      <c r="C39" s="6" t="s">
        <v>197</v>
      </c>
      <c r="D39" s="14" t="s">
        <v>198</v>
      </c>
      <c r="E39" s="6" t="s">
        <v>199</v>
      </c>
      <c r="F39" s="15" t="s">
        <v>200</v>
      </c>
      <c r="G39" s="6">
        <v>8</v>
      </c>
      <c r="H39" s="8" t="s">
        <v>201</v>
      </c>
      <c r="I39" s="5" t="s">
        <v>69</v>
      </c>
      <c r="J39" s="16"/>
      <c r="K39" s="5" t="s">
        <v>55</v>
      </c>
      <c r="L39" s="5" t="s">
        <v>48</v>
      </c>
      <c r="M39" s="5" t="s">
        <v>48</v>
      </c>
      <c r="N39" s="5" t="s">
        <v>55</v>
      </c>
      <c r="O39" s="8" t="b">
        <v>0</v>
      </c>
      <c r="P39" s="5" t="s">
        <v>49</v>
      </c>
      <c r="Q39" s="14"/>
      <c r="R39" s="5" t="s">
        <v>49</v>
      </c>
      <c r="S39" s="15"/>
      <c r="T39" s="6"/>
      <c r="U39" s="17" t="b">
        <v>0</v>
      </c>
      <c r="V39" s="6"/>
    </row>
    <row r="40" spans="1:22" x14ac:dyDescent="0.25">
      <c r="A40" s="5">
        <v>10</v>
      </c>
      <c r="B40" s="8" t="str">
        <f ca="1">IF(ISBLANK(A40), "", VLOOKUP(A40, Studies!A:D, 4))</f>
        <v>rater2</v>
      </c>
      <c r="C40" s="6" t="s">
        <v>202</v>
      </c>
      <c r="D40" s="14" t="s">
        <v>203</v>
      </c>
      <c r="E40" s="6" t="s">
        <v>204</v>
      </c>
      <c r="F40" s="15" t="s">
        <v>205</v>
      </c>
      <c r="G40" s="6">
        <v>59</v>
      </c>
      <c r="H40" s="8" t="s">
        <v>206</v>
      </c>
      <c r="I40" s="5" t="s">
        <v>69</v>
      </c>
      <c r="J40" s="16"/>
      <c r="K40" s="5" t="s">
        <v>91</v>
      </c>
      <c r="L40" s="5" t="s">
        <v>48</v>
      </c>
      <c r="M40" s="5" t="s">
        <v>47</v>
      </c>
      <c r="N40" s="5" t="s">
        <v>48</v>
      </c>
      <c r="O40" s="8" t="b">
        <v>0</v>
      </c>
      <c r="P40" s="5" t="s">
        <v>49</v>
      </c>
      <c r="Q40" s="14"/>
      <c r="R40" s="5" t="s">
        <v>49</v>
      </c>
      <c r="S40" s="15"/>
      <c r="T40" s="6"/>
      <c r="U40" s="17" t="b">
        <v>0</v>
      </c>
      <c r="V40" s="6"/>
    </row>
    <row r="41" spans="1:22" x14ac:dyDescent="0.25">
      <c r="A41" s="5">
        <v>10</v>
      </c>
      <c r="B41" s="8" t="str">
        <f ca="1">IF(ISBLANK(A41), "", VLOOKUP(A41, Studies!A:D, 4))</f>
        <v>rater2</v>
      </c>
      <c r="C41" s="6" t="s">
        <v>202</v>
      </c>
      <c r="D41" s="14" t="s">
        <v>203</v>
      </c>
      <c r="E41" s="6" t="s">
        <v>204</v>
      </c>
      <c r="F41" s="15" t="s">
        <v>205</v>
      </c>
      <c r="G41" s="6">
        <v>79</v>
      </c>
      <c r="H41" s="8" t="s">
        <v>206</v>
      </c>
      <c r="I41" s="5" t="s">
        <v>69</v>
      </c>
      <c r="J41" s="16"/>
      <c r="K41" s="5" t="s">
        <v>91</v>
      </c>
      <c r="L41" s="5" t="s">
        <v>48</v>
      </c>
      <c r="M41" s="5" t="s">
        <v>47</v>
      </c>
      <c r="N41" s="5" t="s">
        <v>48</v>
      </c>
      <c r="O41" s="8" t="b">
        <v>0</v>
      </c>
      <c r="P41" s="5" t="s">
        <v>49</v>
      </c>
      <c r="Q41" s="14"/>
      <c r="R41" s="5" t="s">
        <v>49</v>
      </c>
      <c r="S41" s="15"/>
      <c r="T41" s="6"/>
      <c r="U41" s="17" t="b">
        <v>0</v>
      </c>
      <c r="V41" s="6"/>
    </row>
    <row r="42" spans="1:22" x14ac:dyDescent="0.25">
      <c r="A42" s="5">
        <v>27</v>
      </c>
      <c r="B42" s="8" t="str">
        <f ca="1">IF(ISBLANK(A42), "", VLOOKUP(A42, Studies!A:D, 4))</f>
        <v>rater2</v>
      </c>
      <c r="C42" s="6" t="s">
        <v>207</v>
      </c>
      <c r="D42" s="14" t="s">
        <v>208</v>
      </c>
      <c r="E42" s="6" t="s">
        <v>209</v>
      </c>
      <c r="F42" s="15" t="s">
        <v>210</v>
      </c>
      <c r="G42" s="6">
        <v>17</v>
      </c>
      <c r="H42" s="8" t="s">
        <v>44</v>
      </c>
      <c r="I42" s="5" t="s">
        <v>45</v>
      </c>
      <c r="J42" s="16" t="s">
        <v>76</v>
      </c>
      <c r="K42" s="5" t="s">
        <v>48</v>
      </c>
      <c r="L42" s="5" t="s">
        <v>48</v>
      </c>
      <c r="M42" s="5" t="s">
        <v>48</v>
      </c>
      <c r="N42" s="5" t="s">
        <v>48</v>
      </c>
      <c r="O42" s="8" t="b">
        <v>0</v>
      </c>
      <c r="P42" s="5" t="s">
        <v>49</v>
      </c>
      <c r="Q42" s="14"/>
      <c r="R42" s="5" t="s">
        <v>49</v>
      </c>
      <c r="S42" s="15"/>
      <c r="T42" s="6"/>
      <c r="U42" s="17" t="b">
        <v>0</v>
      </c>
      <c r="V42" s="6"/>
    </row>
    <row r="43" spans="1:22" x14ac:dyDescent="0.25">
      <c r="A43" s="5">
        <v>29</v>
      </c>
      <c r="B43" s="8" t="str">
        <f ca="1">IF(ISBLANK(A43), "", VLOOKUP(A43, Studies!A:D, 4))</f>
        <v>rater2</v>
      </c>
      <c r="C43" s="6" t="s">
        <v>211</v>
      </c>
      <c r="D43" s="14" t="s">
        <v>212</v>
      </c>
      <c r="E43" s="6" t="s">
        <v>213</v>
      </c>
      <c r="F43" s="15" t="s">
        <v>214</v>
      </c>
      <c r="G43" s="6">
        <v>15</v>
      </c>
      <c r="H43" s="8" t="s">
        <v>44</v>
      </c>
      <c r="I43" s="5" t="s">
        <v>69</v>
      </c>
      <c r="J43" s="16"/>
      <c r="K43" s="5" t="s">
        <v>91</v>
      </c>
      <c r="L43" s="5" t="s">
        <v>91</v>
      </c>
      <c r="M43" s="5" t="s">
        <v>48</v>
      </c>
      <c r="N43" s="5" t="s">
        <v>48</v>
      </c>
      <c r="O43" s="8" t="b">
        <v>0</v>
      </c>
      <c r="P43" s="5" t="s">
        <v>56</v>
      </c>
      <c r="Q43" s="18" t="s">
        <v>215</v>
      </c>
      <c r="R43" s="5" t="s">
        <v>56</v>
      </c>
      <c r="S43" s="19" t="s">
        <v>215</v>
      </c>
      <c r="T43" s="6"/>
      <c r="U43" s="17" t="b">
        <v>0</v>
      </c>
      <c r="V43" s="6"/>
    </row>
    <row r="44" spans="1:22" x14ac:dyDescent="0.25">
      <c r="A44" s="5">
        <v>30</v>
      </c>
      <c r="B44" s="8" t="str">
        <f ca="1">IF(ISBLANK(A44), "", VLOOKUP(A44, Studies!A:D, 4))</f>
        <v>rater2</v>
      </c>
      <c r="C44" s="6" t="s">
        <v>216</v>
      </c>
      <c r="D44" s="14" t="s">
        <v>217</v>
      </c>
      <c r="E44" s="6" t="s">
        <v>218</v>
      </c>
      <c r="F44" s="15" t="s">
        <v>219</v>
      </c>
      <c r="G44" s="6">
        <v>31</v>
      </c>
      <c r="H44" s="8" t="s">
        <v>54</v>
      </c>
      <c r="I44" s="5" t="s">
        <v>45</v>
      </c>
      <c r="J44" s="16"/>
      <c r="K44" s="5" t="s">
        <v>91</v>
      </c>
      <c r="L44" s="5" t="s">
        <v>91</v>
      </c>
      <c r="M44" s="5" t="s">
        <v>91</v>
      </c>
      <c r="N44" s="5" t="s">
        <v>47</v>
      </c>
      <c r="O44" s="8" t="b">
        <v>0</v>
      </c>
      <c r="P44" s="5" t="s">
        <v>49</v>
      </c>
      <c r="Q44" s="14"/>
      <c r="R44" s="5" t="s">
        <v>49</v>
      </c>
      <c r="S44" s="15"/>
      <c r="T44" s="6"/>
      <c r="U44" s="17" t="b">
        <v>0</v>
      </c>
      <c r="V44" s="6"/>
    </row>
    <row r="45" spans="1:22" x14ac:dyDescent="0.25">
      <c r="A45" s="5">
        <v>32</v>
      </c>
      <c r="B45" s="8" t="str">
        <f ca="1">IF(ISBLANK(A45), "", VLOOKUP(A45, Studies!A:D, 4))</f>
        <v>rater2</v>
      </c>
      <c r="C45" s="6" t="s">
        <v>220</v>
      </c>
      <c r="D45" s="14" t="s">
        <v>221</v>
      </c>
      <c r="E45" s="6" t="s">
        <v>222</v>
      </c>
      <c r="F45" s="15" t="s">
        <v>223</v>
      </c>
      <c r="G45" s="6">
        <v>48</v>
      </c>
      <c r="H45" s="8" t="s">
        <v>44</v>
      </c>
      <c r="I45" s="5" t="s">
        <v>69</v>
      </c>
      <c r="J45" s="16"/>
      <c r="K45" s="5" t="s">
        <v>55</v>
      </c>
      <c r="L45" s="5" t="s">
        <v>91</v>
      </c>
      <c r="M45" s="5" t="s">
        <v>47</v>
      </c>
      <c r="N45" s="5" t="s">
        <v>55</v>
      </c>
      <c r="O45" s="8" t="b">
        <v>0</v>
      </c>
      <c r="P45" s="5" t="s">
        <v>56</v>
      </c>
      <c r="Q45" s="18" t="s">
        <v>224</v>
      </c>
      <c r="R45" s="5" t="s">
        <v>56</v>
      </c>
      <c r="S45" s="19" t="s">
        <v>224</v>
      </c>
      <c r="T45" s="6"/>
      <c r="U45" s="17" t="b">
        <v>0</v>
      </c>
      <c r="V45" s="6"/>
    </row>
    <row r="46" spans="1:22" x14ac:dyDescent="0.25">
      <c r="A46" s="5">
        <v>35</v>
      </c>
      <c r="B46" s="8" t="str">
        <f ca="1">IF(ISBLANK(A46), "", VLOOKUP(A46, Studies!A:D, 4))</f>
        <v>rater2</v>
      </c>
      <c r="C46" s="6" t="s">
        <v>225</v>
      </c>
      <c r="D46" s="14" t="s">
        <v>226</v>
      </c>
      <c r="E46" s="6" t="s">
        <v>227</v>
      </c>
      <c r="F46" s="15" t="s">
        <v>228</v>
      </c>
      <c r="G46" s="6">
        <v>32</v>
      </c>
      <c r="H46" s="8" t="s">
        <v>54</v>
      </c>
      <c r="I46" s="5" t="s">
        <v>69</v>
      </c>
      <c r="J46" s="16"/>
      <c r="K46" s="5" t="s">
        <v>91</v>
      </c>
      <c r="L46" s="5" t="s">
        <v>47</v>
      </c>
      <c r="M46" s="5" t="s">
        <v>64</v>
      </c>
      <c r="N46" s="5" t="s">
        <v>47</v>
      </c>
      <c r="O46" s="8" t="b">
        <v>1</v>
      </c>
      <c r="P46" s="5" t="s">
        <v>56</v>
      </c>
      <c r="Q46" s="18" t="s">
        <v>229</v>
      </c>
      <c r="R46" s="5" t="s">
        <v>56</v>
      </c>
      <c r="S46" s="19" t="s">
        <v>229</v>
      </c>
      <c r="T46" s="6" t="s">
        <v>230</v>
      </c>
      <c r="U46" s="17" t="b">
        <v>1</v>
      </c>
      <c r="V46" s="6" t="s">
        <v>231</v>
      </c>
    </row>
    <row r="47" spans="1:22" x14ac:dyDescent="0.25">
      <c r="A47" s="5">
        <v>36</v>
      </c>
      <c r="B47" s="8" t="str">
        <f ca="1">IF(ISBLANK(A47), "", VLOOKUP(A47, Studies!A:D, 4))</f>
        <v>rater2</v>
      </c>
      <c r="C47" s="6" t="s">
        <v>232</v>
      </c>
      <c r="D47" s="14" t="s">
        <v>233</v>
      </c>
      <c r="E47" s="6" t="s">
        <v>234</v>
      </c>
      <c r="F47" s="15" t="s">
        <v>235</v>
      </c>
      <c r="G47" s="6">
        <v>20</v>
      </c>
      <c r="H47" s="8" t="s">
        <v>54</v>
      </c>
      <c r="I47" s="5" t="s">
        <v>45</v>
      </c>
      <c r="J47" s="16" t="s">
        <v>183</v>
      </c>
      <c r="K47" s="5" t="s">
        <v>47</v>
      </c>
      <c r="L47" s="5" t="s">
        <v>48</v>
      </c>
      <c r="M47" s="5" t="s">
        <v>47</v>
      </c>
      <c r="N47" s="5" t="s">
        <v>91</v>
      </c>
      <c r="O47" s="8" t="b">
        <v>0</v>
      </c>
      <c r="P47" s="5" t="s">
        <v>49</v>
      </c>
      <c r="Q47" s="14"/>
      <c r="R47" s="5" t="s">
        <v>188</v>
      </c>
      <c r="S47" s="21" t="s">
        <v>236</v>
      </c>
      <c r="T47" s="6"/>
      <c r="U47" s="17" t="b">
        <v>0</v>
      </c>
      <c r="V47" s="6"/>
    </row>
    <row r="48" spans="1:22" x14ac:dyDescent="0.25">
      <c r="A48" s="5">
        <v>38</v>
      </c>
      <c r="B48" s="8" t="str">
        <f ca="1">IF(ISBLANK(A48), "", VLOOKUP(A48, Studies!A:D, 4))</f>
        <v>rater2</v>
      </c>
      <c r="C48" s="6" t="s">
        <v>237</v>
      </c>
      <c r="D48" s="14" t="s">
        <v>238</v>
      </c>
      <c r="E48" s="6" t="s">
        <v>239</v>
      </c>
      <c r="F48" s="15" t="s">
        <v>240</v>
      </c>
      <c r="G48" s="6">
        <v>45</v>
      </c>
      <c r="H48" s="8" t="s">
        <v>44</v>
      </c>
      <c r="I48" s="5" t="s">
        <v>69</v>
      </c>
      <c r="J48" s="16"/>
      <c r="K48" s="5" t="s">
        <v>91</v>
      </c>
      <c r="L48" s="5" t="s">
        <v>91</v>
      </c>
      <c r="M48" s="5" t="s">
        <v>48</v>
      </c>
      <c r="N48" s="5" t="s">
        <v>47</v>
      </c>
      <c r="O48" s="8" t="b">
        <v>0</v>
      </c>
      <c r="P48" s="5" t="s">
        <v>56</v>
      </c>
      <c r="Q48" s="18" t="s">
        <v>241</v>
      </c>
      <c r="R48" s="5" t="s">
        <v>56</v>
      </c>
      <c r="S48" s="19" t="s">
        <v>241</v>
      </c>
      <c r="T48" s="6"/>
      <c r="U48" s="17" t="b">
        <v>0</v>
      </c>
      <c r="V48" s="6"/>
    </row>
    <row r="49" spans="1:22" x14ac:dyDescent="0.25">
      <c r="A49" s="5">
        <v>38</v>
      </c>
      <c r="B49" s="8" t="str">
        <f ca="1">IF(ISBLANK(A49), "", VLOOKUP(A49, Studies!A:D, 4))</f>
        <v>rater2</v>
      </c>
      <c r="C49" s="6" t="s">
        <v>237</v>
      </c>
      <c r="D49" s="14" t="s">
        <v>238</v>
      </c>
      <c r="E49" s="6" t="s">
        <v>239</v>
      </c>
      <c r="F49" s="15" t="s">
        <v>240</v>
      </c>
      <c r="G49" s="6">
        <v>27</v>
      </c>
      <c r="H49" s="8" t="s">
        <v>44</v>
      </c>
      <c r="I49" s="5" t="s">
        <v>69</v>
      </c>
      <c r="J49" s="16"/>
      <c r="K49" s="5" t="s">
        <v>91</v>
      </c>
      <c r="L49" s="5" t="s">
        <v>91</v>
      </c>
      <c r="M49" s="5" t="s">
        <v>48</v>
      </c>
      <c r="N49" s="5" t="s">
        <v>47</v>
      </c>
      <c r="O49" s="8" t="b">
        <v>0</v>
      </c>
      <c r="P49" s="5" t="s">
        <v>56</v>
      </c>
      <c r="Q49" s="18" t="s">
        <v>241</v>
      </c>
      <c r="R49" s="5" t="s">
        <v>56</v>
      </c>
      <c r="S49" s="19" t="s">
        <v>241</v>
      </c>
      <c r="T49" s="6"/>
      <c r="U49" s="17" t="b">
        <v>0</v>
      </c>
      <c r="V49" s="6"/>
    </row>
    <row r="50" spans="1:22" x14ac:dyDescent="0.25">
      <c r="A50" s="5">
        <v>38</v>
      </c>
      <c r="B50" s="8" t="str">
        <f ca="1">IF(ISBLANK(A50), "", VLOOKUP(A50, Studies!A:D, 4))</f>
        <v>rater2</v>
      </c>
      <c r="C50" s="6" t="s">
        <v>237</v>
      </c>
      <c r="D50" s="14" t="s">
        <v>238</v>
      </c>
      <c r="E50" s="6" t="s">
        <v>239</v>
      </c>
      <c r="F50" s="15" t="s">
        <v>240</v>
      </c>
      <c r="G50" s="6">
        <v>24</v>
      </c>
      <c r="H50" s="8" t="s">
        <v>44</v>
      </c>
      <c r="I50" s="5" t="s">
        <v>69</v>
      </c>
      <c r="J50" s="16"/>
      <c r="K50" s="5" t="s">
        <v>91</v>
      </c>
      <c r="L50" s="5" t="s">
        <v>91</v>
      </c>
      <c r="M50" s="5" t="s">
        <v>48</v>
      </c>
      <c r="N50" s="5" t="s">
        <v>47</v>
      </c>
      <c r="O50" s="8" t="b">
        <v>0</v>
      </c>
      <c r="P50" s="5" t="s">
        <v>56</v>
      </c>
      <c r="Q50" s="18" t="s">
        <v>241</v>
      </c>
      <c r="R50" s="5" t="s">
        <v>56</v>
      </c>
      <c r="S50" s="19" t="s">
        <v>241</v>
      </c>
      <c r="T50" s="6"/>
      <c r="U50" s="17" t="b">
        <v>0</v>
      </c>
      <c r="V50" s="6"/>
    </row>
    <row r="51" spans="1:22" x14ac:dyDescent="0.25">
      <c r="A51" s="5">
        <v>39</v>
      </c>
      <c r="B51" s="8" t="str">
        <f ca="1">IF(ISBLANK(A51), "", VLOOKUP(A51, Studies!A:D, 4))</f>
        <v>rater2</v>
      </c>
      <c r="C51" s="6" t="s">
        <v>242</v>
      </c>
      <c r="D51" s="14" t="s">
        <v>243</v>
      </c>
      <c r="E51" s="6" t="s">
        <v>244</v>
      </c>
      <c r="F51" s="15" t="s">
        <v>245</v>
      </c>
      <c r="G51" s="6">
        <v>40</v>
      </c>
      <c r="H51" s="8" t="s">
        <v>44</v>
      </c>
      <c r="I51" s="5" t="s">
        <v>82</v>
      </c>
      <c r="J51" s="16" t="s">
        <v>46</v>
      </c>
      <c r="K51" s="5" t="s">
        <v>48</v>
      </c>
      <c r="L51" s="5" t="s">
        <v>48</v>
      </c>
      <c r="M51" s="5" t="s">
        <v>48</v>
      </c>
      <c r="N51" s="5" t="s">
        <v>48</v>
      </c>
      <c r="O51" s="8" t="b">
        <v>0</v>
      </c>
      <c r="P51" s="5" t="s">
        <v>188</v>
      </c>
      <c r="Q51" s="20" t="s">
        <v>246</v>
      </c>
      <c r="R51" s="5" t="s">
        <v>49</v>
      </c>
      <c r="S51" s="15"/>
      <c r="T51" s="6"/>
      <c r="U51" s="17" t="b">
        <v>0</v>
      </c>
      <c r="V51" s="6"/>
    </row>
    <row r="52" spans="1:22" x14ac:dyDescent="0.25">
      <c r="A52" s="5">
        <v>43</v>
      </c>
      <c r="B52" s="8" t="str">
        <f ca="1">IF(ISBLANK(A52), "", VLOOKUP(A52, Studies!A:D, 4))</f>
        <v>rater2</v>
      </c>
      <c r="C52" s="6" t="s">
        <v>247</v>
      </c>
      <c r="D52" s="14" t="s">
        <v>248</v>
      </c>
      <c r="E52" s="6" t="s">
        <v>249</v>
      </c>
      <c r="F52" s="15" t="s">
        <v>250</v>
      </c>
      <c r="G52" s="6">
        <v>55</v>
      </c>
      <c r="H52" s="8" t="s">
        <v>44</v>
      </c>
      <c r="I52" s="5" t="s">
        <v>45</v>
      </c>
      <c r="J52" s="16" t="s">
        <v>46</v>
      </c>
      <c r="K52" s="5" t="s">
        <v>48</v>
      </c>
      <c r="L52" s="5" t="s">
        <v>48</v>
      </c>
      <c r="M52" s="5" t="s">
        <v>48</v>
      </c>
      <c r="N52" s="5" t="s">
        <v>64</v>
      </c>
      <c r="O52" s="8" t="b">
        <v>0</v>
      </c>
      <c r="P52" s="5" t="s">
        <v>49</v>
      </c>
      <c r="Q52" s="14"/>
      <c r="R52" s="5" t="s">
        <v>49</v>
      </c>
      <c r="S52" s="15"/>
      <c r="T52" s="6"/>
      <c r="U52" s="17" t="b">
        <v>0</v>
      </c>
      <c r="V52" s="6"/>
    </row>
    <row r="53" spans="1:22" x14ac:dyDescent="0.25">
      <c r="A53" s="5">
        <v>45</v>
      </c>
      <c r="B53" s="8" t="str">
        <f ca="1">IF(ISBLANK(A53), "", VLOOKUP(A53, Studies!A:D, 4))</f>
        <v>rater2</v>
      </c>
      <c r="C53" s="6" t="s">
        <v>251</v>
      </c>
      <c r="D53" s="5" t="s">
        <v>252</v>
      </c>
      <c r="E53" s="14" t="s">
        <v>253</v>
      </c>
      <c r="F53" s="15" t="s">
        <v>254</v>
      </c>
      <c r="G53" s="6">
        <v>124</v>
      </c>
      <c r="H53" s="8" t="s">
        <v>44</v>
      </c>
      <c r="I53" s="5" t="s">
        <v>45</v>
      </c>
      <c r="J53" s="16" t="s">
        <v>76</v>
      </c>
      <c r="K53" s="5" t="s">
        <v>48</v>
      </c>
      <c r="L53" s="5" t="s">
        <v>48</v>
      </c>
      <c r="M53" s="5" t="s">
        <v>48</v>
      </c>
      <c r="N53" s="5" t="s">
        <v>55</v>
      </c>
      <c r="O53" s="8" t="b">
        <v>0</v>
      </c>
      <c r="P53" s="5" t="s">
        <v>188</v>
      </c>
      <c r="Q53" s="18" t="s">
        <v>255</v>
      </c>
      <c r="R53" s="5" t="s">
        <v>49</v>
      </c>
      <c r="S53" s="15"/>
      <c r="T53" s="6"/>
      <c r="U53" s="17" t="b">
        <v>0</v>
      </c>
      <c r="V53" s="6"/>
    </row>
    <row r="54" spans="1:22" x14ac:dyDescent="0.25">
      <c r="A54" s="5">
        <v>49</v>
      </c>
      <c r="B54" s="8" t="str">
        <f ca="1">IF(ISBLANK(A54), "", VLOOKUP(A54, Studies!A:D, 4))</f>
        <v>rater2</v>
      </c>
      <c r="C54" s="6" t="s">
        <v>132</v>
      </c>
      <c r="D54" s="14" t="s">
        <v>256</v>
      </c>
      <c r="E54" s="6" t="s">
        <v>257</v>
      </c>
      <c r="F54" s="15" t="s">
        <v>258</v>
      </c>
      <c r="G54" s="6">
        <v>29</v>
      </c>
      <c r="H54" s="8" t="s">
        <v>44</v>
      </c>
      <c r="I54" s="5" t="s">
        <v>45</v>
      </c>
      <c r="J54" s="16" t="s">
        <v>194</v>
      </c>
      <c r="K54" s="5" t="s">
        <v>48</v>
      </c>
      <c r="L54" s="5" t="s">
        <v>48</v>
      </c>
      <c r="M54" s="5" t="s">
        <v>55</v>
      </c>
      <c r="N54" s="5" t="s">
        <v>64</v>
      </c>
      <c r="O54" s="8" t="b">
        <v>1</v>
      </c>
      <c r="P54" s="5" t="s">
        <v>56</v>
      </c>
      <c r="Q54" s="18" t="s">
        <v>259</v>
      </c>
      <c r="R54" s="5" t="s">
        <v>56</v>
      </c>
      <c r="S54" s="21" t="s">
        <v>259</v>
      </c>
      <c r="T54" s="6" t="s">
        <v>260</v>
      </c>
      <c r="U54" s="17" t="b">
        <v>1</v>
      </c>
      <c r="V54" s="6" t="s">
        <v>261</v>
      </c>
    </row>
    <row r="55" spans="1:22" x14ac:dyDescent="0.25">
      <c r="A55" s="5">
        <v>53</v>
      </c>
      <c r="B55" s="8" t="str">
        <f ca="1">IF(ISBLANK(A55), "", VLOOKUP(A55, Studies!A:D, 4))</f>
        <v>rater2</v>
      </c>
      <c r="C55" s="6" t="s">
        <v>262</v>
      </c>
      <c r="D55" s="14" t="s">
        <v>263</v>
      </c>
      <c r="E55" s="6" t="s">
        <v>264</v>
      </c>
      <c r="F55" s="15" t="s">
        <v>265</v>
      </c>
      <c r="G55" s="6"/>
      <c r="H55" s="8" t="s">
        <v>126</v>
      </c>
      <c r="I55" s="5" t="s">
        <v>69</v>
      </c>
      <c r="J55" s="16"/>
      <c r="K55" s="5" t="s">
        <v>48</v>
      </c>
      <c r="L55" s="5" t="s">
        <v>48</v>
      </c>
      <c r="M55" s="5" t="s">
        <v>47</v>
      </c>
      <c r="N55" s="5" t="s">
        <v>47</v>
      </c>
      <c r="O55" s="8" t="b">
        <v>0</v>
      </c>
      <c r="P55" s="5" t="s">
        <v>56</v>
      </c>
      <c r="Q55" s="18" t="s">
        <v>266</v>
      </c>
      <c r="R55" s="5" t="s">
        <v>56</v>
      </c>
      <c r="S55" s="19" t="s">
        <v>266</v>
      </c>
      <c r="T55" s="6"/>
      <c r="U55" s="17" t="b">
        <v>0</v>
      </c>
      <c r="V55" s="6"/>
    </row>
    <row r="56" spans="1:22" x14ac:dyDescent="0.25">
      <c r="A56" s="5">
        <v>55</v>
      </c>
      <c r="B56" s="8" t="str">
        <f ca="1">IF(ISBLANK(A56), "", VLOOKUP(A56, Studies!A:D, 4))</f>
        <v>rater2</v>
      </c>
      <c r="C56" s="6" t="s">
        <v>267</v>
      </c>
      <c r="D56" s="14" t="s">
        <v>268</v>
      </c>
      <c r="E56" s="6" t="s">
        <v>269</v>
      </c>
      <c r="F56" s="15" t="s">
        <v>270</v>
      </c>
      <c r="G56" s="6">
        <v>144</v>
      </c>
      <c r="H56" s="8" t="s">
        <v>44</v>
      </c>
      <c r="I56" s="5" t="s">
        <v>69</v>
      </c>
      <c r="J56" s="16"/>
      <c r="K56" s="5" t="s">
        <v>91</v>
      </c>
      <c r="L56" s="5" t="s">
        <v>91</v>
      </c>
      <c r="M56" s="5" t="s">
        <v>47</v>
      </c>
      <c r="N56" s="5" t="s">
        <v>47</v>
      </c>
      <c r="O56" s="8" t="b">
        <v>0</v>
      </c>
      <c r="P56" s="5" t="s">
        <v>56</v>
      </c>
      <c r="Q56" s="18" t="s">
        <v>271</v>
      </c>
      <c r="R56" s="5" t="s">
        <v>56</v>
      </c>
      <c r="S56" s="19" t="s">
        <v>271</v>
      </c>
      <c r="T56" s="6" t="s">
        <v>272</v>
      </c>
      <c r="U56" s="17" t="b">
        <v>0</v>
      </c>
      <c r="V56" s="6"/>
    </row>
    <row r="57" spans="1:22" x14ac:dyDescent="0.25">
      <c r="A57" s="5">
        <v>57</v>
      </c>
      <c r="B57" s="8" t="s">
        <v>359</v>
      </c>
      <c r="C57" s="6" t="s">
        <v>273</v>
      </c>
      <c r="D57" s="14" t="s">
        <v>274</v>
      </c>
      <c r="E57" s="6" t="s">
        <v>275</v>
      </c>
      <c r="F57" s="15" t="s">
        <v>276</v>
      </c>
      <c r="G57" s="6">
        <v>20</v>
      </c>
      <c r="H57" s="8" t="s">
        <v>126</v>
      </c>
      <c r="I57" s="5" t="s">
        <v>45</v>
      </c>
      <c r="J57" s="16" t="s">
        <v>183</v>
      </c>
      <c r="K57" s="5" t="s">
        <v>48</v>
      </c>
      <c r="L57" s="5" t="s">
        <v>91</v>
      </c>
      <c r="M57" s="5" t="s">
        <v>47</v>
      </c>
      <c r="N57" s="5" t="s">
        <v>48</v>
      </c>
      <c r="O57" s="8" t="b">
        <v>0</v>
      </c>
      <c r="P57" s="5" t="s">
        <v>83</v>
      </c>
      <c r="Q57" s="20" t="s">
        <v>277</v>
      </c>
      <c r="R57" s="5" t="s">
        <v>49</v>
      </c>
      <c r="S57" s="15"/>
      <c r="T57" s="6"/>
      <c r="U57" s="17" t="b">
        <v>0</v>
      </c>
      <c r="V57" s="6"/>
    </row>
    <row r="58" spans="1:22" x14ac:dyDescent="0.25">
      <c r="A58" s="5">
        <v>60</v>
      </c>
      <c r="B58" s="8" t="str">
        <f ca="1">IF(ISBLANK(A58), "", VLOOKUP(A58, Studies!A:D, 4))</f>
        <v>rater2</v>
      </c>
      <c r="C58" s="6" t="s">
        <v>278</v>
      </c>
      <c r="D58" s="14" t="s">
        <v>238</v>
      </c>
      <c r="E58" s="6" t="s">
        <v>279</v>
      </c>
      <c r="F58" s="15" t="s">
        <v>280</v>
      </c>
      <c r="G58" s="6">
        <v>18</v>
      </c>
      <c r="H58" s="8" t="s">
        <v>90</v>
      </c>
      <c r="I58" s="5" t="s">
        <v>69</v>
      </c>
      <c r="J58" s="16"/>
      <c r="K58" s="5" t="s">
        <v>91</v>
      </c>
      <c r="L58" s="5" t="s">
        <v>91</v>
      </c>
      <c r="M58" s="5" t="s">
        <v>48</v>
      </c>
      <c r="N58" s="5" t="s">
        <v>47</v>
      </c>
      <c r="O58" s="8" t="b">
        <v>0</v>
      </c>
      <c r="P58" s="5" t="s">
        <v>56</v>
      </c>
      <c r="Q58" s="18" t="s">
        <v>281</v>
      </c>
      <c r="R58" s="5" t="s">
        <v>56</v>
      </c>
      <c r="S58" s="19" t="s">
        <v>281</v>
      </c>
      <c r="T58" s="6"/>
      <c r="U58" s="17" t="b">
        <v>0</v>
      </c>
      <c r="V58" s="6"/>
    </row>
    <row r="59" spans="1:22" x14ac:dyDescent="0.25">
      <c r="A59" s="5">
        <v>60</v>
      </c>
      <c r="B59" s="8" t="str">
        <f ca="1">IF(ISBLANK(A59), "", VLOOKUP(A59, Studies!A:D, 4))</f>
        <v>rater2</v>
      </c>
      <c r="C59" s="6" t="s">
        <v>278</v>
      </c>
      <c r="D59" s="14" t="s">
        <v>238</v>
      </c>
      <c r="E59" s="6" t="s">
        <v>279</v>
      </c>
      <c r="F59" s="15" t="s">
        <v>280</v>
      </c>
      <c r="G59" s="6">
        <v>10</v>
      </c>
      <c r="H59" s="8" t="s">
        <v>90</v>
      </c>
      <c r="I59" s="5" t="s">
        <v>69</v>
      </c>
      <c r="J59" s="16"/>
      <c r="K59" s="5" t="s">
        <v>91</v>
      </c>
      <c r="L59" s="5" t="s">
        <v>91</v>
      </c>
      <c r="M59" s="5" t="s">
        <v>48</v>
      </c>
      <c r="N59" s="5" t="s">
        <v>47</v>
      </c>
      <c r="O59" s="8" t="b">
        <v>0</v>
      </c>
      <c r="P59" s="5" t="s">
        <v>56</v>
      </c>
      <c r="Q59" s="18" t="s">
        <v>281</v>
      </c>
      <c r="R59" s="5" t="s">
        <v>56</v>
      </c>
      <c r="S59" s="19" t="s">
        <v>281</v>
      </c>
      <c r="T59" s="6"/>
      <c r="U59" s="17" t="b">
        <v>0</v>
      </c>
      <c r="V59" s="6"/>
    </row>
    <row r="60" spans="1:22" x14ac:dyDescent="0.25">
      <c r="A60" s="5">
        <v>60</v>
      </c>
      <c r="B60" s="8" t="str">
        <f ca="1">IF(ISBLANK(A60), "", VLOOKUP(A60, Studies!A:D, 4))</f>
        <v>rater2</v>
      </c>
      <c r="C60" s="6" t="s">
        <v>278</v>
      </c>
      <c r="D60" s="14" t="s">
        <v>238</v>
      </c>
      <c r="E60" s="6" t="s">
        <v>279</v>
      </c>
      <c r="F60" s="15" t="s">
        <v>280</v>
      </c>
      <c r="G60" s="6">
        <v>16</v>
      </c>
      <c r="H60" s="8" t="s">
        <v>90</v>
      </c>
      <c r="I60" s="5" t="s">
        <v>69</v>
      </c>
      <c r="J60" s="16"/>
      <c r="K60" s="5" t="s">
        <v>91</v>
      </c>
      <c r="L60" s="5" t="s">
        <v>91</v>
      </c>
      <c r="M60" s="5" t="s">
        <v>48</v>
      </c>
      <c r="N60" s="5" t="s">
        <v>47</v>
      </c>
      <c r="O60" s="8" t="b">
        <v>0</v>
      </c>
      <c r="P60" s="5" t="s">
        <v>56</v>
      </c>
      <c r="Q60" s="18" t="s">
        <v>281</v>
      </c>
      <c r="R60" s="5" t="s">
        <v>56</v>
      </c>
      <c r="S60" s="19" t="s">
        <v>281</v>
      </c>
      <c r="T60" s="6"/>
      <c r="U60" s="17" t="b">
        <v>0</v>
      </c>
      <c r="V60" s="6"/>
    </row>
    <row r="61" spans="1:22" x14ac:dyDescent="0.25">
      <c r="A61" s="5">
        <v>62</v>
      </c>
      <c r="B61" s="8" t="str">
        <f ca="1">IF(ISBLANK(A61), "", VLOOKUP(A61, Studies!A:D, 4))</f>
        <v>rater2</v>
      </c>
      <c r="C61" s="6" t="s">
        <v>282</v>
      </c>
      <c r="D61" s="22" t="s">
        <v>283</v>
      </c>
      <c r="E61" s="6" t="s">
        <v>284</v>
      </c>
      <c r="F61" s="15" t="s">
        <v>285</v>
      </c>
      <c r="G61" s="6">
        <v>18</v>
      </c>
      <c r="H61" s="8" t="s">
        <v>54</v>
      </c>
      <c r="I61" s="5" t="s">
        <v>69</v>
      </c>
      <c r="J61" s="16"/>
      <c r="K61" s="5" t="s">
        <v>48</v>
      </c>
      <c r="L61" s="5" t="s">
        <v>91</v>
      </c>
      <c r="M61" s="5" t="s">
        <v>91</v>
      </c>
      <c r="N61" s="5" t="s">
        <v>48</v>
      </c>
      <c r="O61" s="8" t="b">
        <v>0</v>
      </c>
      <c r="P61" s="5" t="s">
        <v>83</v>
      </c>
      <c r="Q61" s="18" t="s">
        <v>286</v>
      </c>
      <c r="R61" s="5" t="s">
        <v>83</v>
      </c>
      <c r="S61" s="19" t="s">
        <v>286</v>
      </c>
      <c r="T61" s="6"/>
      <c r="U61" s="17" t="b">
        <v>0</v>
      </c>
      <c r="V61" s="6"/>
    </row>
    <row r="62" spans="1:22" x14ac:dyDescent="0.25">
      <c r="A62" s="5">
        <v>65</v>
      </c>
      <c r="B62" s="8" t="str">
        <f ca="1">IF(ISBLANK(A62), "", VLOOKUP(A62, Studies!A:D, 4))</f>
        <v>rater2</v>
      </c>
      <c r="C62" s="6" t="s">
        <v>287</v>
      </c>
      <c r="D62" s="14" t="s">
        <v>288</v>
      </c>
      <c r="E62" s="6" t="s">
        <v>289</v>
      </c>
      <c r="F62" s="15" t="s">
        <v>290</v>
      </c>
      <c r="G62" s="6">
        <v>28</v>
      </c>
      <c r="H62" s="8" t="s">
        <v>44</v>
      </c>
      <c r="I62" s="5" t="s">
        <v>45</v>
      </c>
      <c r="J62" s="16" t="s">
        <v>46</v>
      </c>
      <c r="K62" s="5" t="s">
        <v>48</v>
      </c>
      <c r="L62" s="5" t="s">
        <v>48</v>
      </c>
      <c r="M62" s="5" t="s">
        <v>48</v>
      </c>
      <c r="N62" s="5" t="s">
        <v>48</v>
      </c>
      <c r="O62" s="8" t="b">
        <v>0</v>
      </c>
      <c r="P62" s="5" t="s">
        <v>92</v>
      </c>
      <c r="Q62" s="20" t="s">
        <v>291</v>
      </c>
      <c r="R62" s="5" t="s">
        <v>92</v>
      </c>
      <c r="S62" s="15"/>
      <c r="T62" s="6"/>
      <c r="U62" s="17" t="b">
        <v>0</v>
      </c>
      <c r="V62" s="6"/>
    </row>
    <row r="63" spans="1:22" x14ac:dyDescent="0.25">
      <c r="A63" s="5">
        <v>65</v>
      </c>
      <c r="B63" s="8" t="str">
        <f ca="1">IF(ISBLANK(A63), "", VLOOKUP(A63, Studies!A:D, 4))</f>
        <v>rater2</v>
      </c>
      <c r="C63" s="6" t="s">
        <v>287</v>
      </c>
      <c r="D63" s="14" t="s">
        <v>288</v>
      </c>
      <c r="E63" s="6" t="s">
        <v>289</v>
      </c>
      <c r="F63" s="15" t="s">
        <v>290</v>
      </c>
      <c r="G63" s="6">
        <v>16</v>
      </c>
      <c r="H63" s="8" t="s">
        <v>44</v>
      </c>
      <c r="I63" s="5" t="s">
        <v>45</v>
      </c>
      <c r="J63" s="16" t="s">
        <v>46</v>
      </c>
      <c r="K63" s="5" t="s">
        <v>48</v>
      </c>
      <c r="L63" s="5" t="s">
        <v>48</v>
      </c>
      <c r="M63" s="5" t="s">
        <v>48</v>
      </c>
      <c r="N63" s="5" t="s">
        <v>48</v>
      </c>
      <c r="O63" s="8" t="b">
        <v>0</v>
      </c>
      <c r="P63" s="5" t="s">
        <v>92</v>
      </c>
      <c r="Q63" s="20" t="s">
        <v>291</v>
      </c>
      <c r="R63" s="5" t="s">
        <v>92</v>
      </c>
      <c r="S63" s="15"/>
      <c r="T63" s="6"/>
      <c r="U63" s="17" t="b">
        <v>0</v>
      </c>
      <c r="V63" s="6"/>
    </row>
    <row r="64" spans="1:22" x14ac:dyDescent="0.25">
      <c r="A64" s="5">
        <v>65</v>
      </c>
      <c r="B64" s="8" t="str">
        <f ca="1">IF(ISBLANK(A64), "", VLOOKUP(A64, Studies!A:D, 4))</f>
        <v>rater2</v>
      </c>
      <c r="C64" s="6" t="s">
        <v>287</v>
      </c>
      <c r="D64" s="14" t="s">
        <v>288</v>
      </c>
      <c r="E64" s="6" t="s">
        <v>289</v>
      </c>
      <c r="F64" s="15" t="s">
        <v>290</v>
      </c>
      <c r="G64" s="6">
        <v>36</v>
      </c>
      <c r="H64" s="8" t="s">
        <v>44</v>
      </c>
      <c r="I64" s="5" t="s">
        <v>45</v>
      </c>
      <c r="J64" s="16" t="s">
        <v>46</v>
      </c>
      <c r="K64" s="5" t="s">
        <v>48</v>
      </c>
      <c r="L64" s="5" t="s">
        <v>48</v>
      </c>
      <c r="M64" s="5" t="s">
        <v>48</v>
      </c>
      <c r="N64" s="5" t="s">
        <v>48</v>
      </c>
      <c r="O64" s="8" t="b">
        <v>0</v>
      </c>
      <c r="P64" s="5" t="s">
        <v>92</v>
      </c>
      <c r="Q64" s="20" t="s">
        <v>291</v>
      </c>
      <c r="R64" s="5" t="s">
        <v>92</v>
      </c>
      <c r="S64" s="15"/>
      <c r="T64" s="6"/>
      <c r="U64" s="17" t="b">
        <v>0</v>
      </c>
      <c r="V64" s="6"/>
    </row>
    <row r="65" spans="1:22" x14ac:dyDescent="0.25">
      <c r="A65" s="5">
        <v>65</v>
      </c>
      <c r="B65" s="8" t="str">
        <f ca="1">IF(ISBLANK(A65), "", VLOOKUP(A65, Studies!A:D, 4))</f>
        <v>rater2</v>
      </c>
      <c r="C65" s="6" t="s">
        <v>287</v>
      </c>
      <c r="D65" s="14" t="s">
        <v>288</v>
      </c>
      <c r="E65" s="6" t="s">
        <v>289</v>
      </c>
      <c r="F65" s="15" t="s">
        <v>290</v>
      </c>
      <c r="G65" s="6">
        <v>12</v>
      </c>
      <c r="H65" s="8" t="s">
        <v>44</v>
      </c>
      <c r="I65" s="5" t="s">
        <v>45</v>
      </c>
      <c r="J65" s="16" t="s">
        <v>46</v>
      </c>
      <c r="K65" s="5" t="s">
        <v>48</v>
      </c>
      <c r="L65" s="5" t="s">
        <v>48</v>
      </c>
      <c r="M65" s="5" t="s">
        <v>48</v>
      </c>
      <c r="N65" s="5" t="s">
        <v>48</v>
      </c>
      <c r="O65" s="8" t="b">
        <v>0</v>
      </c>
      <c r="P65" s="5" t="s">
        <v>92</v>
      </c>
      <c r="Q65" s="20" t="s">
        <v>291</v>
      </c>
      <c r="R65" s="5" t="s">
        <v>92</v>
      </c>
      <c r="S65" s="15"/>
      <c r="T65" s="6"/>
      <c r="U65" s="17" t="b">
        <v>0</v>
      </c>
      <c r="V65" s="6"/>
    </row>
    <row r="66" spans="1:22" x14ac:dyDescent="0.25">
      <c r="A66" s="5">
        <v>65</v>
      </c>
      <c r="B66" s="8" t="str">
        <f ca="1">IF(ISBLANK(A66), "", VLOOKUP(A66, Studies!A:D, 4))</f>
        <v>rater2</v>
      </c>
      <c r="C66" s="6" t="s">
        <v>287</v>
      </c>
      <c r="D66" s="14" t="s">
        <v>288</v>
      </c>
      <c r="E66" s="6" t="s">
        <v>289</v>
      </c>
      <c r="F66" s="15" t="s">
        <v>290</v>
      </c>
      <c r="G66" s="6">
        <v>16</v>
      </c>
      <c r="H66" s="8" t="s">
        <v>126</v>
      </c>
      <c r="I66" s="5" t="s">
        <v>69</v>
      </c>
      <c r="J66" s="16"/>
      <c r="K66" s="5" t="s">
        <v>91</v>
      </c>
      <c r="L66" s="5" t="s">
        <v>91</v>
      </c>
      <c r="M66" s="5" t="s">
        <v>47</v>
      </c>
      <c r="N66" s="5" t="s">
        <v>91</v>
      </c>
      <c r="O66" s="8" t="b">
        <v>0</v>
      </c>
      <c r="P66" s="5" t="s">
        <v>92</v>
      </c>
      <c r="Q66" s="20" t="s">
        <v>291</v>
      </c>
      <c r="R66" s="5" t="s">
        <v>92</v>
      </c>
      <c r="S66" s="15"/>
      <c r="T66" s="6"/>
      <c r="U66" s="17" t="b">
        <v>0</v>
      </c>
      <c r="V66" s="6"/>
    </row>
    <row r="67" spans="1:22" x14ac:dyDescent="0.25">
      <c r="A67" s="5">
        <v>80</v>
      </c>
      <c r="B67" s="8" t="str">
        <f ca="1">IF(ISBLANK(A67), "", VLOOKUP(A67, Studies!A:D, 4))</f>
        <v>rater2</v>
      </c>
      <c r="C67" s="6" t="s">
        <v>292</v>
      </c>
      <c r="D67" s="14" t="s">
        <v>256</v>
      </c>
      <c r="E67" s="6" t="s">
        <v>293</v>
      </c>
      <c r="F67" s="15" t="s">
        <v>294</v>
      </c>
      <c r="G67" s="6">
        <v>9</v>
      </c>
      <c r="H67" s="8" t="s">
        <v>44</v>
      </c>
      <c r="I67" s="5" t="s">
        <v>45</v>
      </c>
      <c r="J67" s="16" t="s">
        <v>82</v>
      </c>
      <c r="K67" s="5" t="s">
        <v>48</v>
      </c>
      <c r="L67" s="5" t="s">
        <v>48</v>
      </c>
      <c r="M67" s="5" t="s">
        <v>48</v>
      </c>
      <c r="N67" s="5" t="s">
        <v>48</v>
      </c>
      <c r="O67" s="8" t="b">
        <v>0</v>
      </c>
      <c r="P67" s="5" t="s">
        <v>56</v>
      </c>
      <c r="Q67" s="18" t="s">
        <v>295</v>
      </c>
      <c r="R67" s="5" t="s">
        <v>56</v>
      </c>
      <c r="S67" s="19" t="s">
        <v>295</v>
      </c>
      <c r="T67" s="6"/>
      <c r="U67" s="17" t="b">
        <v>0</v>
      </c>
      <c r="V67" s="6"/>
    </row>
    <row r="68" spans="1:22" x14ac:dyDescent="0.25">
      <c r="A68" s="5">
        <v>112</v>
      </c>
      <c r="B68" s="8" t="str">
        <f ca="1">IF(ISBLANK(A68), "", VLOOKUP(A68, Studies!A:D, 4))</f>
        <v>rater2</v>
      </c>
      <c r="C68" s="6" t="s">
        <v>296</v>
      </c>
      <c r="D68" s="14" t="s">
        <v>297</v>
      </c>
      <c r="E68" s="6" t="s">
        <v>298</v>
      </c>
      <c r="F68" s="15" t="s">
        <v>299</v>
      </c>
      <c r="G68" s="6">
        <v>42</v>
      </c>
      <c r="H68" s="8" t="s">
        <v>44</v>
      </c>
      <c r="I68" s="5" t="s">
        <v>45</v>
      </c>
      <c r="J68" s="16" t="s">
        <v>46</v>
      </c>
      <c r="K68" s="5" t="s">
        <v>47</v>
      </c>
      <c r="L68" s="5" t="s">
        <v>48</v>
      </c>
      <c r="M68" s="5" t="s">
        <v>48</v>
      </c>
      <c r="N68" s="5" t="s">
        <v>64</v>
      </c>
      <c r="O68" s="8" t="b">
        <v>0</v>
      </c>
      <c r="P68" s="5" t="s">
        <v>92</v>
      </c>
      <c r="Q68" s="18" t="s">
        <v>300</v>
      </c>
      <c r="R68" s="5" t="s">
        <v>92</v>
      </c>
      <c r="S68" s="18" t="s">
        <v>300</v>
      </c>
      <c r="T68" s="6"/>
      <c r="U68" s="17" t="b">
        <v>0</v>
      </c>
      <c r="V68" s="6"/>
    </row>
    <row r="69" spans="1:22" x14ac:dyDescent="0.25">
      <c r="A69" s="5">
        <v>112</v>
      </c>
      <c r="B69" s="8" t="str">
        <f ca="1">IF(ISBLANK(A69), "", VLOOKUP(A69, Studies!A:D, 4))</f>
        <v>rater2</v>
      </c>
      <c r="C69" s="6" t="s">
        <v>296</v>
      </c>
      <c r="D69" s="14" t="s">
        <v>297</v>
      </c>
      <c r="E69" s="6" t="s">
        <v>301</v>
      </c>
      <c r="F69" s="15" t="s">
        <v>302</v>
      </c>
      <c r="G69" s="6">
        <v>55</v>
      </c>
      <c r="H69" s="8" t="s">
        <v>44</v>
      </c>
      <c r="I69" s="5" t="s">
        <v>45</v>
      </c>
      <c r="J69" s="16" t="s">
        <v>46</v>
      </c>
      <c r="K69" s="5" t="s">
        <v>47</v>
      </c>
      <c r="L69" s="5" t="s">
        <v>48</v>
      </c>
      <c r="M69" s="5" t="s">
        <v>48</v>
      </c>
      <c r="N69" s="5" t="s">
        <v>64</v>
      </c>
      <c r="O69" s="8" t="b">
        <v>1</v>
      </c>
      <c r="P69" s="5" t="s">
        <v>92</v>
      </c>
      <c r="Q69" s="18" t="s">
        <v>300</v>
      </c>
      <c r="R69" s="5" t="s">
        <v>92</v>
      </c>
      <c r="S69" s="18" t="s">
        <v>300</v>
      </c>
      <c r="T69" s="6"/>
      <c r="U69" s="17" t="b">
        <v>0</v>
      </c>
      <c r="V69" s="6"/>
    </row>
    <row r="70" spans="1:22" x14ac:dyDescent="0.25">
      <c r="A70" s="5">
        <v>119</v>
      </c>
      <c r="B70" s="8" t="str">
        <f ca="1">IF(ISBLANK(A70), "", VLOOKUP(A70, Studies!A:D, 4))</f>
        <v>rater2</v>
      </c>
      <c r="C70" s="6" t="s">
        <v>303</v>
      </c>
      <c r="D70" s="14" t="s">
        <v>304</v>
      </c>
      <c r="E70" s="6" t="s">
        <v>305</v>
      </c>
      <c r="F70" s="15" t="s">
        <v>306</v>
      </c>
      <c r="G70" s="6">
        <v>18</v>
      </c>
      <c r="H70" s="8" t="s">
        <v>82</v>
      </c>
      <c r="I70" s="5" t="s">
        <v>45</v>
      </c>
      <c r="J70" s="16" t="s">
        <v>46</v>
      </c>
      <c r="K70" s="5" t="s">
        <v>48</v>
      </c>
      <c r="L70" s="5" t="s">
        <v>48</v>
      </c>
      <c r="M70" s="5" t="s">
        <v>48</v>
      </c>
      <c r="N70" s="5" t="s">
        <v>48</v>
      </c>
      <c r="O70" s="8" t="b">
        <v>0</v>
      </c>
      <c r="P70" s="5" t="s">
        <v>49</v>
      </c>
      <c r="Q70" s="14"/>
      <c r="R70" s="5" t="s">
        <v>49</v>
      </c>
      <c r="S70" s="15"/>
      <c r="T70" s="6"/>
      <c r="U70" s="17" t="b">
        <v>0</v>
      </c>
      <c r="V70" s="6"/>
    </row>
  </sheetData>
  <autoFilter ref="I3:J70" xr:uid="{00000000-0009-0000-0000-000001000000}"/>
  <mergeCells count="9">
    <mergeCell ref="P2:Q2"/>
    <mergeCell ref="R2:S2"/>
    <mergeCell ref="C1:F1"/>
    <mergeCell ref="G1:H1"/>
    <mergeCell ref="I1:N1"/>
    <mergeCell ref="P1:S1"/>
    <mergeCell ref="C2:D2"/>
    <mergeCell ref="E2:F2"/>
    <mergeCell ref="K2:N2"/>
  </mergeCells>
  <conditionalFormatting sqref="U4:U70">
    <cfRule type="cellIs" dxfId="0" priority="1" operator="equal">
      <formula>"TRUE"</formula>
    </cfRule>
  </conditionalFormatting>
  <dataValidations count="2">
    <dataValidation type="list" allowBlank="1" showErrorMessage="1" sqref="B4:B70" xr:uid="{00000000-0002-0000-0100-000000000000}">
      <formula1>"dfu,jfr"</formula1>
    </dataValidation>
    <dataValidation type="list" allowBlank="1" showErrorMessage="1" sqref="P4:P70 R4:R70" xr:uid="{00000000-0002-0000-0100-000004000000}">
      <formula1>"Archived,Open Source,Reachable,Upon Request,Broken,Unavailable,Private,Proprietary"</formula1>
    </dataValidation>
  </dataValidations>
  <hyperlinks>
    <hyperlink ref="Q5" r:id="rId1" xr:uid="{00000000-0004-0000-0100-000000000000}"/>
    <hyperlink ref="S5" r:id="rId2" xr:uid="{00000000-0004-0000-0100-000001000000}"/>
    <hyperlink ref="Q9" r:id="rId3" xr:uid="{00000000-0004-0000-0100-000002000000}"/>
    <hyperlink ref="Q10" r:id="rId4" xr:uid="{00000000-0004-0000-0100-000003000000}"/>
    <hyperlink ref="S10" r:id="rId5" xr:uid="{00000000-0004-0000-0100-000004000000}"/>
    <hyperlink ref="Q11" r:id="rId6" xr:uid="{00000000-0004-0000-0100-000005000000}"/>
    <hyperlink ref="S11" r:id="rId7" xr:uid="{00000000-0004-0000-0100-000006000000}"/>
    <hyperlink ref="Q12" r:id="rId8" xr:uid="{00000000-0004-0000-0100-000007000000}"/>
    <hyperlink ref="S12" r:id="rId9" xr:uid="{00000000-0004-0000-0100-000008000000}"/>
    <hyperlink ref="Q20" r:id="rId10" xr:uid="{00000000-0004-0000-0100-000009000000}"/>
    <hyperlink ref="Q21" r:id="rId11" xr:uid="{00000000-0004-0000-0100-00000A000000}"/>
    <hyperlink ref="Q22" r:id="rId12" xr:uid="{00000000-0004-0000-0100-00000B000000}"/>
    <hyperlink ref="Q23" r:id="rId13" xr:uid="{00000000-0004-0000-0100-00000C000000}"/>
    <hyperlink ref="Q24" r:id="rId14" xr:uid="{00000000-0004-0000-0100-00000D000000}"/>
    <hyperlink ref="Q25" r:id="rId15" xr:uid="{00000000-0004-0000-0100-00000E000000}"/>
    <hyperlink ref="S25" r:id="rId16" xr:uid="{00000000-0004-0000-0100-00000F000000}"/>
    <hyperlink ref="Q26" r:id="rId17" xr:uid="{00000000-0004-0000-0100-000010000000}"/>
    <hyperlink ref="S26" r:id="rId18" xr:uid="{00000000-0004-0000-0100-000011000000}"/>
    <hyperlink ref="Q27" r:id="rId19" xr:uid="{00000000-0004-0000-0100-000012000000}"/>
    <hyperlink ref="Q28" r:id="rId20" xr:uid="{00000000-0004-0000-0100-000013000000}"/>
    <hyperlink ref="S28" r:id="rId21" xr:uid="{00000000-0004-0000-0100-000014000000}"/>
    <hyperlink ref="Q29" r:id="rId22" xr:uid="{00000000-0004-0000-0100-000015000000}"/>
    <hyperlink ref="S29" r:id="rId23" xr:uid="{00000000-0004-0000-0100-000016000000}"/>
    <hyperlink ref="Q30" r:id="rId24" location="h.4ncksemt92xg" xr:uid="{00000000-0004-0000-0100-000017000000}"/>
    <hyperlink ref="Q31" r:id="rId25" location=".ZAEi_S2B3RY" xr:uid="{00000000-0004-0000-0100-000018000000}"/>
    <hyperlink ref="Q33" r:id="rId26" xr:uid="{00000000-0004-0000-0100-000019000000}"/>
    <hyperlink ref="Q36" r:id="rId27" xr:uid="{00000000-0004-0000-0100-00001A000000}"/>
    <hyperlink ref="Q43" r:id="rId28" xr:uid="{00000000-0004-0000-0100-00001B000000}"/>
    <hyperlink ref="S43" r:id="rId29" xr:uid="{00000000-0004-0000-0100-00001C000000}"/>
    <hyperlink ref="Q45" r:id="rId30" xr:uid="{00000000-0004-0000-0100-00001D000000}"/>
    <hyperlink ref="S45" r:id="rId31" xr:uid="{00000000-0004-0000-0100-00001E000000}"/>
    <hyperlink ref="Q46" r:id="rId32" xr:uid="{00000000-0004-0000-0100-00001F000000}"/>
    <hyperlink ref="S46" r:id="rId33" xr:uid="{00000000-0004-0000-0100-000020000000}"/>
    <hyperlink ref="S47" r:id="rId34" xr:uid="{00000000-0004-0000-0100-000021000000}"/>
    <hyperlink ref="Q48" r:id="rId35" xr:uid="{00000000-0004-0000-0100-000022000000}"/>
    <hyperlink ref="S48" r:id="rId36" xr:uid="{00000000-0004-0000-0100-000023000000}"/>
    <hyperlink ref="Q49" r:id="rId37" xr:uid="{00000000-0004-0000-0100-000024000000}"/>
    <hyperlink ref="S49" r:id="rId38" xr:uid="{00000000-0004-0000-0100-000025000000}"/>
    <hyperlink ref="Q50" r:id="rId39" xr:uid="{00000000-0004-0000-0100-000026000000}"/>
    <hyperlink ref="S50" r:id="rId40" xr:uid="{00000000-0004-0000-0100-000027000000}"/>
    <hyperlink ref="Q51" r:id="rId41" xr:uid="{00000000-0004-0000-0100-000028000000}"/>
    <hyperlink ref="Q53" r:id="rId42" xr:uid="{00000000-0004-0000-0100-000029000000}"/>
    <hyperlink ref="Q54" r:id="rId43" xr:uid="{00000000-0004-0000-0100-00002A000000}"/>
    <hyperlink ref="S54" r:id="rId44" xr:uid="{00000000-0004-0000-0100-00002B000000}"/>
    <hyperlink ref="Q55" r:id="rId45" xr:uid="{00000000-0004-0000-0100-00002C000000}"/>
    <hyperlink ref="S55" r:id="rId46" xr:uid="{00000000-0004-0000-0100-00002D000000}"/>
    <hyperlink ref="Q56" r:id="rId47" xr:uid="{00000000-0004-0000-0100-00002E000000}"/>
    <hyperlink ref="S56" r:id="rId48" xr:uid="{00000000-0004-0000-0100-00002F000000}"/>
    <hyperlink ref="Q57" r:id="rId49" xr:uid="{00000000-0004-0000-0100-000030000000}"/>
    <hyperlink ref="Q58" r:id="rId50" xr:uid="{00000000-0004-0000-0100-000031000000}"/>
    <hyperlink ref="S58" r:id="rId51" xr:uid="{00000000-0004-0000-0100-000032000000}"/>
    <hyperlink ref="Q59" r:id="rId52" xr:uid="{00000000-0004-0000-0100-000033000000}"/>
    <hyperlink ref="S59" r:id="rId53" xr:uid="{00000000-0004-0000-0100-000034000000}"/>
    <hyperlink ref="Q60" r:id="rId54" xr:uid="{00000000-0004-0000-0100-000035000000}"/>
    <hyperlink ref="S60" r:id="rId55" xr:uid="{00000000-0004-0000-0100-000036000000}"/>
    <hyperlink ref="Q61" r:id="rId56" xr:uid="{00000000-0004-0000-0100-000037000000}"/>
    <hyperlink ref="S61" r:id="rId57" xr:uid="{00000000-0004-0000-0100-000038000000}"/>
    <hyperlink ref="Q62" r:id="rId58" xr:uid="{00000000-0004-0000-0100-000039000000}"/>
    <hyperlink ref="Q63" r:id="rId59" xr:uid="{00000000-0004-0000-0100-00003A000000}"/>
    <hyperlink ref="Q64" r:id="rId60" xr:uid="{00000000-0004-0000-0100-00003B000000}"/>
    <hyperlink ref="Q65" r:id="rId61" xr:uid="{00000000-0004-0000-0100-00003C000000}"/>
    <hyperlink ref="Q66" r:id="rId62" xr:uid="{00000000-0004-0000-0100-00003D000000}"/>
    <hyperlink ref="Q67" r:id="rId63" xr:uid="{00000000-0004-0000-0100-00003E000000}"/>
    <hyperlink ref="S67" r:id="rId64" xr:uid="{00000000-0004-0000-0100-00003F000000}"/>
    <hyperlink ref="Q68" r:id="rId65" xr:uid="{00000000-0004-0000-0100-000040000000}"/>
    <hyperlink ref="S68" r:id="rId66" xr:uid="{00000000-0004-0000-0100-000041000000}"/>
    <hyperlink ref="Q69" r:id="rId67" xr:uid="{00000000-0004-0000-0100-000042000000}"/>
    <hyperlink ref="S69" r:id="rId68" xr:uid="{00000000-0004-0000-0100-000043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ErrorMessage="1" xr:uid="{00000000-0002-0000-0100-000001000000}">
          <x14:formula1>
            <xm:f>CategoriesAddressal!$A$2:$A$7</xm:f>
          </x14:formula1>
          <xm:sqref>K4:N70</xm:sqref>
        </x14:dataValidation>
        <x14:dataValidation type="list" allowBlank="1" showErrorMessage="1" xr:uid="{00000000-0002-0000-0100-000002000000}">
          <x14:formula1>
            <xm:f>CategoriesMethod!$A$2:$A70</xm:f>
          </x14:formula1>
          <xm:sqref>I4:I70</xm:sqref>
        </x14:dataValidation>
        <x14:dataValidation type="list" allowBlank="1" showErrorMessage="1" xr:uid="{00000000-0002-0000-0100-000003000000}">
          <x14:formula1>
            <xm:f>CategoriesTesttype!$A$2:$A70</xm:f>
          </x14:formula1>
          <xm:sqref>J4:J70</xm:sqref>
        </x14:dataValidation>
        <x14:dataValidation type="list" allowBlank="1" showErrorMessage="1" xr:uid="{00000000-0002-0000-0100-000005000000}">
          <x14:formula1>
            <xm:f>CategoriesSubjects!$A$2:$A70</xm:f>
          </x14:formula1>
          <xm:sqref>H4:H70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5"/>
  <sheetViews>
    <sheetView workbookViewId="0">
      <selection activeCell="G3" sqref="G3"/>
    </sheetView>
  </sheetViews>
  <sheetFormatPr defaultColWidth="12.6640625" defaultRowHeight="15.75" customHeight="1" x14ac:dyDescent="0.25"/>
  <cols>
    <col min="1" max="1" width="8.88671875" customWidth="1"/>
    <col min="3" max="14" width="7.6640625" customWidth="1"/>
  </cols>
  <sheetData>
    <row r="1" spans="1:14" x14ac:dyDescent="0.25">
      <c r="A1" s="23" t="s">
        <v>307</v>
      </c>
      <c r="B1" s="23" t="s">
        <v>308</v>
      </c>
      <c r="C1" s="54" t="s">
        <v>309</v>
      </c>
      <c r="D1" s="51"/>
      <c r="E1" s="51"/>
      <c r="F1" s="54" t="s">
        <v>310</v>
      </c>
      <c r="G1" s="51"/>
      <c r="H1" s="51"/>
      <c r="I1" s="54" t="s">
        <v>311</v>
      </c>
      <c r="J1" s="51"/>
      <c r="K1" s="51"/>
      <c r="L1" s="54" t="s">
        <v>312</v>
      </c>
      <c r="M1" s="51"/>
      <c r="N1" s="51"/>
    </row>
    <row r="2" spans="1:14" x14ac:dyDescent="0.25">
      <c r="A2" s="23"/>
      <c r="B2" s="23"/>
      <c r="C2" s="24" t="s">
        <v>313</v>
      </c>
      <c r="D2" s="23" t="s">
        <v>5</v>
      </c>
      <c r="E2" s="25" t="s">
        <v>314</v>
      </c>
      <c r="F2" s="24" t="s">
        <v>313</v>
      </c>
      <c r="G2" s="23" t="s">
        <v>5</v>
      </c>
      <c r="H2" s="25" t="s">
        <v>314</v>
      </c>
      <c r="I2" s="24" t="s">
        <v>313</v>
      </c>
      <c r="J2" s="23" t="s">
        <v>5</v>
      </c>
      <c r="K2" s="25" t="s">
        <v>314</v>
      </c>
      <c r="L2" s="24" t="s">
        <v>313</v>
      </c>
      <c r="M2" s="23" t="s">
        <v>5</v>
      </c>
      <c r="N2" s="25" t="s">
        <v>314</v>
      </c>
    </row>
    <row r="3" spans="1:14" x14ac:dyDescent="0.25">
      <c r="A3" s="26" t="s">
        <v>360</v>
      </c>
      <c r="B3" s="27" t="s">
        <v>358</v>
      </c>
      <c r="C3" s="28">
        <f ca="1">SUMPRODUCT((Studies!D:D = A3) * (Studies!C:C = TRUE))</f>
        <v>22</v>
      </c>
      <c r="D3" s="29">
        <f ca="1">SUMPRODUCT((Studies!G:G=A3) * (Studies!C:C = TRUE))</f>
        <v>4</v>
      </c>
      <c r="E3" s="30">
        <f t="shared" ref="E3:E5" ca="1" si="0">C3+D3</f>
        <v>26</v>
      </c>
      <c r="F3" s="28">
        <f ca="1">SUMPRODUCT((Studies!D:D = A3) * (Studies!C:C = TRUE) * (Studies!E:E &gt; 0))</f>
        <v>22</v>
      </c>
      <c r="G3" s="29" t="e">
        <f ca="1">SUMPRODUCT((Studies!G:G = A3) * (Studies!C:C = TRUE) * (Studies!H:H &gt; 0))</f>
        <v>#REF!</v>
      </c>
      <c r="H3" s="30" t="e">
        <f t="shared" ref="H3:H5" ca="1" si="1">F3+G3</f>
        <v>#REF!</v>
      </c>
      <c r="I3" s="31">
        <f t="shared" ref="I3:K3" ca="1" si="2">F3/C3</f>
        <v>1</v>
      </c>
      <c r="J3" s="32" t="e">
        <f t="shared" ca="1" si="2"/>
        <v>#REF!</v>
      </c>
      <c r="K3" s="33" t="e">
        <f t="shared" ca="1" si="2"/>
        <v>#REF!</v>
      </c>
      <c r="L3" s="28">
        <f t="shared" ref="L3:M3" ca="1" si="3">C3-F3</f>
        <v>0</v>
      </c>
      <c r="M3" s="29" t="e">
        <f t="shared" ca="1" si="3"/>
        <v>#REF!</v>
      </c>
      <c r="N3" s="34" t="e">
        <f t="shared" ref="N3:N5" ca="1" si="4">L3+M3</f>
        <v>#REF!</v>
      </c>
    </row>
    <row r="4" spans="1:14" x14ac:dyDescent="0.25">
      <c r="A4" s="35" t="s">
        <v>359</v>
      </c>
      <c r="B4" s="27" t="s">
        <v>358</v>
      </c>
      <c r="C4" s="28">
        <f ca="1">SUMPRODUCT((Studies!D:D = A4) * (Studies!C:C = TRUE))</f>
        <v>26</v>
      </c>
      <c r="D4" s="29">
        <f ca="1">SUMPRODUCT((Studies!G:G=A4) * (Studies!C:C = TRUE))</f>
        <v>3</v>
      </c>
      <c r="E4" s="30">
        <f t="shared" ca="1" si="0"/>
        <v>29</v>
      </c>
      <c r="F4" s="28">
        <f ca="1">SUMPRODUCT((Studies!D:D = A4) * (Studies!C:C = TRUE) * (Studies!E:E &gt; 0))</f>
        <v>26</v>
      </c>
      <c r="G4" s="29" t="e">
        <f ca="1">SUMPRODUCT((Studies!G:G = A4) * (Studies!C:C = TRUE) * (Studies!H:H &gt; 0))</f>
        <v>#REF!</v>
      </c>
      <c r="H4" s="30" t="e">
        <f t="shared" ca="1" si="1"/>
        <v>#REF!</v>
      </c>
      <c r="I4" s="31">
        <f t="shared" ref="I4:K4" ca="1" si="5">F4/C4</f>
        <v>1</v>
      </c>
      <c r="J4" s="32" t="e">
        <f t="shared" ca="1" si="5"/>
        <v>#REF!</v>
      </c>
      <c r="K4" s="33" t="e">
        <f t="shared" ca="1" si="5"/>
        <v>#REF!</v>
      </c>
      <c r="L4" s="28">
        <f t="shared" ref="L4:M4" ca="1" si="6">C4-F4</f>
        <v>0</v>
      </c>
      <c r="M4" s="29" t="e">
        <f t="shared" ca="1" si="6"/>
        <v>#REF!</v>
      </c>
      <c r="N4" s="34" t="e">
        <f t="shared" ca="1" si="4"/>
        <v>#REF!</v>
      </c>
    </row>
    <row r="5" spans="1:14" x14ac:dyDescent="0.25">
      <c r="A5" s="23"/>
      <c r="B5" s="23"/>
      <c r="C5" s="36">
        <f t="shared" ref="C5:D5" ca="1" si="7">SUM(C3:C4)</f>
        <v>48</v>
      </c>
      <c r="D5" s="37">
        <f t="shared" ca="1" si="7"/>
        <v>7</v>
      </c>
      <c r="E5" s="38">
        <f t="shared" ca="1" si="0"/>
        <v>55</v>
      </c>
      <c r="F5" s="36">
        <f t="shared" ref="F5:G5" ca="1" si="8">SUM(F3:F4)</f>
        <v>48</v>
      </c>
      <c r="G5" s="37" t="e">
        <f t="shared" ca="1" si="8"/>
        <v>#REF!</v>
      </c>
      <c r="H5" s="38" t="e">
        <f t="shared" ca="1" si="1"/>
        <v>#REF!</v>
      </c>
      <c r="I5" s="39">
        <f t="shared" ref="I5:M5" ca="1" si="9">SUM(I3:I4)</f>
        <v>2</v>
      </c>
      <c r="J5" s="40" t="e">
        <f t="shared" ca="1" si="9"/>
        <v>#REF!</v>
      </c>
      <c r="K5" s="41" t="e">
        <f t="shared" ca="1" si="9"/>
        <v>#REF!</v>
      </c>
      <c r="L5" s="36">
        <f t="shared" ca="1" si="9"/>
        <v>0</v>
      </c>
      <c r="M5" s="37" t="e">
        <f t="shared" ca="1" si="9"/>
        <v>#REF!</v>
      </c>
      <c r="N5" s="38" t="e">
        <f t="shared" ca="1" si="4"/>
        <v>#REF!</v>
      </c>
    </row>
  </sheetData>
  <mergeCells count="4">
    <mergeCell ref="C1:E1"/>
    <mergeCell ref="F1:H1"/>
    <mergeCell ref="I1:K1"/>
    <mergeCell ref="L1:N1"/>
  </mergeCells>
  <conditionalFormatting sqref="F3">
    <cfRule type="colorScale" priority="1">
      <colorScale>
        <cfvo type="formula" val="0"/>
        <cfvo type="formula" val="C3/2"/>
        <cfvo type="formula" val="C3"/>
        <color rgb="FF990000"/>
        <color rgb="FFF1C232"/>
        <color rgb="FF38761D"/>
      </colorScale>
    </cfRule>
  </conditionalFormatting>
  <conditionalFormatting sqref="F4">
    <cfRule type="colorScale" priority="3">
      <colorScale>
        <cfvo type="formula" val="0"/>
        <cfvo type="formula" val="C4/2"/>
        <cfvo type="formula" val="C4"/>
        <color rgb="FF990000"/>
        <color rgb="FFF1C232"/>
        <color rgb="FF38761D"/>
      </colorScale>
    </cfRule>
  </conditionalFormatting>
  <conditionalFormatting sqref="G3">
    <cfRule type="colorScale" priority="2">
      <colorScale>
        <cfvo type="formula" val="0"/>
        <cfvo type="percent" val="50"/>
        <cfvo type="formula" val="D3"/>
        <color rgb="FF990000"/>
        <color rgb="FFF1C232"/>
        <color rgb="FF38761D"/>
      </colorScale>
    </cfRule>
  </conditionalFormatting>
  <conditionalFormatting sqref="G4">
    <cfRule type="colorScale" priority="4">
      <colorScale>
        <cfvo type="formula" val="0"/>
        <cfvo type="formula" val="D4/2"/>
        <cfvo type="formula" val="D4"/>
        <color rgb="FF990000"/>
        <color rgb="FFF1C232"/>
        <color rgb="FF38761D"/>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
  <sheetViews>
    <sheetView workbookViewId="0"/>
  </sheetViews>
  <sheetFormatPr defaultColWidth="12.6640625" defaultRowHeight="15.75" customHeight="1" x14ac:dyDescent="0.25"/>
  <cols>
    <col min="1" max="1" width="15.109375" customWidth="1"/>
    <col min="2" max="2" width="62.6640625" customWidth="1"/>
    <col min="3" max="3" width="5.109375" customWidth="1"/>
  </cols>
  <sheetData>
    <row r="1" spans="1:3" x14ac:dyDescent="0.25">
      <c r="A1" s="2" t="s">
        <v>315</v>
      </c>
      <c r="B1" s="2" t="s">
        <v>316</v>
      </c>
      <c r="C1" s="1" t="s">
        <v>317</v>
      </c>
    </row>
    <row r="2" spans="1:3" x14ac:dyDescent="0.25">
      <c r="A2" s="42" t="s">
        <v>44</v>
      </c>
      <c r="B2" s="6" t="s">
        <v>318</v>
      </c>
      <c r="C2" s="5">
        <f>COUNTIF(Extraction!H:H, A2)</f>
        <v>38</v>
      </c>
    </row>
    <row r="3" spans="1:3" x14ac:dyDescent="0.25">
      <c r="A3" s="42" t="s">
        <v>90</v>
      </c>
      <c r="B3" s="6" t="s">
        <v>319</v>
      </c>
      <c r="C3" s="5">
        <f>COUNTIF(Extraction!H:H, A3)</f>
        <v>6</v>
      </c>
    </row>
    <row r="4" spans="1:3" x14ac:dyDescent="0.25">
      <c r="A4" s="42" t="s">
        <v>126</v>
      </c>
      <c r="B4" s="6" t="s">
        <v>320</v>
      </c>
      <c r="C4" s="5">
        <f>COUNTIF(Extraction!H:H, A4)</f>
        <v>4</v>
      </c>
    </row>
    <row r="5" spans="1:3" x14ac:dyDescent="0.25">
      <c r="A5" s="42" t="s">
        <v>321</v>
      </c>
      <c r="B5" s="6" t="s">
        <v>322</v>
      </c>
      <c r="C5" s="5">
        <f>COUNTIF(Extraction!H:H, A5)</f>
        <v>0</v>
      </c>
    </row>
    <row r="6" spans="1:3" x14ac:dyDescent="0.25">
      <c r="A6" s="42" t="s">
        <v>206</v>
      </c>
      <c r="B6" s="6" t="s">
        <v>323</v>
      </c>
      <c r="C6" s="5">
        <f>COUNTIF(Extraction!H:H, A6)</f>
        <v>2</v>
      </c>
    </row>
    <row r="7" spans="1:3" x14ac:dyDescent="0.25">
      <c r="A7" s="42" t="s">
        <v>54</v>
      </c>
      <c r="B7" s="6" t="s">
        <v>324</v>
      </c>
      <c r="C7" s="5">
        <f>COUNTIF(Extraction!H:H, A7)</f>
        <v>10</v>
      </c>
    </row>
    <row r="8" spans="1:3" x14ac:dyDescent="0.25">
      <c r="A8" s="42" t="s">
        <v>81</v>
      </c>
      <c r="B8" s="6" t="s">
        <v>325</v>
      </c>
      <c r="C8" s="5">
        <f>COUNTIF(Extraction!H:H, A8)</f>
        <v>5</v>
      </c>
    </row>
    <row r="9" spans="1:3" x14ac:dyDescent="0.25">
      <c r="A9" s="42" t="s">
        <v>201</v>
      </c>
      <c r="B9" s="6" t="s">
        <v>326</v>
      </c>
      <c r="C9" s="5">
        <f>COUNTIF(Extraction!H:H, A9)</f>
        <v>1</v>
      </c>
    </row>
    <row r="10" spans="1:3" x14ac:dyDescent="0.25">
      <c r="A10" s="42" t="s">
        <v>82</v>
      </c>
      <c r="B10" s="6" t="s">
        <v>327</v>
      </c>
      <c r="C10" s="5">
        <f>COUNTIF(Extraction!H:H, A10)</f>
        <v>1</v>
      </c>
    </row>
  </sheetData>
  <conditionalFormatting sqref="C2:C10">
    <cfRule type="colorScale" priority="1">
      <colorScale>
        <cfvo type="min"/>
        <cfvo type="percent" val="50"/>
        <cfvo type="max"/>
        <color rgb="FFFFFFFF"/>
        <color rgb="FF9EC2E3"/>
        <color rgb="FF3D85C6"/>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7"/>
  <sheetViews>
    <sheetView workbookViewId="0"/>
  </sheetViews>
  <sheetFormatPr defaultColWidth="12.6640625" defaultRowHeight="15.75" customHeight="1" x14ac:dyDescent="0.25"/>
  <cols>
    <col min="2" max="2" width="25.109375" customWidth="1"/>
    <col min="3" max="3" width="62.6640625" customWidth="1"/>
    <col min="4" max="4" width="5.109375" customWidth="1"/>
  </cols>
  <sheetData>
    <row r="1" spans="1:4" x14ac:dyDescent="0.25">
      <c r="A1" s="1" t="s">
        <v>328</v>
      </c>
      <c r="B1" s="1" t="s">
        <v>25</v>
      </c>
      <c r="C1" s="2" t="s">
        <v>316</v>
      </c>
      <c r="D1" s="1" t="s">
        <v>317</v>
      </c>
    </row>
    <row r="2" spans="1:4" x14ac:dyDescent="0.25">
      <c r="A2" s="43" t="s">
        <v>45</v>
      </c>
      <c r="B2" s="5" t="s">
        <v>329</v>
      </c>
      <c r="C2" s="6" t="s">
        <v>330</v>
      </c>
      <c r="D2" s="5">
        <f>COUNTIF(Extraction!I:I, A2)</f>
        <v>29</v>
      </c>
    </row>
    <row r="3" spans="1:4" x14ac:dyDescent="0.25">
      <c r="A3" s="43" t="s">
        <v>331</v>
      </c>
      <c r="B3" s="5" t="s">
        <v>332</v>
      </c>
      <c r="C3" s="6" t="s">
        <v>333</v>
      </c>
      <c r="D3" s="5">
        <f>COUNTIF(Extraction!I:I, A3)</f>
        <v>0</v>
      </c>
    </row>
    <row r="4" spans="1:4" x14ac:dyDescent="0.25">
      <c r="A4" s="43" t="s">
        <v>69</v>
      </c>
      <c r="B4" s="5" t="s">
        <v>334</v>
      </c>
      <c r="C4" s="6" t="s">
        <v>335</v>
      </c>
      <c r="D4" s="5">
        <f>COUNTIF(Extraction!I:I, A4)</f>
        <v>35</v>
      </c>
    </row>
    <row r="5" spans="1:4" x14ac:dyDescent="0.25">
      <c r="A5" s="43" t="s">
        <v>336</v>
      </c>
      <c r="B5" s="5" t="s">
        <v>337</v>
      </c>
      <c r="C5" s="6" t="s">
        <v>338</v>
      </c>
      <c r="D5" s="5">
        <f>COUNTIF(Extraction!I:I, A5)</f>
        <v>0</v>
      </c>
    </row>
    <row r="6" spans="1:4" x14ac:dyDescent="0.25">
      <c r="A6" s="43" t="s">
        <v>82</v>
      </c>
      <c r="B6" s="5"/>
      <c r="C6" s="6" t="s">
        <v>339</v>
      </c>
      <c r="D6" s="5">
        <f>COUNTIF(Extraction!I:I, A6)</f>
        <v>2</v>
      </c>
    </row>
    <row r="7" spans="1:4" x14ac:dyDescent="0.25">
      <c r="A7" s="43" t="s">
        <v>81</v>
      </c>
      <c r="B7" s="5"/>
      <c r="C7" s="6" t="s">
        <v>340</v>
      </c>
      <c r="D7" s="5">
        <f>COUNTIF(Extraction!I:I, A7)</f>
        <v>1</v>
      </c>
    </row>
  </sheetData>
  <conditionalFormatting sqref="D2:D7">
    <cfRule type="colorScale" priority="1">
      <colorScale>
        <cfvo type="min"/>
        <cfvo type="percent" val="50"/>
        <cfvo type="max"/>
        <color rgb="FFFFFFFF"/>
        <color rgb="FF9EC2E3"/>
        <color rgb="FF3D85C6"/>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9"/>
  <sheetViews>
    <sheetView workbookViewId="0"/>
  </sheetViews>
  <sheetFormatPr defaultColWidth="12.6640625" defaultRowHeight="15.75" customHeight="1" x14ac:dyDescent="0.25"/>
  <cols>
    <col min="1" max="1" width="25.109375" customWidth="1"/>
    <col min="2" max="2" width="62.6640625" customWidth="1"/>
    <col min="3" max="3" width="5.109375" customWidth="1"/>
  </cols>
  <sheetData>
    <row r="1" spans="1:3" x14ac:dyDescent="0.25">
      <c r="A1" s="1" t="s">
        <v>328</v>
      </c>
      <c r="B1" s="2" t="s">
        <v>316</v>
      </c>
      <c r="C1" s="1" t="s">
        <v>317</v>
      </c>
    </row>
    <row r="2" spans="1:3" x14ac:dyDescent="0.25">
      <c r="A2" s="43" t="s">
        <v>341</v>
      </c>
      <c r="B2" s="6" t="s">
        <v>342</v>
      </c>
      <c r="C2" s="5">
        <f>COUNTIF(Extraction!J:J, A2)</f>
        <v>0</v>
      </c>
    </row>
    <row r="3" spans="1:3" x14ac:dyDescent="0.25">
      <c r="A3" s="43" t="s">
        <v>108</v>
      </c>
      <c r="B3" s="6" t="s">
        <v>343</v>
      </c>
      <c r="C3" s="5">
        <f>COUNTIF(Extraction!J:J, A3)</f>
        <v>3</v>
      </c>
    </row>
    <row r="4" spans="1:3" x14ac:dyDescent="0.25">
      <c r="A4" s="43" t="s">
        <v>46</v>
      </c>
      <c r="B4" s="6" t="s">
        <v>344</v>
      </c>
      <c r="C4" s="5">
        <f>COUNTIF(Extraction!J:J, A4)</f>
        <v>12</v>
      </c>
    </row>
    <row r="5" spans="1:3" x14ac:dyDescent="0.25">
      <c r="A5" s="43" t="s">
        <v>76</v>
      </c>
      <c r="B5" s="6" t="s">
        <v>345</v>
      </c>
      <c r="C5" s="5">
        <f>COUNTIF(Extraction!J:J, A5)</f>
        <v>7</v>
      </c>
    </row>
    <row r="6" spans="1:3" x14ac:dyDescent="0.25">
      <c r="A6" s="43" t="s">
        <v>183</v>
      </c>
      <c r="B6" s="6" t="s">
        <v>346</v>
      </c>
      <c r="C6" s="5">
        <f>COUNTIF(Extraction!J:J, A6)</f>
        <v>3</v>
      </c>
    </row>
    <row r="7" spans="1:3" x14ac:dyDescent="0.25">
      <c r="A7" s="43" t="s">
        <v>194</v>
      </c>
      <c r="B7" s="6" t="s">
        <v>347</v>
      </c>
      <c r="C7" s="5">
        <f>COUNTIF(Extraction!J:J, A7)</f>
        <v>2</v>
      </c>
    </row>
    <row r="8" spans="1:3" x14ac:dyDescent="0.25">
      <c r="A8" s="43" t="s">
        <v>63</v>
      </c>
      <c r="B8" s="6" t="s">
        <v>348</v>
      </c>
      <c r="C8" s="5">
        <f>COUNTIF(Extraction!J:J, A8)</f>
        <v>1</v>
      </c>
    </row>
    <row r="9" spans="1:3" x14ac:dyDescent="0.25">
      <c r="A9" s="43" t="s">
        <v>82</v>
      </c>
      <c r="B9" s="6" t="s">
        <v>349</v>
      </c>
      <c r="C9" s="5">
        <f>COUNTIF(Extraction!J:J, A9)</f>
        <v>1</v>
      </c>
    </row>
  </sheetData>
  <conditionalFormatting sqref="C2:C9">
    <cfRule type="colorScale" priority="1">
      <colorScale>
        <cfvo type="min"/>
        <cfvo type="percent" val="50"/>
        <cfvo type="max"/>
        <color rgb="FFFFFFFF"/>
        <color rgb="FF9EC2E3"/>
        <color rgb="FF3D85C6"/>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
  <sheetViews>
    <sheetView workbookViewId="0"/>
  </sheetViews>
  <sheetFormatPr defaultColWidth="12.6640625" defaultRowHeight="15.75" customHeight="1" x14ac:dyDescent="0.25"/>
  <cols>
    <col min="1" max="1" width="18.88671875" customWidth="1"/>
    <col min="2" max="2" width="62.6640625" customWidth="1"/>
    <col min="3" max="6" width="8.88671875" customWidth="1"/>
  </cols>
  <sheetData>
    <row r="1" spans="1:6" x14ac:dyDescent="0.25">
      <c r="A1" s="1" t="s">
        <v>328</v>
      </c>
      <c r="B1" s="2" t="s">
        <v>316</v>
      </c>
      <c r="C1" s="1" t="s">
        <v>27</v>
      </c>
      <c r="D1" s="1" t="s">
        <v>28</v>
      </c>
      <c r="E1" s="1" t="s">
        <v>350</v>
      </c>
      <c r="F1" s="1" t="s">
        <v>30</v>
      </c>
    </row>
    <row r="2" spans="1:6" x14ac:dyDescent="0.25">
      <c r="A2" s="44" t="s">
        <v>91</v>
      </c>
      <c r="B2" s="6" t="s">
        <v>351</v>
      </c>
      <c r="C2" s="5">
        <f>COUNTIF(Extraction!K:K, $A2)</f>
        <v>24</v>
      </c>
      <c r="D2" s="5">
        <f>COUNTIF(Extraction!L:L, $A2)</f>
        <v>26</v>
      </c>
      <c r="E2" s="5">
        <f>COUNTIF(Extraction!M:M, $A2)</f>
        <v>12</v>
      </c>
      <c r="F2" s="5">
        <f>COUNTIF(Extraction!N:N, $A2)</f>
        <v>2</v>
      </c>
    </row>
    <row r="3" spans="1:6" x14ac:dyDescent="0.25">
      <c r="A3" s="45" t="s">
        <v>352</v>
      </c>
      <c r="B3" s="6" t="s">
        <v>353</v>
      </c>
      <c r="C3" s="5">
        <f>COUNTIF(Extraction!K:K, $A3)</f>
        <v>0</v>
      </c>
      <c r="D3" s="5">
        <f>COUNTIF(Extraction!L:L, $A3)</f>
        <v>0</v>
      </c>
      <c r="E3" s="5">
        <f>COUNTIF(Extraction!M:M, $A3)</f>
        <v>0</v>
      </c>
      <c r="F3" s="5">
        <f>COUNTIF(Extraction!N:N, $A3)</f>
        <v>0</v>
      </c>
    </row>
    <row r="4" spans="1:6" x14ac:dyDescent="0.25">
      <c r="A4" s="46" t="s">
        <v>64</v>
      </c>
      <c r="B4" s="6" t="s">
        <v>354</v>
      </c>
      <c r="C4" s="5">
        <f>COUNTIF(Extraction!K:K, $A4)</f>
        <v>1</v>
      </c>
      <c r="D4" s="5">
        <f>COUNTIF(Extraction!L:L, $A4)</f>
        <v>3</v>
      </c>
      <c r="E4" s="5">
        <f>COUNTIF(Extraction!M:M, $A4)</f>
        <v>2</v>
      </c>
      <c r="F4" s="5">
        <f>COUNTIF(Extraction!N:N, $A4)</f>
        <v>6</v>
      </c>
    </row>
    <row r="5" spans="1:6" x14ac:dyDescent="0.25">
      <c r="A5" s="47" t="s">
        <v>47</v>
      </c>
      <c r="B5" s="6" t="s">
        <v>355</v>
      </c>
      <c r="C5" s="5">
        <f>COUNTIF(Extraction!K:K, $A5)</f>
        <v>8</v>
      </c>
      <c r="D5" s="5">
        <f>COUNTIF(Extraction!L:L, $A5)</f>
        <v>4</v>
      </c>
      <c r="E5" s="5">
        <f>COUNTIF(Extraction!M:M, $A5)</f>
        <v>11</v>
      </c>
      <c r="F5" s="5">
        <f>COUNTIF(Extraction!N:N, $A5)</f>
        <v>17</v>
      </c>
    </row>
    <row r="6" spans="1:6" x14ac:dyDescent="0.25">
      <c r="A6" s="48" t="s">
        <v>55</v>
      </c>
      <c r="B6" s="6" t="s">
        <v>356</v>
      </c>
      <c r="C6" s="5">
        <f>COUNTIF(Extraction!K:K, $A6)</f>
        <v>7</v>
      </c>
      <c r="D6" s="5">
        <f>COUNTIF(Extraction!L:L, $A6)</f>
        <v>1</v>
      </c>
      <c r="E6" s="5">
        <f>COUNTIF(Extraction!M:M, $A6)</f>
        <v>4</v>
      </c>
      <c r="F6" s="5">
        <f>COUNTIF(Extraction!N:N, $A6)</f>
        <v>13</v>
      </c>
    </row>
    <row r="7" spans="1:6" x14ac:dyDescent="0.25">
      <c r="A7" s="49" t="s">
        <v>48</v>
      </c>
      <c r="B7" s="6" t="s">
        <v>357</v>
      </c>
      <c r="C7" s="5">
        <f>COUNTIF(Extraction!K:K, $A7)</f>
        <v>27</v>
      </c>
      <c r="D7" s="5">
        <f>COUNTIF(Extraction!L:L, $A7)</f>
        <v>33</v>
      </c>
      <c r="E7" s="5">
        <f>COUNTIF(Extraction!M:M, $A7)</f>
        <v>38</v>
      </c>
      <c r="F7" s="5">
        <f>COUNTIF(Extraction!N:N, $A7)</f>
        <v>29</v>
      </c>
    </row>
  </sheetData>
  <conditionalFormatting sqref="C2:F7">
    <cfRule type="colorScale" priority="1">
      <colorScale>
        <cfvo type="min"/>
        <cfvo type="percent" val="50"/>
        <cfvo type="max"/>
        <color rgb="FFFFFFFF"/>
        <color rgb="FF9EC2E3"/>
        <color rgb="FF3D85C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Studies</vt:lpstr>
      <vt:lpstr>Extraction</vt:lpstr>
      <vt:lpstr>Progress</vt:lpstr>
      <vt:lpstr>CategoriesSubjects</vt:lpstr>
      <vt:lpstr>CategoriesMethod</vt:lpstr>
      <vt:lpstr>CategoriesTesttype</vt:lpstr>
      <vt:lpstr>CategoriesAddressal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Julian Frattini</cp:lastModifiedBy>
  <dcterms:modified xsi:type="dcterms:W3CDTF">2024-06-03T08:35:42Z</dcterms:modified>
</cp:coreProperties>
</file>