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juf\Workspace\BTH\Data Processing\b4c\data\esem-2024\"/>
    </mc:Choice>
  </mc:AlternateContent>
  <xr:revisionPtr revIDLastSave="0" documentId="13_ncr:1_{CB9AD6FC-7777-44FE-BB3A-264425797946}" xr6:coauthVersionLast="47" xr6:coauthVersionMax="47" xr10:uidLastSave="{00000000-0000-0000-0000-000000000000}"/>
  <bookViews>
    <workbookView xWindow="28800" yWindow="-14685" windowWidth="31950" windowHeight="21000" activeTab="2" xr2:uid="{00000000-000D-0000-FFFF-FFFF00000000}"/>
  </bookViews>
  <sheets>
    <sheet name="Studies" sheetId="1" r:id="rId1"/>
    <sheet name="Extraction" sheetId="2" r:id="rId2"/>
    <sheet name="Overlap" sheetId="3" r:id="rId3"/>
    <sheet name="Progress" sheetId="4" r:id="rId4"/>
    <sheet name="CategoriesSubjects" sheetId="5" r:id="rId5"/>
    <sheet name="CategoriesMethod" sheetId="6" r:id="rId6"/>
    <sheet name="CategoriesTesttype" sheetId="7" r:id="rId7"/>
  </sheets>
  <definedNames>
    <definedName name="_xlnm._FilterDatabase" localSheetId="0" hidden="1">Studies!$F$1:$F$137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7" l="1"/>
  <c r="C5" i="7"/>
  <c r="C4" i="7"/>
  <c r="C3" i="7"/>
  <c r="C2" i="7"/>
  <c r="D7" i="6"/>
  <c r="D6" i="6"/>
  <c r="D5" i="6"/>
  <c r="D4" i="6"/>
  <c r="D3" i="6"/>
  <c r="D2" i="6"/>
  <c r="C5" i="5"/>
  <c r="C4" i="5"/>
  <c r="C3" i="5"/>
  <c r="C2" i="5"/>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B121" i="3"/>
  <c r="B120" i="3"/>
  <c r="B119" i="3"/>
  <c r="B118" i="3"/>
  <c r="B117" i="3"/>
  <c r="B116" i="3"/>
  <c r="B115" i="3"/>
  <c r="B114" i="3"/>
  <c r="B113" i="3"/>
  <c r="B112" i="3"/>
  <c r="B111" i="3"/>
  <c r="B110" i="3"/>
  <c r="B109" i="3"/>
  <c r="B108" i="3"/>
  <c r="B107" i="3"/>
  <c r="B106" i="3"/>
  <c r="B105" i="3"/>
  <c r="B104" i="3"/>
  <c r="B103" i="3"/>
  <c r="B102" i="3"/>
  <c r="B101" i="3"/>
  <c r="B100" i="3"/>
  <c r="B99" i="3"/>
  <c r="B98" i="3"/>
  <c r="B97" i="3"/>
  <c r="B96" i="3"/>
  <c r="B95" i="3"/>
  <c r="B94" i="3"/>
  <c r="B93" i="3"/>
  <c r="B92" i="3"/>
  <c r="B91" i="3"/>
  <c r="B90" i="3"/>
  <c r="B89" i="3"/>
  <c r="B88" i="3"/>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7" i="3"/>
  <c r="B56" i="3"/>
  <c r="B55" i="3"/>
  <c r="B54" i="3"/>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55" i="2"/>
  <c r="B154" i="2"/>
  <c r="B153" i="2"/>
  <c r="B152" i="2"/>
  <c r="B151" i="2"/>
  <c r="B150" i="2"/>
  <c r="B149" i="2"/>
  <c r="B148" i="2"/>
  <c r="B147" i="2"/>
  <c r="B146" i="2"/>
  <c r="B145" i="2"/>
  <c r="B144" i="2"/>
  <c r="B143" i="2"/>
  <c r="B142" i="2"/>
  <c r="B141" i="2"/>
  <c r="B140" i="2"/>
  <c r="B139" i="2"/>
  <c r="B138" i="2"/>
  <c r="B137" i="2"/>
  <c r="B136" i="2"/>
  <c r="B135" i="2"/>
  <c r="B134" i="2"/>
  <c r="B133" i="2"/>
  <c r="B132" i="2"/>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F137" i="1"/>
  <c r="D137" i="1"/>
  <c r="C137" i="1"/>
  <c r="E137" i="1" s="1"/>
  <c r="B137" i="1"/>
  <c r="F136" i="1"/>
  <c r="D136" i="1"/>
  <c r="C136" i="1"/>
  <c r="E136" i="1" s="1"/>
  <c r="B136" i="1"/>
  <c r="F135" i="1"/>
  <c r="D135" i="1"/>
  <c r="C135" i="1"/>
  <c r="B135" i="1"/>
  <c r="F134" i="1"/>
  <c r="D134" i="1"/>
  <c r="C134" i="1"/>
  <c r="B134" i="1"/>
  <c r="F133" i="1"/>
  <c r="D133" i="1"/>
  <c r="C133" i="1"/>
  <c r="B133" i="1"/>
  <c r="F132" i="1"/>
  <c r="D132" i="1"/>
  <c r="C132" i="1"/>
  <c r="B132" i="1"/>
  <c r="F131" i="1"/>
  <c r="D131" i="1"/>
  <c r="C131" i="1"/>
  <c r="B131" i="1"/>
  <c r="F130" i="1"/>
  <c r="D130" i="1"/>
  <c r="C130" i="1"/>
  <c r="B130" i="1"/>
  <c r="F129" i="1"/>
  <c r="D129" i="1"/>
  <c r="C129" i="1"/>
  <c r="E129" i="1" s="1"/>
  <c r="B129" i="1"/>
  <c r="F128" i="1"/>
  <c r="D128" i="1"/>
  <c r="C128" i="1"/>
  <c r="B128" i="1"/>
  <c r="F127" i="1"/>
  <c r="D127" i="1"/>
  <c r="C127" i="1"/>
  <c r="E127" i="1" s="1"/>
  <c r="B127" i="1"/>
  <c r="F126" i="1"/>
  <c r="D126" i="1"/>
  <c r="C126" i="1"/>
  <c r="B126" i="1"/>
  <c r="F125" i="1"/>
  <c r="D125" i="1"/>
  <c r="C125" i="1"/>
  <c r="E125" i="1" s="1"/>
  <c r="B125" i="1"/>
  <c r="F124" i="1"/>
  <c r="D124" i="1"/>
  <c r="C124" i="1"/>
  <c r="E124" i="1" s="1"/>
  <c r="B124" i="1"/>
  <c r="F123" i="1"/>
  <c r="D123" i="1"/>
  <c r="C123" i="1"/>
  <c r="B123" i="1"/>
  <c r="F122" i="1"/>
  <c r="D122" i="1"/>
  <c r="C122" i="1"/>
  <c r="E122" i="1" s="1"/>
  <c r="B122" i="1"/>
  <c r="F121" i="1"/>
  <c r="D121" i="1"/>
  <c r="C121" i="1"/>
  <c r="B121" i="1"/>
  <c r="F120" i="1"/>
  <c r="D120" i="1"/>
  <c r="C120" i="1"/>
  <c r="B120" i="1"/>
  <c r="F119" i="1"/>
  <c r="D119" i="1"/>
  <c r="C119" i="1"/>
  <c r="B119" i="1"/>
  <c r="F118" i="1"/>
  <c r="D118" i="1"/>
  <c r="C118" i="1"/>
  <c r="E118" i="1" s="1"/>
  <c r="B118" i="1"/>
  <c r="F117" i="1"/>
  <c r="D117" i="1"/>
  <c r="B13" i="2" s="1"/>
  <c r="C117" i="1"/>
  <c r="E117" i="1" s="1"/>
  <c r="B117" i="1"/>
  <c r="F116" i="1"/>
  <c r="D116" i="1"/>
  <c r="C116" i="1"/>
  <c r="E116" i="1" s="1"/>
  <c r="B116" i="1"/>
  <c r="F115" i="1"/>
  <c r="D115" i="1"/>
  <c r="C115" i="1"/>
  <c r="E115" i="1" s="1"/>
  <c r="B115" i="1"/>
  <c r="F114" i="1"/>
  <c r="D114" i="1"/>
  <c r="C114" i="1"/>
  <c r="B114" i="1"/>
  <c r="F113" i="1"/>
  <c r="D113" i="1"/>
  <c r="C113" i="1"/>
  <c r="E113" i="1" s="1"/>
  <c r="B113" i="1"/>
  <c r="F112" i="1"/>
  <c r="D112" i="1"/>
  <c r="C112" i="1"/>
  <c r="E112" i="1" s="1"/>
  <c r="B112" i="1"/>
  <c r="F111" i="1"/>
  <c r="D111" i="1"/>
  <c r="C111" i="1"/>
  <c r="B111" i="1"/>
  <c r="F110" i="1"/>
  <c r="D110" i="1"/>
  <c r="C110" i="1"/>
  <c r="E110" i="1" s="1"/>
  <c r="B110" i="1"/>
  <c r="F109" i="1"/>
  <c r="D109" i="1"/>
  <c r="C109" i="1"/>
  <c r="B109" i="1"/>
  <c r="F108" i="1"/>
  <c r="D108" i="1"/>
  <c r="C108" i="1"/>
  <c r="B108" i="1"/>
  <c r="F107" i="1"/>
  <c r="D107" i="1"/>
  <c r="C107" i="1"/>
  <c r="B107" i="1"/>
  <c r="F106" i="1"/>
  <c r="D106" i="1"/>
  <c r="C106" i="1"/>
  <c r="E106" i="1" s="1"/>
  <c r="B106" i="1"/>
  <c r="F105" i="1"/>
  <c r="D105" i="1"/>
  <c r="C105" i="1"/>
  <c r="E105" i="1" s="1"/>
  <c r="B105" i="1"/>
  <c r="F104" i="1"/>
  <c r="D104" i="1"/>
  <c r="C104" i="1"/>
  <c r="E104" i="1" s="1"/>
  <c r="B104" i="1"/>
  <c r="F103" i="1"/>
  <c r="D103" i="1"/>
  <c r="C103" i="1"/>
  <c r="E103" i="1" s="1"/>
  <c r="B103" i="1"/>
  <c r="F102" i="1"/>
  <c r="D102" i="1"/>
  <c r="C102" i="1"/>
  <c r="B102" i="1"/>
  <c r="F101" i="1"/>
  <c r="D101" i="1"/>
  <c r="C101" i="1"/>
  <c r="E101" i="1" s="1"/>
  <c r="B101" i="1"/>
  <c r="F100" i="1"/>
  <c r="D100" i="1"/>
  <c r="C100" i="1"/>
  <c r="E100" i="1" s="1"/>
  <c r="B100" i="1"/>
  <c r="F99" i="1"/>
  <c r="D99" i="1"/>
  <c r="C99" i="1"/>
  <c r="B99" i="1"/>
  <c r="F98" i="1"/>
  <c r="D98" i="1"/>
  <c r="C98" i="1"/>
  <c r="E98" i="1" s="1"/>
  <c r="B98" i="1"/>
  <c r="F97" i="1"/>
  <c r="D97" i="1"/>
  <c r="C97" i="1"/>
  <c r="B97" i="1"/>
  <c r="F96" i="1"/>
  <c r="D96" i="1"/>
  <c r="C96" i="1"/>
  <c r="E96" i="1" s="1"/>
  <c r="B96" i="1"/>
  <c r="F95" i="1"/>
  <c r="D95" i="1"/>
  <c r="C95" i="1"/>
  <c r="B95" i="1"/>
  <c r="F94" i="1"/>
  <c r="D94" i="1"/>
  <c r="C94" i="1"/>
  <c r="E94" i="1" s="1"/>
  <c r="B94" i="1"/>
  <c r="F93" i="1"/>
  <c r="D93" i="1"/>
  <c r="C93" i="1"/>
  <c r="E93" i="1" s="1"/>
  <c r="B93" i="1"/>
  <c r="F92" i="1"/>
  <c r="D92" i="1"/>
  <c r="C92" i="1"/>
  <c r="B92" i="1"/>
  <c r="F91" i="1"/>
  <c r="D91" i="1"/>
  <c r="C91" i="1"/>
  <c r="E91" i="1" s="1"/>
  <c r="B91" i="1"/>
  <c r="F90" i="1"/>
  <c r="D90" i="1"/>
  <c r="C90" i="1"/>
  <c r="B90" i="1"/>
  <c r="F89" i="1"/>
  <c r="D89" i="1"/>
  <c r="C89" i="1"/>
  <c r="E89" i="1" s="1"/>
  <c r="B89" i="1"/>
  <c r="F88" i="1"/>
  <c r="D88" i="1"/>
  <c r="C88" i="1"/>
  <c r="E88" i="1" s="1"/>
  <c r="B88" i="1"/>
  <c r="F87" i="1"/>
  <c r="D87" i="1"/>
  <c r="C87" i="1"/>
  <c r="B87" i="1"/>
  <c r="F86" i="1"/>
  <c r="D86" i="1"/>
  <c r="C86" i="1"/>
  <c r="E86" i="1" s="1"/>
  <c r="B86" i="1"/>
  <c r="F85" i="1"/>
  <c r="D85" i="1"/>
  <c r="C85" i="1"/>
  <c r="B85" i="1"/>
  <c r="F84" i="1"/>
  <c r="D84" i="1"/>
  <c r="C84" i="1"/>
  <c r="B84" i="1"/>
  <c r="F83" i="1"/>
  <c r="D83" i="1"/>
  <c r="C83" i="1"/>
  <c r="E83" i="1" s="1"/>
  <c r="B83" i="1"/>
  <c r="F82" i="1"/>
  <c r="D82" i="1"/>
  <c r="C82" i="1"/>
  <c r="E82" i="1" s="1"/>
  <c r="B82" i="1"/>
  <c r="F81" i="1"/>
  <c r="D81" i="1"/>
  <c r="C81" i="1"/>
  <c r="E81" i="1" s="1"/>
  <c r="B81" i="1"/>
  <c r="F80" i="1"/>
  <c r="D80" i="1"/>
  <c r="C80" i="1"/>
  <c r="E80" i="1" s="1"/>
  <c r="B80" i="1"/>
  <c r="F79" i="1"/>
  <c r="D79" i="1"/>
  <c r="C79" i="1"/>
  <c r="E79" i="1" s="1"/>
  <c r="B79" i="1"/>
  <c r="F78" i="1"/>
  <c r="D78" i="1"/>
  <c r="B10" i="2" s="1"/>
  <c r="C78" i="1"/>
  <c r="B78" i="1"/>
  <c r="F77" i="1"/>
  <c r="D77" i="1"/>
  <c r="C77" i="1"/>
  <c r="E77" i="1" s="1"/>
  <c r="B77" i="1"/>
  <c r="F76" i="1"/>
  <c r="D76" i="1"/>
  <c r="C76" i="1"/>
  <c r="E76" i="1" s="1"/>
  <c r="B76" i="1"/>
  <c r="F75" i="1"/>
  <c r="D75" i="1"/>
  <c r="C75" i="1"/>
  <c r="B75" i="1"/>
  <c r="F74" i="1"/>
  <c r="D74" i="1"/>
  <c r="C74" i="1"/>
  <c r="B74" i="1"/>
  <c r="F73" i="1"/>
  <c r="D73" i="1"/>
  <c r="C73" i="1"/>
  <c r="B73" i="1"/>
  <c r="F72" i="1"/>
  <c r="D72" i="1"/>
  <c r="B9" i="2" s="1"/>
  <c r="C72" i="1"/>
  <c r="B72" i="1"/>
  <c r="B9" i="3" s="1"/>
  <c r="F71" i="1"/>
  <c r="D71" i="1"/>
  <c r="C71" i="1"/>
  <c r="B71" i="1"/>
  <c r="F70" i="1"/>
  <c r="D70" i="1"/>
  <c r="C70" i="1"/>
  <c r="E70" i="1" s="1"/>
  <c r="B70" i="1"/>
  <c r="F69" i="1"/>
  <c r="D69" i="1"/>
  <c r="C69" i="1"/>
  <c r="E69" i="1" s="1"/>
  <c r="B69" i="1"/>
  <c r="F68" i="1"/>
  <c r="D68" i="1"/>
  <c r="C68" i="1"/>
  <c r="B68" i="1"/>
  <c r="F67" i="1"/>
  <c r="D67" i="1"/>
  <c r="C67" i="1"/>
  <c r="E67" i="1" s="1"/>
  <c r="B67" i="1"/>
  <c r="F66" i="1"/>
  <c r="D66" i="1"/>
  <c r="C66" i="1"/>
  <c r="B66" i="1"/>
  <c r="F65" i="1"/>
  <c r="D65" i="1"/>
  <c r="B8" i="2" s="1"/>
  <c r="C65" i="1"/>
  <c r="E65" i="1" s="1"/>
  <c r="B65" i="1"/>
  <c r="F64" i="1"/>
  <c r="D64" i="1"/>
  <c r="C64" i="1"/>
  <c r="E64" i="1" s="1"/>
  <c r="B64" i="1"/>
  <c r="F63" i="1"/>
  <c r="D63" i="1"/>
  <c r="C63" i="1"/>
  <c r="B63" i="1"/>
  <c r="F62" i="1"/>
  <c r="D62" i="1"/>
  <c r="C62" i="1"/>
  <c r="B62" i="1"/>
  <c r="F61" i="1"/>
  <c r="D61" i="1"/>
  <c r="C61" i="1"/>
  <c r="B61" i="1"/>
  <c r="F60" i="1"/>
  <c r="D60" i="1"/>
  <c r="C60" i="1"/>
  <c r="B60" i="1"/>
  <c r="F59" i="1"/>
  <c r="D59" i="1"/>
  <c r="C59" i="1"/>
  <c r="E59" i="1" s="1"/>
  <c r="B59" i="1"/>
  <c r="F58" i="1"/>
  <c r="D58" i="1"/>
  <c r="C58" i="1"/>
  <c r="E58" i="1" s="1"/>
  <c r="B58" i="1"/>
  <c r="F57" i="1"/>
  <c r="D57" i="1"/>
  <c r="C57" i="1"/>
  <c r="E57" i="1" s="1"/>
  <c r="B57" i="1"/>
  <c r="F56" i="1"/>
  <c r="D56" i="1"/>
  <c r="C56" i="1"/>
  <c r="E56" i="1" s="1"/>
  <c r="B56" i="1"/>
  <c r="F55" i="1"/>
  <c r="D55" i="1"/>
  <c r="C55" i="1"/>
  <c r="E55" i="1" s="1"/>
  <c r="B55" i="1"/>
  <c r="F54" i="1"/>
  <c r="D54" i="1"/>
  <c r="C54" i="1"/>
  <c r="B54" i="1"/>
  <c r="F53" i="1"/>
  <c r="D53" i="1"/>
  <c r="C53" i="1"/>
  <c r="E53" i="1" s="1"/>
  <c r="B53" i="1"/>
  <c r="F52" i="1"/>
  <c r="D52" i="1"/>
  <c r="C52" i="1"/>
  <c r="E52" i="1" s="1"/>
  <c r="B52" i="1"/>
  <c r="F51" i="1"/>
  <c r="D51" i="1"/>
  <c r="C51" i="1"/>
  <c r="B51" i="1"/>
  <c r="F50" i="1"/>
  <c r="D50" i="1"/>
  <c r="C50" i="1"/>
  <c r="B50" i="1"/>
  <c r="F49" i="1"/>
  <c r="D49" i="1"/>
  <c r="B7" i="2" s="1"/>
  <c r="C49" i="1"/>
  <c r="B49" i="1"/>
  <c r="B7" i="3" s="1"/>
  <c r="F48" i="1"/>
  <c r="D48" i="1"/>
  <c r="C48" i="1"/>
  <c r="E48" i="1" s="1"/>
  <c r="B48" i="1"/>
  <c r="F47" i="1"/>
  <c r="D47" i="1"/>
  <c r="C47" i="1"/>
  <c r="E47" i="1" s="1"/>
  <c r="B47" i="1"/>
  <c r="F46" i="1"/>
  <c r="D46" i="1"/>
  <c r="C46" i="1"/>
  <c r="E46" i="1" s="1"/>
  <c r="B46" i="1"/>
  <c r="F45" i="1"/>
  <c r="D45" i="1"/>
  <c r="C45" i="1"/>
  <c r="E45" i="1" s="1"/>
  <c r="B45" i="1"/>
  <c r="F44" i="1"/>
  <c r="D44" i="1"/>
  <c r="C44" i="1"/>
  <c r="E44" i="1" s="1"/>
  <c r="B44" i="1"/>
  <c r="F43" i="1"/>
  <c r="D43" i="1"/>
  <c r="C43" i="1"/>
  <c r="E43" i="1" s="1"/>
  <c r="B43" i="1"/>
  <c r="F42" i="1"/>
  <c r="D42" i="1"/>
  <c r="C42" i="1"/>
  <c r="B42" i="1"/>
  <c r="F41" i="1"/>
  <c r="D41" i="1"/>
  <c r="C41" i="1"/>
  <c r="E41" i="1" s="1"/>
  <c r="B41" i="1"/>
  <c r="F40" i="1"/>
  <c r="D40" i="1"/>
  <c r="C40" i="1"/>
  <c r="E40" i="1" s="1"/>
  <c r="B40" i="1"/>
  <c r="F39" i="1"/>
  <c r="D39" i="1"/>
  <c r="C39" i="1"/>
  <c r="B39" i="1"/>
  <c r="F38" i="1"/>
  <c r="D38" i="1"/>
  <c r="C38" i="1"/>
  <c r="B38" i="1"/>
  <c r="F37" i="1"/>
  <c r="D37" i="1"/>
  <c r="C37" i="1"/>
  <c r="B37" i="1"/>
  <c r="F36" i="1"/>
  <c r="D36" i="1"/>
  <c r="C36" i="1"/>
  <c r="B36" i="1"/>
  <c r="F35" i="1"/>
  <c r="D35" i="1"/>
  <c r="C35" i="1"/>
  <c r="B35" i="1"/>
  <c r="F34" i="1"/>
  <c r="D34" i="1"/>
  <c r="C34" i="1"/>
  <c r="E34" i="1" s="1"/>
  <c r="B34" i="1"/>
  <c r="F33" i="1"/>
  <c r="D33" i="1"/>
  <c r="C33" i="1"/>
  <c r="E33" i="1" s="1"/>
  <c r="B33" i="1"/>
  <c r="F32" i="1"/>
  <c r="D32" i="1"/>
  <c r="C32" i="1"/>
  <c r="B32" i="1"/>
  <c r="F31" i="1"/>
  <c r="D31" i="1"/>
  <c r="C31" i="1"/>
  <c r="E31" i="1" s="1"/>
  <c r="B31" i="1"/>
  <c r="F30" i="1"/>
  <c r="D30" i="1"/>
  <c r="C30" i="1"/>
  <c r="B30" i="1"/>
  <c r="F29" i="1"/>
  <c r="D29" i="1"/>
  <c r="C29" i="1"/>
  <c r="E29" i="1" s="1"/>
  <c r="B29" i="1"/>
  <c r="F28" i="1"/>
  <c r="D28" i="1"/>
  <c r="C28" i="1"/>
  <c r="E28" i="1" s="1"/>
  <c r="B28" i="1"/>
  <c r="F27" i="1"/>
  <c r="D27" i="1"/>
  <c r="C27" i="1"/>
  <c r="B27" i="1"/>
  <c r="F26" i="1"/>
  <c r="D26" i="1"/>
  <c r="C26" i="1"/>
  <c r="E26" i="1" s="1"/>
  <c r="B26" i="1"/>
  <c r="F25" i="1"/>
  <c r="D25" i="1"/>
  <c r="C25" i="1"/>
  <c r="B25" i="1"/>
  <c r="F24" i="1"/>
  <c r="D24" i="1"/>
  <c r="C24" i="1"/>
  <c r="B24" i="1"/>
  <c r="F23" i="1"/>
  <c r="D23" i="1"/>
  <c r="C23" i="1"/>
  <c r="E23" i="1" s="1"/>
  <c r="B23" i="1"/>
  <c r="F22" i="1"/>
  <c r="D22" i="1"/>
  <c r="C22" i="1"/>
  <c r="B22" i="1"/>
  <c r="F21" i="1"/>
  <c r="D21" i="1"/>
  <c r="C21" i="1"/>
  <c r="E21" i="1" s="1"/>
  <c r="B21" i="1"/>
  <c r="F20" i="1"/>
  <c r="D20" i="1"/>
  <c r="C20" i="1"/>
  <c r="E20" i="1" s="1"/>
  <c r="B20" i="1"/>
  <c r="F19" i="1"/>
  <c r="D19" i="1"/>
  <c r="C19" i="1"/>
  <c r="E19" i="1" s="1"/>
  <c r="B19" i="1"/>
  <c r="F18" i="1"/>
  <c r="D18" i="1"/>
  <c r="C18" i="1"/>
  <c r="B18" i="1"/>
  <c r="F17" i="1"/>
  <c r="D17" i="1"/>
  <c r="C17" i="1"/>
  <c r="E17" i="1" s="1"/>
  <c r="B17" i="1"/>
  <c r="F16" i="1"/>
  <c r="D16" i="1"/>
  <c r="C16" i="1"/>
  <c r="E16" i="1" s="1"/>
  <c r="B16" i="1"/>
  <c r="F15" i="1"/>
  <c r="D15" i="1"/>
  <c r="B6" i="2" s="1"/>
  <c r="C15" i="1"/>
  <c r="B15" i="1"/>
  <c r="B6" i="3" s="1"/>
  <c r="F14" i="1"/>
  <c r="D14" i="1"/>
  <c r="C14" i="1"/>
  <c r="E14" i="1" s="1"/>
  <c r="B14" i="1"/>
  <c r="F13" i="1"/>
  <c r="D13" i="1"/>
  <c r="C13" i="1"/>
  <c r="B13" i="1"/>
  <c r="F12" i="1"/>
  <c r="D12" i="1"/>
  <c r="C12" i="1"/>
  <c r="B12" i="1"/>
  <c r="F11" i="1"/>
  <c r="D11" i="1"/>
  <c r="C11" i="1"/>
  <c r="E11" i="1" s="1"/>
  <c r="B11" i="1"/>
  <c r="F10" i="1"/>
  <c r="D10" i="1"/>
  <c r="B5" i="2" s="1"/>
  <c r="C10" i="1"/>
  <c r="E10" i="1" s="1"/>
  <c r="B10" i="1"/>
  <c r="F9" i="1"/>
  <c r="D9" i="1"/>
  <c r="C9" i="1"/>
  <c r="E9" i="1" s="1"/>
  <c r="B9" i="1"/>
  <c r="F8" i="1"/>
  <c r="D8" i="1"/>
  <c r="B14" i="2" s="1"/>
  <c r="C8" i="1"/>
  <c r="E8" i="1" s="1"/>
  <c r="B8" i="1"/>
  <c r="F7" i="1"/>
  <c r="D7" i="1"/>
  <c r="B4" i="2" s="1"/>
  <c r="C7" i="1"/>
  <c r="E7" i="1" s="1"/>
  <c r="B7" i="1"/>
  <c r="B4" i="3" s="1"/>
  <c r="F6" i="1"/>
  <c r="D6" i="1"/>
  <c r="C6" i="1"/>
  <c r="B6" i="1"/>
  <c r="F5" i="1"/>
  <c r="D5" i="1"/>
  <c r="C5" i="1"/>
  <c r="E5" i="1" s="1"/>
  <c r="B5" i="1"/>
  <c r="F4" i="1"/>
  <c r="D4" i="1"/>
  <c r="C4" i="1"/>
  <c r="E4" i="1" s="1"/>
  <c r="B4" i="1"/>
  <c r="F3" i="1"/>
  <c r="D3" i="1"/>
  <c r="C3" i="1"/>
  <c r="B3" i="1"/>
  <c r="F2" i="1"/>
  <c r="D2" i="1"/>
  <c r="C2" i="1"/>
  <c r="B2" i="1"/>
  <c r="G130" i="1" l="1"/>
  <c r="H133" i="1"/>
  <c r="G122" i="1"/>
  <c r="G131" i="1"/>
  <c r="H137" i="1"/>
  <c r="H12" i="1"/>
  <c r="H32" i="1"/>
  <c r="H98" i="1"/>
  <c r="G107" i="1"/>
  <c r="H5" i="1"/>
  <c r="E12" i="1"/>
  <c r="H120" i="1"/>
  <c r="H126" i="1"/>
  <c r="H132" i="1"/>
  <c r="H135" i="1"/>
  <c r="G80" i="1"/>
  <c r="G58" i="1"/>
  <c r="G67" i="1"/>
  <c r="G38" i="1"/>
  <c r="H47" i="1"/>
  <c r="H92" i="1"/>
  <c r="G62" i="1"/>
  <c r="G24" i="1"/>
  <c r="H60" i="1"/>
  <c r="G63" i="1"/>
  <c r="H78" i="1"/>
  <c r="H110" i="1"/>
  <c r="H39" i="1"/>
  <c r="G104" i="1"/>
  <c r="H116" i="1"/>
  <c r="H37" i="1"/>
  <c r="H49" i="1"/>
  <c r="G19" i="1"/>
  <c r="G96" i="1"/>
  <c r="G110" i="1"/>
  <c r="H113" i="1"/>
  <c r="H2" i="1"/>
  <c r="H8" i="1"/>
  <c r="H68" i="1"/>
  <c r="H71" i="1"/>
  <c r="G74" i="1"/>
  <c r="H82" i="1"/>
  <c r="G46" i="1"/>
  <c r="G43" i="1"/>
  <c r="H11" i="1"/>
  <c r="G14" i="1"/>
  <c r="H20" i="1"/>
  <c r="G27" i="1"/>
  <c r="H118" i="1"/>
  <c r="H15" i="1"/>
  <c r="H53" i="1"/>
  <c r="G84" i="1"/>
  <c r="H122" i="1"/>
  <c r="H99" i="1"/>
  <c r="H18" i="1"/>
  <c r="H23" i="1"/>
  <c r="H34" i="1"/>
  <c r="H54" i="1"/>
  <c r="H73" i="1"/>
  <c r="H75" i="1"/>
  <c r="G83" i="1"/>
  <c r="H94" i="1"/>
  <c r="G118" i="1"/>
  <c r="H10" i="1"/>
  <c r="G29" i="1"/>
  <c r="H35" i="1"/>
  <c r="G48" i="1"/>
  <c r="G59" i="1"/>
  <c r="G89" i="1"/>
  <c r="H95" i="1"/>
  <c r="H119" i="1"/>
  <c r="H29" i="1"/>
  <c r="G87" i="1"/>
  <c r="H89" i="1"/>
  <c r="G108" i="1"/>
  <c r="H114" i="1"/>
  <c r="G68" i="1"/>
  <c r="G103" i="1"/>
  <c r="E119" i="1"/>
  <c r="C4" i="4"/>
  <c r="G22" i="1"/>
  <c r="H109" i="1"/>
  <c r="G127" i="1"/>
  <c r="H6" i="1"/>
  <c r="H25" i="1"/>
  <c r="H36" i="1"/>
  <c r="G44" i="1"/>
  <c r="G71" i="1"/>
  <c r="E74" i="1"/>
  <c r="G82" i="1"/>
  <c r="H85" i="1"/>
  <c r="G98" i="1"/>
  <c r="G106" i="1"/>
  <c r="H130" i="1"/>
  <c r="H22" i="1"/>
  <c r="G47" i="1"/>
  <c r="H50" i="1"/>
  <c r="H56" i="1"/>
  <c r="H58" i="1"/>
  <c r="H72" i="1"/>
  <c r="H107" i="1"/>
  <c r="H134" i="1"/>
  <c r="E120" i="1"/>
  <c r="G128" i="1"/>
  <c r="H26" i="1"/>
  <c r="H70" i="1"/>
  <c r="H86" i="1"/>
  <c r="G15" i="1"/>
  <c r="G5" i="1"/>
  <c r="G23" i="1"/>
  <c r="H42" i="1"/>
  <c r="H46" i="1"/>
  <c r="G51" i="1"/>
  <c r="G53" i="1"/>
  <c r="H102" i="1"/>
  <c r="H106" i="1"/>
  <c r="G111" i="1"/>
  <c r="G113" i="1"/>
  <c r="G3" i="1"/>
  <c r="E35" i="1"/>
  <c r="E60" i="1"/>
  <c r="E95" i="1"/>
  <c r="E134" i="1"/>
  <c r="H3" i="1"/>
  <c r="G12" i="1"/>
  <c r="E22" i="1"/>
  <c r="H24" i="1"/>
  <c r="G35" i="1"/>
  <c r="H38" i="1"/>
  <c r="H51" i="1"/>
  <c r="H65" i="1"/>
  <c r="E72" i="1"/>
  <c r="H84" i="1"/>
  <c r="G95" i="1"/>
  <c r="H111" i="1"/>
  <c r="G120" i="1"/>
  <c r="G125" i="1"/>
  <c r="H128" i="1"/>
  <c r="E130" i="1"/>
  <c r="G134" i="1"/>
  <c r="G10" i="1"/>
  <c r="G79" i="1"/>
  <c r="H17" i="1"/>
  <c r="G26" i="1"/>
  <c r="G31" i="1"/>
  <c r="G56" i="1"/>
  <c r="H61" i="1"/>
  <c r="E68" i="1"/>
  <c r="G70" i="1"/>
  <c r="G72" i="1"/>
  <c r="G75" i="1"/>
  <c r="G77" i="1"/>
  <c r="H80" i="1"/>
  <c r="G86" i="1"/>
  <c r="G91" i="1"/>
  <c r="E107" i="1"/>
  <c r="G116" i="1"/>
  <c r="H123" i="1"/>
  <c r="H125" i="1"/>
  <c r="E132" i="1"/>
  <c r="G60" i="1"/>
  <c r="G65" i="1"/>
  <c r="G17" i="1"/>
  <c r="G8" i="1"/>
  <c r="H13" i="1"/>
  <c r="E24" i="1"/>
  <c r="E38" i="1"/>
  <c r="H59" i="1"/>
  <c r="H63" i="1"/>
  <c r="H66" i="1"/>
  <c r="H77" i="1"/>
  <c r="E84" i="1"/>
  <c r="H96" i="1"/>
  <c r="H121" i="1"/>
  <c r="E128" i="1"/>
  <c r="G132" i="1"/>
  <c r="G137" i="1"/>
  <c r="C3" i="4"/>
  <c r="G20" i="1"/>
  <c r="E32" i="1"/>
  <c r="G34" i="1"/>
  <c r="E36" i="1"/>
  <c r="E50" i="1"/>
  <c r="H62" i="1"/>
  <c r="E92" i="1"/>
  <c r="G94" i="1"/>
  <c r="H108" i="1"/>
  <c r="H131" i="1"/>
  <c r="E2" i="1"/>
  <c r="H14" i="1"/>
  <c r="H27" i="1"/>
  <c r="H30" i="1"/>
  <c r="G36" i="1"/>
  <c r="G39" i="1"/>
  <c r="G41" i="1"/>
  <c r="H44" i="1"/>
  <c r="H48" i="1"/>
  <c r="E71" i="1"/>
  <c r="H83" i="1"/>
  <c r="H87" i="1"/>
  <c r="H90" i="1"/>
  <c r="G99" i="1"/>
  <c r="G101" i="1"/>
  <c r="H104" i="1"/>
  <c r="G119" i="1"/>
  <c r="G11" i="1"/>
  <c r="G2" i="1"/>
  <c r="G7" i="1"/>
  <c r="G32" i="1"/>
  <c r="H41" i="1"/>
  <c r="G50" i="1"/>
  <c r="G55" i="1"/>
  <c r="E62" i="1"/>
  <c r="H74" i="1"/>
  <c r="G92" i="1"/>
  <c r="H97" i="1"/>
  <c r="H101" i="1"/>
  <c r="E108" i="1"/>
  <c r="G115" i="1"/>
  <c r="E131" i="1"/>
  <c r="G4" i="1"/>
  <c r="E6" i="1"/>
  <c r="H9" i="1"/>
  <c r="G16" i="1"/>
  <c r="E18" i="1"/>
  <c r="H21" i="1"/>
  <c r="G28" i="1"/>
  <c r="E30" i="1"/>
  <c r="H33" i="1"/>
  <c r="G40" i="1"/>
  <c r="E42" i="1"/>
  <c r="H45" i="1"/>
  <c r="G52" i="1"/>
  <c r="E54" i="1"/>
  <c r="H57" i="1"/>
  <c r="G64" i="1"/>
  <c r="E66" i="1"/>
  <c r="H69" i="1"/>
  <c r="G76" i="1"/>
  <c r="E78" i="1"/>
  <c r="H81" i="1"/>
  <c r="G88" i="1"/>
  <c r="E90" i="1"/>
  <c r="H93" i="1"/>
  <c r="G100" i="1"/>
  <c r="E102" i="1"/>
  <c r="H105" i="1"/>
  <c r="G112" i="1"/>
  <c r="E114" i="1"/>
  <c r="H117" i="1"/>
  <c r="G124" i="1"/>
  <c r="E126" i="1"/>
  <c r="H129" i="1"/>
  <c r="G136" i="1"/>
  <c r="G9" i="1"/>
  <c r="G21" i="1"/>
  <c r="G69" i="1"/>
  <c r="G81" i="1"/>
  <c r="G93" i="1"/>
  <c r="G105" i="1"/>
  <c r="G117" i="1"/>
  <c r="G129" i="1"/>
  <c r="H4" i="1"/>
  <c r="E13" i="1"/>
  <c r="H16" i="1"/>
  <c r="E25" i="1"/>
  <c r="H28" i="1"/>
  <c r="E37" i="1"/>
  <c r="H40" i="1"/>
  <c r="E49" i="1"/>
  <c r="H52" i="1"/>
  <c r="E61" i="1"/>
  <c r="H64" i="1"/>
  <c r="E73" i="1"/>
  <c r="H76" i="1"/>
  <c r="E85" i="1"/>
  <c r="H88" i="1"/>
  <c r="E97" i="1"/>
  <c r="H100" i="1"/>
  <c r="E109" i="1"/>
  <c r="H112" i="1"/>
  <c r="E121" i="1"/>
  <c r="H124" i="1"/>
  <c r="E133" i="1"/>
  <c r="H136" i="1"/>
  <c r="H19" i="1"/>
  <c r="H43" i="1"/>
  <c r="H67" i="1"/>
  <c r="G33" i="1"/>
  <c r="G45" i="1"/>
  <c r="G57" i="1"/>
  <c r="G6" i="1"/>
  <c r="G18" i="1"/>
  <c r="G30" i="1"/>
  <c r="G42" i="1"/>
  <c r="G66" i="1"/>
  <c r="G78" i="1"/>
  <c r="G90" i="1"/>
  <c r="G102" i="1"/>
  <c r="G114" i="1"/>
  <c r="G126" i="1"/>
  <c r="H31" i="1"/>
  <c r="H55" i="1"/>
  <c r="G54" i="1"/>
  <c r="E3" i="1"/>
  <c r="G13" i="1"/>
  <c r="E15" i="1"/>
  <c r="G25" i="1"/>
  <c r="E27" i="1"/>
  <c r="G37" i="1"/>
  <c r="E39" i="1"/>
  <c r="G49" i="1"/>
  <c r="E51" i="1"/>
  <c r="G61" i="1"/>
  <c r="E63" i="1"/>
  <c r="G73" i="1"/>
  <c r="E75" i="1"/>
  <c r="G85" i="1"/>
  <c r="E87" i="1"/>
  <c r="G97" i="1"/>
  <c r="E99" i="1"/>
  <c r="G109" i="1"/>
  <c r="E111" i="1"/>
  <c r="G121" i="1"/>
  <c r="E123" i="1"/>
  <c r="G133" i="1"/>
  <c r="E135" i="1"/>
  <c r="B11" i="2"/>
  <c r="H79" i="1"/>
  <c r="H91" i="1"/>
  <c r="H103" i="1"/>
  <c r="H115" i="1"/>
  <c r="H127" i="1"/>
  <c r="G123" i="1"/>
  <c r="G135" i="1"/>
  <c r="B12" i="2"/>
  <c r="H7" i="1"/>
  <c r="C5" i="4" l="1"/>
  <c r="G4" i="4"/>
  <c r="D3" i="4"/>
  <c r="E3" i="4" s="1"/>
  <c r="F3" i="4"/>
  <c r="F4" i="4"/>
  <c r="G3" i="4"/>
  <c r="D4" i="4"/>
  <c r="M4" i="4" l="1"/>
  <c r="E4" i="4"/>
  <c r="J3" i="4"/>
  <c r="G5" i="4"/>
  <c r="I3" i="4"/>
  <c r="H3" i="4"/>
  <c r="K3" i="4" s="1"/>
  <c r="F5" i="4"/>
  <c r="L3" i="4"/>
  <c r="I4" i="4"/>
  <c r="H4" i="4"/>
  <c r="L4" i="4"/>
  <c r="M3" i="4"/>
  <c r="D5" i="4"/>
  <c r="E5" i="4" s="1"/>
  <c r="J4" i="4"/>
  <c r="M5" i="4" l="1"/>
  <c r="I5" i="4"/>
  <c r="N4" i="4"/>
  <c r="H5" i="4"/>
  <c r="J5" i="4"/>
  <c r="K4" i="4"/>
  <c r="K5" i="4" s="1"/>
  <c r="N3" i="4"/>
  <c r="L5" i="4"/>
  <c r="N5" i="4" l="1"/>
</calcChain>
</file>

<file path=xl/sharedStrings.xml><?xml version="1.0" encoding="utf-8"?>
<sst xmlns="http://schemas.openxmlformats.org/spreadsheetml/2006/main" count="373" uniqueCount="151">
  <si>
    <t>ID</t>
  </si>
  <si>
    <t>Reference</t>
  </si>
  <si>
    <t>Included</t>
  </si>
  <si>
    <t>Rater 1</t>
  </si>
  <si>
    <t>#Exp</t>
  </si>
  <si>
    <t>Overlap</t>
  </si>
  <si>
    <t>Rater 2</t>
  </si>
  <si>
    <t>#Exp 2</t>
  </si>
  <si>
    <t>Comments</t>
  </si>
  <si>
    <t>Paper-ID</t>
  </si>
  <si>
    <t>Extractor</t>
  </si>
  <si>
    <t>Variables</t>
  </si>
  <si>
    <t>Subjects</t>
  </si>
  <si>
    <t>Analysis</t>
  </si>
  <si>
    <t>Material</t>
  </si>
  <si>
    <t>Comment</t>
  </si>
  <si>
    <t>Factors</t>
  </si>
  <si>
    <t>Response Variables</t>
  </si>
  <si>
    <t>Subject- Number</t>
  </si>
  <si>
    <t>Type</t>
  </si>
  <si>
    <t>Method</t>
  </si>
  <si>
    <t>Test Type</t>
  </si>
  <si>
    <t>Threats to Validity</t>
  </si>
  <si>
    <t>Data</t>
  </si>
  <si>
    <t>Factor-Constructs</t>
  </si>
  <si>
    <t>Factor-Measurement</t>
  </si>
  <si>
    <t>Response-Constructs</t>
  </si>
  <si>
    <t>Response-Measurement</t>
  </si>
  <si>
    <t>Period</t>
  </si>
  <si>
    <t>Sequence</t>
  </si>
  <si>
    <t>Skill</t>
  </si>
  <si>
    <t>Carryover</t>
  </si>
  <si>
    <t>Availability</t>
  </si>
  <si>
    <t>URL</t>
  </si>
  <si>
    <t xml:space="preserve">business process model </t>
  </si>
  <si>
    <t>[textual; visual]</t>
  </si>
  <si>
    <t>identification of user storie
understading execution order
integration dependencies</t>
  </si>
  <si>
    <t>Identification_sum
ExecOrder_sum 
Integration_sum
(see table 6)</t>
  </si>
  <si>
    <t>NA</t>
  </si>
  <si>
    <t>Students</t>
  </si>
  <si>
    <t>NHST</t>
  </si>
  <si>
    <t>Mann-Whitney U</t>
  </si>
  <si>
    <t>Acknowledged</t>
  </si>
  <si>
    <t>Ignored</t>
  </si>
  <si>
    <t>Unavailable</t>
  </si>
  <si>
    <t>Adherence to REST API design rules; being from Germany; being from academia (vs. industry); being a student, being an API developer / designer, years of professional experience with REST, having knowledge of the Richardson maturity model, and the preferred minimal maturity level</t>
  </si>
  <si>
    <t>[rule; violation]; [?]; [API user/client developer; API developer/designer; both]; #years of professional experience with REST; [?]; [?]</t>
  </si>
  <si>
    <t>Understandability; Perceived difficulty</t>
  </si>
  <si>
    <t>Timed Actual Understandability; 5-point ordinal scale</t>
  </si>
  <si>
    <t>Both</t>
  </si>
  <si>
    <t>Archived</t>
  </si>
  <si>
    <t>https://zenodo.org/records/8100380</t>
  </si>
  <si>
    <t>Testing approach</t>
  </si>
  <si>
    <t>[TDD; TLD]</t>
  </si>
  <si>
    <t>testing effort
external quality
productivity</t>
  </si>
  <si>
    <t xml:space="preserve">number of Junit assert statements
passing asserts of acceptance test suite of tackled user stories
percentage of assert statements in the acceptance test suite passed
</t>
  </si>
  <si>
    <t>Kruskal-Wallis</t>
  </si>
  <si>
    <t>Isolation</t>
  </si>
  <si>
    <t>the point of having a replication with repeated measures was to reduce the effect of skills. I am not sure what to select in this case.</t>
  </si>
  <si>
    <t>[TDD; ITL]</t>
  </si>
  <si>
    <t>quality (functional correctness)</t>
  </si>
  <si>
    <t>he proportion of passing assert statements (#assert(pass)) over the total number of assert statements (#assert(all)).</t>
  </si>
  <si>
    <t>Other</t>
  </si>
  <si>
    <t>GUI test specification approach/technique</t>
  </si>
  <si>
    <t>[Slang; JBehave]</t>
  </si>
  <si>
    <t>efficiency</t>
  </si>
  <si>
    <t>"time per test case was accumulated per participant and divided by the number of fully and correctly specified test cases to compute the average time per test case"</t>
  </si>
  <si>
    <t>GLMM</t>
  </si>
  <si>
    <t>Parameter</t>
  </si>
  <si>
    <t>Reachable</t>
  </si>
  <si>
    <t>https://www.dropbox.com/scl/fo/jp4qi7xgiamxb5z45ggjl/ACK1ECptEMJ0UN0C3a4JqV8?rlkey=w4lnd0007dlzvv29mv7oifpe3&amp;e=1&amp;dl=0</t>
  </si>
  <si>
    <t>Tool version</t>
  </si>
  <si>
    <t>[tab;panels]</t>
  </si>
  <si>
    <t>task performance;Usability</t>
  </si>
  <si>
    <t>bugs found:time;SUS:UEQ</t>
  </si>
  <si>
    <t>Wilcoxon signed-rank</t>
  </si>
  <si>
    <t>Test migration process</t>
  </si>
  <si>
    <t>[manual; tool]</t>
  </si>
  <si>
    <t>efficiency;test code quality</t>
  </si>
  <si>
    <t>time required for migration;valid test rate</t>
  </si>
  <si>
    <t>Unknown</t>
  </si>
  <si>
    <t>https://fh-muenster.sciebo.de/s/6ZEmMeo6Quh6vaH</t>
  </si>
  <si>
    <t>Not really a test at all: the manuscript only compares the mean values of the two response variables</t>
  </si>
  <si>
    <t>Modelling tool</t>
  </si>
  <si>
    <t>[SOCIO chatbot; Creately web tool]</t>
  </si>
  <si>
    <t>efficiency;effectiveness;satisfaction</t>
  </si>
  <si>
    <t>speed (time taken to complete the task) and fluency (number of discussion messages exchanged between teammates); completeness (comparison to gold standard); SUS questionnaire</t>
  </si>
  <si>
    <t>Broken</t>
  </si>
  <si>
    <t>https://bit.ly/34v7OTs</t>
  </si>
  <si>
    <t>"We chose a crossover design to avoid the influence of the period on the treatment and assure that there was no learning effect between the two periods". The authors perform a IDP meta-analysis with the experiment as an individual factor.</t>
  </si>
  <si>
    <t>Representation format of business use cases</t>
  </si>
  <si>
    <t>[textual use case; BPMN]</t>
  </si>
  <si>
    <t>Comprehending; Identifying user stories; Identifying execution order; Integrating; Recalling</t>
  </si>
  <si>
    <t>Quiz result + correct insertions; Identification_EQUALus (# corectly defined use stories); Identification_ABSTRus &amp; ExecOrder_EQUALus (correct number of insertions, correct pair of user stories and correct radio button, correct radio button and checkbox) &amp; ExecOrder_ABSTRus; Integration_EQUALus (quiz) &amp; Integration_ABSTRus (quiz + correct insertion of user story code); correct insertion in the blank gap</t>
  </si>
  <si>
    <t>Unknown subject number, but they report to have collected 130 completed workbooks</t>
  </si>
  <si>
    <t>dju</t>
  </si>
  <si>
    <t>API design rules</t>
  </si>
  <si>
    <t>[API snippet violating design rules;API snippe adhering to design rules]</t>
  </si>
  <si>
    <t>understandability;perceived difficulty</t>
  </si>
  <si>
    <t>TimeActualUnderstandability;5-point Likert item</t>
  </si>
  <si>
    <t>Development approach</t>
  </si>
  <si>
    <t>Testing effort;external code quality;productivity</t>
  </si>
  <si>
    <t>number of JUnit assert statements within the test suite;acceptance test suite;acceptance test suite</t>
  </si>
  <si>
    <t>The authors claim that the use of differen material in the two periods "not only removes within participants variance, but also controls for
learning effects, as the participants do not apply the the
treatments to the same task." However, this does not remove the TtV of *learning the task* (i.e., getting better at writing test cases).</t>
  </si>
  <si>
    <t>functional correctness</t>
  </si>
  <si>
    <t>acceptance test suite</t>
  </si>
  <si>
    <t>They call their method a "Linear Marginal Model" (LMM) ut describe it as "LMMs are linear models in which the residuals are not assumed to be independent of each other or have constant variance", which are GLMMs. The authors acknowledge a "training leakage effect", which sounds like the period threat.</t>
  </si>
  <si>
    <t>BDD DSL</t>
  </si>
  <si>
    <t>JBehave;Slang</t>
  </si>
  <si>
    <t>time for correctly specified test case</t>
  </si>
  <si>
    <t>[Tab version; Panel version]</t>
  </si>
  <si>
    <t>accuracy;task time</t>
  </si>
  <si>
    <t>BPM migration</t>
  </si>
  <si>
    <t>with tool;manually</t>
  </si>
  <si>
    <t>productivity;test quality;usability</t>
  </si>
  <si>
    <t>time required;valid test rate;likert item</t>
  </si>
  <si>
    <t>Class diagram tool</t>
  </si>
  <si>
    <t>SOCIO;Cretely</t>
  </si>
  <si>
    <t>speed&amp;fluency;completeness;satisfaction</t>
  </si>
  <si>
    <t>???</t>
  </si>
  <si>
    <t>https://www.dropbox.com/sh/f0kbsf48yp2kqpc/AABu-29kDs9iIxci-0KaqDl4a?dl=0</t>
  </si>
  <si>
    <t>Acronym</t>
  </si>
  <si>
    <t>Rater</t>
  </si>
  <si>
    <t>Assignment</t>
  </si>
  <si>
    <t>Completed</t>
  </si>
  <si>
    <t>Percent</t>
  </si>
  <si>
    <t>Remaining</t>
  </si>
  <si>
    <t>Study</t>
  </si>
  <si>
    <t>Total</t>
  </si>
  <si>
    <t>jfr</t>
  </si>
  <si>
    <t>Julian Frattini</t>
  </si>
  <si>
    <t>dfu</t>
  </si>
  <si>
    <t>Davide Fucci</t>
  </si>
  <si>
    <t>Description</t>
  </si>
  <si>
    <t>#</t>
  </si>
  <si>
    <t>Practitioners</t>
  </si>
  <si>
    <t>Code</t>
  </si>
  <si>
    <t>Null-hypothesis significance test</t>
  </si>
  <si>
    <t>One- or two-tailed test of statistically significant difference in the distribution of the response variable stratified by the levels of the main factor</t>
  </si>
  <si>
    <t>GLM</t>
  </si>
  <si>
    <t>Generalized Linear Model</t>
  </si>
  <si>
    <t>Fixed-effects linear model, based on the maximum likelihood theory of independent observations</t>
  </si>
  <si>
    <t>Generalized Linear Mixed Model</t>
  </si>
  <si>
    <t>GLM, including random effects</t>
  </si>
  <si>
    <t>GEE</t>
  </si>
  <si>
    <t>Generalized Estimating Equation</t>
  </si>
  <si>
    <t>Parameter estimation of a GLM with a possibly unmeasured correlation based on quasi-likelihood theory with no assumption about the distribution of the response variable [2].</t>
  </si>
  <si>
    <t>Any other method</t>
  </si>
  <si>
    <t>Method not mentioned</t>
  </si>
  <si>
    <t>Unpaired T</t>
  </si>
  <si>
    <t>Paired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</si>
</sst>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0"/>
      <color rgb="FF000000"/>
      <name val="Arial"/>
      <scheme val="minor"/>
    </font>
    <font>
      <b/>
      <sz val="10"/>
      <color rgb="FFFFFFFF"/>
      <name val="Arial"/>
      <scheme val="minor"/>
    </font>
    <font>
      <sz val="10"/>
      <color theme="1"/>
      <name val="Arial"/>
      <scheme val="minor"/>
    </font>
    <font>
      <u/>
      <sz val="10"/>
      <color rgb="FF0000FF"/>
      <name val="Arial"/>
    </font>
    <font>
      <u/>
      <sz val="10"/>
      <color rgb="FF0000FF"/>
      <name val="Arial"/>
    </font>
    <font>
      <u/>
      <sz val="10"/>
      <color rgb="FF0000FF"/>
      <name val="Arial"/>
    </font>
    <font>
      <b/>
      <sz val="10"/>
      <color rgb="FFFFFFFF"/>
      <name val="Arial"/>
    </font>
    <font>
      <b/>
      <sz val="10"/>
      <color theme="1"/>
      <name val="Arial"/>
    </font>
    <font>
      <sz val="10"/>
      <color theme="1"/>
      <name val="Arial"/>
    </font>
    <font>
      <b/>
      <sz val="10"/>
      <color theme="1"/>
      <name val="Arial"/>
      <scheme val="minor"/>
    </font>
  </fonts>
  <fills count="5">
    <fill>
      <patternFill patternType="none"/>
    </fill>
    <fill>
      <patternFill patternType="gray125"/>
    </fill>
    <fill>
      <patternFill patternType="solid">
        <fgColor rgb="FF666666"/>
        <bgColor rgb="FF666666"/>
      </patternFill>
    </fill>
    <fill>
      <patternFill patternType="solid">
        <fgColor rgb="FFF4CCCC"/>
        <bgColor rgb="FFF4CCCC"/>
      </patternFill>
    </fill>
    <fill>
      <patternFill patternType="solid">
        <fgColor rgb="FFFCE5CD"/>
        <bgColor rgb="FFFCE5CD"/>
      </patternFill>
    </fill>
  </fills>
  <borders count="5">
    <border>
      <left/>
      <right/>
      <top/>
      <bottom/>
      <diagonal/>
    </border>
    <border>
      <left style="thin">
        <color rgb="FF000000"/>
      </left>
      <right/>
      <top/>
      <bottom/>
      <diagonal/>
    </border>
    <border>
      <left/>
      <right style="thin">
        <color rgb="FF000000"/>
      </right>
      <top/>
      <bottom/>
      <diagonal/>
    </border>
    <border>
      <left/>
      <right style="dotted">
        <color rgb="FF000000"/>
      </right>
      <top/>
      <bottom/>
      <diagonal/>
    </border>
    <border>
      <left style="dotted">
        <color rgb="FF000000"/>
      </left>
      <right/>
      <top/>
      <bottom/>
      <diagonal/>
    </border>
  </borders>
  <cellStyleXfs count="1">
    <xf numFmtId="0" fontId="0" fillId="0" borderId="0"/>
  </cellStyleXfs>
  <cellXfs count="44">
    <xf numFmtId="0" fontId="0" fillId="0" borderId="0" xfId="0"/>
    <xf numFmtId="0" fontId="1" fillId="2" borderId="0" xfId="0" applyFont="1" applyFill="1"/>
    <xf numFmtId="0" fontId="1" fillId="2" borderId="0" xfId="0" applyFont="1" applyFill="1" applyAlignment="1">
      <alignment wrapText="1"/>
    </xf>
    <xf numFmtId="0" fontId="1" fillId="2" borderId="1" xfId="0" applyFont="1" applyFill="1" applyBorder="1"/>
    <xf numFmtId="0" fontId="1" fillId="2" borderId="2" xfId="0" applyFont="1" applyFill="1" applyBorder="1"/>
    <xf numFmtId="0" fontId="2" fillId="0" borderId="0" xfId="0" applyFont="1"/>
    <xf numFmtId="0" fontId="2" fillId="0" borderId="0" xfId="0" applyFont="1" applyAlignment="1">
      <alignment wrapText="1"/>
    </xf>
    <xf numFmtId="0" fontId="2" fillId="0" borderId="1" xfId="0" applyFont="1" applyBorder="1"/>
    <xf numFmtId="0" fontId="2" fillId="0" borderId="2" xfId="0" applyFont="1" applyBorder="1"/>
    <xf numFmtId="0" fontId="1" fillId="2" borderId="3" xfId="0" applyFont="1" applyFill="1" applyBorder="1"/>
    <xf numFmtId="0" fontId="1" fillId="2" borderId="3" xfId="0" applyFont="1" applyFill="1" applyBorder="1" applyAlignment="1">
      <alignment wrapText="1"/>
    </xf>
    <xf numFmtId="0" fontId="1" fillId="2" borderId="2" xfId="0" applyFont="1" applyFill="1" applyBorder="1" applyAlignment="1">
      <alignment wrapText="1"/>
    </xf>
    <xf numFmtId="0" fontId="2" fillId="0" borderId="3" xfId="0" applyFont="1" applyBorder="1" applyAlignment="1">
      <alignment wrapText="1"/>
    </xf>
    <xf numFmtId="0" fontId="2" fillId="0" borderId="2" xfId="0" applyFont="1" applyBorder="1" applyAlignment="1">
      <alignment wrapText="1"/>
    </xf>
    <xf numFmtId="0" fontId="2" fillId="0" borderId="3" xfId="0" applyFont="1" applyBorder="1"/>
    <xf numFmtId="0" fontId="3" fillId="0" borderId="3" xfId="0" applyFont="1" applyBorder="1" applyAlignment="1">
      <alignment wrapText="1"/>
    </xf>
    <xf numFmtId="0" fontId="4" fillId="0" borderId="2" xfId="0" applyFont="1" applyBorder="1" applyAlignment="1">
      <alignment wrapText="1"/>
    </xf>
    <xf numFmtId="0" fontId="5" fillId="0" borderId="2" xfId="0" applyFont="1" applyBorder="1" applyAlignment="1">
      <alignment wrapText="1"/>
    </xf>
    <xf numFmtId="0" fontId="6" fillId="2" borderId="0" xfId="0" applyFont="1" applyFill="1"/>
    <xf numFmtId="0" fontId="6" fillId="2" borderId="1" xfId="0" applyFont="1" applyFill="1" applyBorder="1"/>
    <xf numFmtId="0" fontId="6" fillId="2" borderId="4" xfId="0" applyFont="1" applyFill="1" applyBorder="1"/>
    <xf numFmtId="0" fontId="7" fillId="4" borderId="0" xfId="0" applyFont="1" applyFill="1"/>
    <xf numFmtId="0" fontId="8" fillId="0" borderId="0" xfId="0" applyFont="1"/>
    <xf numFmtId="0" fontId="8" fillId="0" borderId="1" xfId="0" applyFont="1" applyBorder="1" applyAlignment="1">
      <alignment horizontal="right"/>
    </xf>
    <xf numFmtId="0" fontId="8" fillId="0" borderId="0" xfId="0" applyFont="1" applyAlignment="1">
      <alignment horizontal="right"/>
    </xf>
    <xf numFmtId="0" fontId="8" fillId="0" borderId="4" xfId="0" applyFont="1" applyBorder="1" applyAlignment="1">
      <alignment horizontal="right"/>
    </xf>
    <xf numFmtId="164" fontId="8" fillId="0" borderId="1" xfId="0" applyNumberFormat="1" applyFont="1" applyBorder="1" applyAlignment="1">
      <alignment horizontal="right"/>
    </xf>
    <xf numFmtId="164" fontId="8" fillId="0" borderId="0" xfId="0" applyNumberFormat="1" applyFont="1" applyAlignment="1">
      <alignment horizontal="right"/>
    </xf>
    <xf numFmtId="164" fontId="8" fillId="0" borderId="4" xfId="0" applyNumberFormat="1" applyFont="1" applyBorder="1" applyAlignment="1">
      <alignment horizontal="right"/>
    </xf>
    <xf numFmtId="0" fontId="7" fillId="3" borderId="0" xfId="0" applyFont="1" applyFill="1"/>
    <xf numFmtId="0" fontId="6" fillId="2" borderId="1" xfId="0" applyFont="1" applyFill="1" applyBorder="1" applyAlignment="1">
      <alignment horizontal="right"/>
    </xf>
    <xf numFmtId="0" fontId="6" fillId="2" borderId="0" xfId="0" applyFont="1" applyFill="1" applyAlignment="1">
      <alignment horizontal="right"/>
    </xf>
    <xf numFmtId="0" fontId="6" fillId="2" borderId="4" xfId="0" applyFont="1" applyFill="1" applyBorder="1" applyAlignment="1">
      <alignment horizontal="right"/>
    </xf>
    <xf numFmtId="164" fontId="6" fillId="2" borderId="1" xfId="0" applyNumberFormat="1" applyFont="1" applyFill="1" applyBorder="1" applyAlignment="1">
      <alignment horizontal="right"/>
    </xf>
    <xf numFmtId="164" fontId="6" fillId="2" borderId="0" xfId="0" applyNumberFormat="1" applyFont="1" applyFill="1" applyAlignment="1">
      <alignment horizontal="right"/>
    </xf>
    <xf numFmtId="164" fontId="6" fillId="2" borderId="4" xfId="0" applyNumberFormat="1" applyFont="1" applyFill="1" applyBorder="1" applyAlignment="1">
      <alignment horizontal="right"/>
    </xf>
    <xf numFmtId="0" fontId="9" fillId="0" borderId="0" xfId="0" applyFont="1"/>
    <xf numFmtId="0" fontId="1" fillId="2" borderId="0" xfId="0" applyFont="1" applyFill="1" applyAlignment="1">
      <alignment horizontal="center"/>
    </xf>
    <xf numFmtId="0" fontId="0" fillId="0" borderId="0" xfId="0"/>
    <xf numFmtId="0" fontId="1" fillId="2" borderId="0" xfId="0" applyFont="1" applyFill="1" applyAlignment="1">
      <alignment horizontal="center" wrapText="1"/>
    </xf>
    <xf numFmtId="0" fontId="1" fillId="2" borderId="0" xfId="0" applyFont="1" applyFill="1" applyAlignment="1">
      <alignment wrapText="1"/>
    </xf>
    <xf numFmtId="0" fontId="6" fillId="2" borderId="1" xfId="0" applyFont="1" applyFill="1" applyBorder="1" applyAlignment="1">
      <alignment horizontal="center"/>
    </xf>
    <xf numFmtId="0" fontId="2" fillId="0" borderId="0" xfId="0" applyFont="1" applyFill="1"/>
    <xf numFmtId="0" fontId="2" fillId="0" borderId="2" xfId="0" applyFont="1" applyFill="1" applyBorder="1"/>
  </cellXfs>
  <cellStyles count="1">
    <cellStyle name="Normal" xfId="0" builtinId="0"/>
  </cellStyles>
  <dxfs count="7">
    <dxf>
      <font>
        <color rgb="FF000000"/>
      </font>
      <fill>
        <patternFill patternType="solid">
          <fgColor rgb="FFF1C232"/>
          <bgColor rgb="FFF1C232"/>
        </patternFill>
      </fill>
    </dxf>
    <dxf>
      <font>
        <color rgb="FFEFEFEF"/>
      </font>
      <fill>
        <patternFill patternType="solid">
          <fgColor rgb="FFFFFFFF"/>
          <bgColor rgb="FFFFFFFF"/>
        </patternFill>
      </fill>
    </dxf>
    <dxf>
      <font>
        <color rgb="FFFFFFFF"/>
      </font>
      <fill>
        <patternFill patternType="solid">
          <fgColor rgb="FF38761D"/>
          <bgColor rgb="FF38761D"/>
        </patternFill>
      </fill>
    </dxf>
    <dxf>
      <font>
        <color rgb="FFFFFFFF"/>
      </font>
      <fill>
        <patternFill patternType="solid">
          <fgColor rgb="FF990000"/>
          <bgColor rgb="FF990000"/>
        </patternFill>
      </fill>
    </dxf>
    <dxf>
      <font>
        <color rgb="FFB7B7B7"/>
      </font>
      <fill>
        <patternFill patternType="solid">
          <fgColor rgb="FFEFEFEF"/>
          <bgColor rgb="FFEFEFEF"/>
        </patternFill>
      </fill>
    </dxf>
    <dxf>
      <font>
        <color rgb="FFD9D9D9"/>
      </font>
      <fill>
        <patternFill patternType="none"/>
      </fill>
    </dxf>
    <dxf>
      <font>
        <color rgb="FFD9D9D9"/>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bit.ly/34v7OTs" TargetMode="External"/><Relationship Id="rId3" Type="http://schemas.openxmlformats.org/officeDocument/2006/relationships/hyperlink" Target="https://www.dropbox.com/scl/fo/jp4qi7xgiamxb5z45ggjl/ACK1ECptEMJ0UN0C3a4JqV8?rlkey=w4lnd0007dlzvv29mv7oifpe3&amp;e=1&amp;dl=0" TargetMode="External"/><Relationship Id="rId7" Type="http://schemas.openxmlformats.org/officeDocument/2006/relationships/hyperlink" Target="https://bit.ly/34v7OTs" TargetMode="External"/><Relationship Id="rId2" Type="http://schemas.openxmlformats.org/officeDocument/2006/relationships/hyperlink" Target="https://zenodo.org/records/8100380" TargetMode="External"/><Relationship Id="rId1" Type="http://schemas.openxmlformats.org/officeDocument/2006/relationships/hyperlink" Target="https://zenodo.org/records/8100380" TargetMode="External"/><Relationship Id="rId6" Type="http://schemas.openxmlformats.org/officeDocument/2006/relationships/hyperlink" Target="https://bit.ly/34v7OTs" TargetMode="External"/><Relationship Id="rId5" Type="http://schemas.openxmlformats.org/officeDocument/2006/relationships/hyperlink" Target="https://bit.ly/34v7OTs" TargetMode="External"/><Relationship Id="rId10" Type="http://schemas.openxmlformats.org/officeDocument/2006/relationships/hyperlink" Target="https://bit.ly/34v7OTs" TargetMode="External"/><Relationship Id="rId4" Type="http://schemas.openxmlformats.org/officeDocument/2006/relationships/hyperlink" Target="https://fh-muenster.sciebo.de/s/6ZEmMeo6Quh6vaH" TargetMode="External"/><Relationship Id="rId9" Type="http://schemas.openxmlformats.org/officeDocument/2006/relationships/hyperlink" Target="https://bit.ly/34v7OT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dropbox.com/scl/fo/jp4qi7xgiamxb5z45ggjl/ACK1ECptEMJ0UN0C3a4JqV8?rlkey=w4lnd0007dlzvv29mv7oifpe3&amp;e=1&amp;dl=0" TargetMode="External"/><Relationship Id="rId2" Type="http://schemas.openxmlformats.org/officeDocument/2006/relationships/hyperlink" Target="https://zenodo.org/records/8100380" TargetMode="External"/><Relationship Id="rId1" Type="http://schemas.openxmlformats.org/officeDocument/2006/relationships/hyperlink" Target="https://zenodo.org/records/8100380" TargetMode="External"/><Relationship Id="rId5" Type="http://schemas.openxmlformats.org/officeDocument/2006/relationships/hyperlink" Target="https://www.dropbox.com/sh/f0kbsf48yp2kqpc/AABu-29kDs9iIxci-0KaqDl4a?dl=0" TargetMode="External"/><Relationship Id="rId4" Type="http://schemas.openxmlformats.org/officeDocument/2006/relationships/hyperlink" Target="https://fh-muenster.sciebo.de/s/6ZEmMeo6Quh6va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37"/>
  <sheetViews>
    <sheetView workbookViewId="0">
      <pane ySplit="1" topLeftCell="A2" activePane="bottomLeft" state="frozen"/>
      <selection pane="bottomLeft" activeCell="C70" sqref="C70"/>
    </sheetView>
  </sheetViews>
  <sheetFormatPr defaultColWidth="12.6640625" defaultRowHeight="15.75" customHeight="1" x14ac:dyDescent="0.25"/>
  <cols>
    <col min="1" max="1" width="3.88671875" customWidth="1"/>
    <col min="2" max="2" width="62.6640625" customWidth="1"/>
    <col min="3" max="3" width="7.6640625" customWidth="1"/>
    <col min="4" max="4" width="8.88671875" customWidth="1"/>
    <col min="5" max="5" width="6.33203125" customWidth="1"/>
    <col min="6" max="6" width="7.6640625" customWidth="1"/>
    <col min="7" max="7" width="8.88671875" customWidth="1"/>
    <col min="8" max="8" width="6.33203125" customWidth="1"/>
    <col min="9" max="9" width="50.109375" customWidth="1"/>
  </cols>
  <sheetData>
    <row r="1" spans="1:9" x14ac:dyDescent="0.25">
      <c r="A1" s="1" t="s">
        <v>0</v>
      </c>
      <c r="B1" s="2" t="s">
        <v>1</v>
      </c>
      <c r="C1" s="3" t="s">
        <v>2</v>
      </c>
      <c r="D1" s="1" t="s">
        <v>3</v>
      </c>
      <c r="E1" s="1" t="s">
        <v>4</v>
      </c>
      <c r="F1" s="3" t="s">
        <v>5</v>
      </c>
      <c r="G1" s="1" t="s">
        <v>6</v>
      </c>
      <c r="H1" s="4" t="s">
        <v>7</v>
      </c>
      <c r="I1" s="2" t="s">
        <v>8</v>
      </c>
    </row>
    <row r="2" spans="1:9" x14ac:dyDescent="0.25">
      <c r="A2" s="5">
        <v>1</v>
      </c>
      <c r="B2" s="6" t="str">
        <f ca="1">IFERROR(__xludf.DUMMYFUNCTION("IMPORTRANGE(""https://docs.google.com/spreadsheets/d/1XUJGjtfB9SoW1rbohdkE9Z52MKac6AJzLHIsCSLTjGo/edit#gid=0"", ""Primary Studies!G2:G137"")"),"Wyrich, M., Bogner, J., &amp; Wagner, S. (2023). 40 years of designing code comprehension experiments: A systematic mapping study. ACM Computing Surveys, 56(4), 1-42.")</f>
        <v>Wyrich, M., Bogner, J., &amp; Wagner, S. (2023). 40 years of designing code comprehension experiments: A systematic mapping study. ACM Computing Surveys, 56(4), 1-42.</v>
      </c>
      <c r="C2" s="7" t="b">
        <f ca="1">IFERROR(__xludf.DUMMYFUNCTION("IMPORTRANGE(""https://docs.google.com/spreadsheets/d/1XUJGjtfB9SoW1rbohdkE9Z52MKac6AJzLHIsCSLTjGo/edit#gid=0"", ""Primary Studies!T2:T137"")"),FALSE)</f>
        <v>0</v>
      </c>
      <c r="D2" s="5" t="str">
        <f ca="1">IFERROR(__xludf.DUMMYFUNCTION("IMPORTRANGE(""https://docs.google.com/spreadsheets/d/1XUJGjtfB9SoW1rbohdkE9Z52MKac6AJzLHIsCSLTjGo/edit#gid=0"", ""Primary Studies!C2:C137"")"),"jfr")</f>
        <v>jfr</v>
      </c>
      <c r="E2" s="5" t="str">
        <f ca="1">IF(C2, COUNTIF(Extraction!A:A, A2), "-")</f>
        <v>-</v>
      </c>
      <c r="F2" s="7" t="b">
        <f ca="1">IFERROR(__xludf.DUMMYFUNCTION("(COUNTIF(IMPORTRANGE(""https://docs.google.com/spreadsheets/d/1XUJGjtfB9SoW1rbohdkE9Z52MKac6AJzLHIsCSLTjGo/edit#gid=0"", ""Overlap!A2:A15""), A2)&gt;0)"),FALSE)</f>
        <v>0</v>
      </c>
      <c r="G2" s="5" t="str">
        <f t="shared" ref="G2:G137" ca="1" si="0">IF(OR(NOT(C2), NOT(F2)), " ", IF(D2="jfr","dfu","jfr"))</f>
        <v xml:space="preserve"> </v>
      </c>
      <c r="H2" s="8" t="str">
        <f ca="1">IF(AND(C2,F2), COUNTIF(Overlap!A:A, A2), "-")</f>
        <v>-</v>
      </c>
      <c r="I2" s="6"/>
    </row>
    <row r="3" spans="1:9" x14ac:dyDescent="0.25">
      <c r="A3" s="5">
        <v>2</v>
      </c>
      <c r="B3" s="6" t="str">
        <f ca="1">IFERROR(__xludf.DUMMYFUNCTION("""COMPUTED_VALUE"""),"Kitchenham, B., Madeyski, L., &amp; Brereton, P. (2020). Meta-analysis for families of experiments in software engineering: a systematic review and reproducibility and validity assessment. Empirical Software Engineering, 25, 353-401.")</f>
        <v>Kitchenham, B., Madeyski, L., &amp; Brereton, P. (2020). Meta-analysis for families of experiments in software engineering: a systematic review and reproducibility and validity assessment. Empirical Software Engineering, 25, 353-401.</v>
      </c>
      <c r="C3" s="7" t="b">
        <f ca="1">IFERROR(__xludf.DUMMYFUNCTION("""COMPUTED_VALUE"""),FALSE)</f>
        <v>0</v>
      </c>
      <c r="D3" s="5" t="str">
        <f ca="1">IFERROR(__xludf.DUMMYFUNCTION("""COMPUTED_VALUE"""),"jfr")</f>
        <v>jfr</v>
      </c>
      <c r="E3" s="5" t="str">
        <f ca="1">IF(C3, COUNTIF(Extraction!A:A, A3), "-")</f>
        <v>-</v>
      </c>
      <c r="F3" s="7" t="b">
        <f ca="1">IFERROR(__xludf.DUMMYFUNCTION("(COUNTIF(IMPORTRANGE(""https://docs.google.com/spreadsheets/d/1XUJGjtfB9SoW1rbohdkE9Z52MKac6AJzLHIsCSLTjGo/edit#gid=0"", ""Overlap!A2:A15""), A3)&gt;0)"),FALSE)</f>
        <v>0</v>
      </c>
      <c r="G3" s="5" t="str">
        <f t="shared" ca="1" si="0"/>
        <v xml:space="preserve"> </v>
      </c>
      <c r="H3" s="8" t="str">
        <f ca="1">IF(AND(C3,F3), COUNTIF(Overlap!A:A, A3), "-")</f>
        <v>-</v>
      </c>
      <c r="I3" s="6"/>
    </row>
    <row r="4" spans="1:9" x14ac:dyDescent="0.25">
      <c r="A4" s="5">
        <v>3</v>
      </c>
      <c r="B4" s="6" t="str">
        <f ca="1">IFERROR(__xludf.DUMMYFUNCTION("""COMPUTED_VALUE"""),"Rezaei, J., Arab, A., &amp; Mehregan, M. (2024). Analyzing anchoring bias in attribute weight elicitation of SMART, Swing, and best‐worst method. International Transactions in Operational Research, 31(2), 918-948.")</f>
        <v>Rezaei, J., Arab, A., &amp; Mehregan, M. (2024). Analyzing anchoring bias in attribute weight elicitation of SMART, Swing, and best‐worst method. International Transactions in Operational Research, 31(2), 918-948.</v>
      </c>
      <c r="C4" s="7" t="b">
        <f ca="1">IFERROR(__xludf.DUMMYFUNCTION("""COMPUTED_VALUE"""),FALSE)</f>
        <v>0</v>
      </c>
      <c r="D4" s="5" t="str">
        <f ca="1">IFERROR(__xludf.DUMMYFUNCTION("""COMPUTED_VALUE"""),"jfr")</f>
        <v>jfr</v>
      </c>
      <c r="E4" s="5" t="str">
        <f ca="1">IF(C4, COUNTIF(Extraction!A:A, A4), "-")</f>
        <v>-</v>
      </c>
      <c r="F4" s="7" t="b">
        <f ca="1">IFERROR(__xludf.DUMMYFUNCTION("(COUNTIF(IMPORTRANGE(""https://docs.google.com/spreadsheets/d/1XUJGjtfB9SoW1rbohdkE9Z52MKac6AJzLHIsCSLTjGo/edit#gid=0"", ""Overlap!A2:A15""), A4)&gt;0)"),FALSE)</f>
        <v>0</v>
      </c>
      <c r="G4" s="5" t="str">
        <f t="shared" ca="1" si="0"/>
        <v xml:space="preserve"> </v>
      </c>
      <c r="H4" s="8" t="str">
        <f ca="1">IF(AND(C4,F4), COUNTIF(Overlap!A:A, A4), "-")</f>
        <v>-</v>
      </c>
      <c r="I4" s="6"/>
    </row>
    <row r="5" spans="1:9" x14ac:dyDescent="0.25">
      <c r="A5" s="5">
        <v>4</v>
      </c>
      <c r="B5" s="6" t="str">
        <f ca="1">IFERROR(__xludf.DUMMYFUNCTION("""COMPUTED_VALUE"""),"Sandobalin, J., Insfran, E., &amp; Abrahao, S. (2020). On the effectiveness of tools to support infrastructure as code: Model-driven versus code-centric. IEEE Access, 8, 17734-17761.")</f>
        <v>Sandobalin, J., Insfran, E., &amp; Abrahao, S. (2020). On the effectiveness of tools to support infrastructure as code: Model-driven versus code-centric. IEEE Access, 8, 17734-17761.</v>
      </c>
      <c r="C5" s="7" t="b">
        <f ca="1">IFERROR(__xludf.DUMMYFUNCTION("""COMPUTED_VALUE"""),TRUE)</f>
        <v>1</v>
      </c>
      <c r="D5" s="5" t="str">
        <f ca="1">IFERROR(__xludf.DUMMYFUNCTION("""COMPUTED_VALUE"""),"dfu")</f>
        <v>dfu</v>
      </c>
      <c r="E5" s="5">
        <f ca="1">IF(C5, COUNTIF(Extraction!A:A, A5), "-")</f>
        <v>0</v>
      </c>
      <c r="F5" s="7" t="b">
        <f ca="1">IFERROR(__xludf.DUMMYFUNCTION("(COUNTIF(IMPORTRANGE(""https://docs.google.com/spreadsheets/d/1XUJGjtfB9SoW1rbohdkE9Z52MKac6AJzLHIsCSLTjGo/edit#gid=0"", ""Overlap!A2:A15""), A5)&gt;0)"),FALSE)</f>
        <v>0</v>
      </c>
      <c r="G5" s="5" t="str">
        <f t="shared" ca="1" si="0"/>
        <v xml:space="preserve"> </v>
      </c>
      <c r="H5" s="8" t="str">
        <f ca="1">IF(AND(C5,F5), COUNTIF(Overlap!A:A, A5), "-")</f>
        <v>-</v>
      </c>
      <c r="I5" s="6"/>
    </row>
    <row r="6" spans="1:9" x14ac:dyDescent="0.25">
      <c r="A6" s="5">
        <v>5</v>
      </c>
      <c r="B6" s="6" t="str">
        <f ca="1">IFERROR(__xludf.DUMMYFUNCTION("""COMPUTED_VALUE"""),"Zhang, D. Y., Wang, D., &amp; Zhang, Y. (2017, December). Constraint-aware dynamic truth discovery in big data social media sensing. In 2017 IEEE International Conference on Big Data (Big Data) (pp. 57-66). IEEE.")</f>
        <v>Zhang, D. Y., Wang, D., &amp; Zhang, Y. (2017, December). Constraint-aware dynamic truth discovery in big data social media sensing. In 2017 IEEE International Conference on Big Data (Big Data) (pp. 57-66). IEEE.</v>
      </c>
      <c r="C6" s="7" t="b">
        <f ca="1">IFERROR(__xludf.DUMMYFUNCTION("""COMPUTED_VALUE"""),FALSE)</f>
        <v>0</v>
      </c>
      <c r="D6" s="5" t="str">
        <f ca="1">IFERROR(__xludf.DUMMYFUNCTION("""COMPUTED_VALUE"""),"jfr")</f>
        <v>jfr</v>
      </c>
      <c r="E6" s="5" t="str">
        <f ca="1">IF(C6, COUNTIF(Extraction!A:A, A6), "-")</f>
        <v>-</v>
      </c>
      <c r="F6" s="7" t="b">
        <f ca="1">IFERROR(__xludf.DUMMYFUNCTION("(COUNTIF(IMPORTRANGE(""https://docs.google.com/spreadsheets/d/1XUJGjtfB9SoW1rbohdkE9Z52MKac6AJzLHIsCSLTjGo/edit#gid=0"", ""Overlap!A2:A15""), A6)&gt;0)"),FALSE)</f>
        <v>0</v>
      </c>
      <c r="G6" s="5" t="str">
        <f t="shared" ca="1" si="0"/>
        <v xml:space="preserve"> </v>
      </c>
      <c r="H6" s="8" t="str">
        <f ca="1">IF(AND(C6,F6), COUNTIF(Overlap!A:A, A6), "-")</f>
        <v>-</v>
      </c>
      <c r="I6" s="6"/>
    </row>
    <row r="7" spans="1:9" x14ac:dyDescent="0.25">
      <c r="A7" s="5">
        <v>6</v>
      </c>
      <c r="B7" s="6" t="str">
        <f ca="1">IFERROR(__xludf.DUMMYFUNCTION("""COMPUTED_VALUE"""),"Trkman, M., Mendling, J., Trkman, P., &amp; Krisper, M. (2019). Impact of the conceptual model's representation format on identifying and understanding user stories. Information and software technology, 116, 106169.")</f>
        <v>Trkman, M., Mendling, J., Trkman, P., &amp; Krisper, M. (2019). Impact of the conceptual model's representation format on identifying and understanding user stories. Information and software technology, 116, 106169.</v>
      </c>
      <c r="C7" s="7" t="b">
        <f ca="1">IFERROR(__xludf.DUMMYFUNCTION("""COMPUTED_VALUE"""),TRUE)</f>
        <v>1</v>
      </c>
      <c r="D7" s="5" t="str">
        <f ca="1">IFERROR(__xludf.DUMMYFUNCTION("""COMPUTED_VALUE"""),"dfu")</f>
        <v>dfu</v>
      </c>
      <c r="E7" s="5">
        <f ca="1">IF(C7, COUNTIF(Extraction!A:A, A7), "-")</f>
        <v>1</v>
      </c>
      <c r="F7" s="7" t="b">
        <f ca="1">IFERROR(__xludf.DUMMYFUNCTION("(COUNTIF(IMPORTRANGE(""https://docs.google.com/spreadsheets/d/1XUJGjtfB9SoW1rbohdkE9Z52MKac6AJzLHIsCSLTjGo/edit#gid=0"", ""Overlap!A2:A15""), A7)&gt;0)"),TRUE)</f>
        <v>1</v>
      </c>
      <c r="G7" s="5" t="str">
        <f t="shared" ca="1" si="0"/>
        <v>jfr</v>
      </c>
      <c r="H7" s="8">
        <f ca="1">IF(AND(C7,F7), COUNTIF(Overlap!A:A, A7), "-")</f>
        <v>1</v>
      </c>
      <c r="I7" s="6"/>
    </row>
    <row r="8" spans="1:9" x14ac:dyDescent="0.25">
      <c r="A8" s="5">
        <v>7</v>
      </c>
      <c r="B8" s="6" t="str">
        <f ca="1">IFERROR(__xludf.DUMMYFUNCTION("""COMPUTED_VALUE"""),"Amaro, I., Barra, P., Della Greca, A., Francese, R., &amp; Tucci, C. (2023). Believe in Artificial Intelligence? A User Study on the ChatGPT’s Fake Information Impact. IEEE Transactions on Computational Social Systems.")</f>
        <v>Amaro, I., Barra, P., Della Greca, A., Francese, R., &amp; Tucci, C. (2023). Believe in Artificial Intelligence? A User Study on the ChatGPT’s Fake Information Impact. IEEE Transactions on Computational Social Systems.</v>
      </c>
      <c r="C8" s="7" t="b">
        <f ca="1">IFERROR(__xludf.DUMMYFUNCTION("""COMPUTED_VALUE"""),TRUE)</f>
        <v>1</v>
      </c>
      <c r="D8" s="5" t="str">
        <f ca="1">IFERROR(__xludf.DUMMYFUNCTION("""COMPUTED_VALUE"""),"jfr")</f>
        <v>jfr</v>
      </c>
      <c r="E8" s="5">
        <f ca="1">IF(C8, COUNTIF(Extraction!A:A, A8), "-")</f>
        <v>1</v>
      </c>
      <c r="F8" s="7" t="b">
        <f ca="1">IFERROR(__xludf.DUMMYFUNCTION("(COUNTIF(IMPORTRANGE(""https://docs.google.com/spreadsheets/d/1XUJGjtfB9SoW1rbohdkE9Z52MKac6AJzLHIsCSLTjGo/edit#gid=0"", ""Overlap!A2:A15""), A8)&gt;0)"),FALSE)</f>
        <v>0</v>
      </c>
      <c r="G8" s="5" t="str">
        <f t="shared" ca="1" si="0"/>
        <v xml:space="preserve"> </v>
      </c>
      <c r="H8" s="8" t="str">
        <f ca="1">IF(AND(C8,F8), COUNTIF(Overlap!A:A, A8), "-")</f>
        <v>-</v>
      </c>
      <c r="I8" s="6"/>
    </row>
    <row r="9" spans="1:9" x14ac:dyDescent="0.25">
      <c r="A9" s="5">
        <v>8</v>
      </c>
      <c r="B9" s="6" t="str">
        <f ca="1">IFERROR(__xludf.DUMMYFUNCTION("""COMPUTED_VALUE"""),"Kummer, T. F., &amp; Mendling, J. (2021). The effect of risk representation using colors and symbols in business process models on operational risk management performance. Journal of the Association for Information Systems, 22(3), 649-694.")</f>
        <v>Kummer, T. F., &amp; Mendling, J. (2021). The effect of risk representation using colors and symbols in business process models on operational risk management performance. Journal of the Association for Information Systems, 22(3), 649-694.</v>
      </c>
      <c r="C9" s="7" t="b">
        <f ca="1">IFERROR(__xludf.DUMMYFUNCTION("""COMPUTED_VALUE"""),FALSE)</f>
        <v>0</v>
      </c>
      <c r="D9" s="5" t="str">
        <f ca="1">IFERROR(__xludf.DUMMYFUNCTION("""COMPUTED_VALUE"""),"dfu")</f>
        <v>dfu</v>
      </c>
      <c r="E9" s="5" t="str">
        <f ca="1">IF(C9, COUNTIF(Extraction!A:A, A9), "-")</f>
        <v>-</v>
      </c>
      <c r="F9" s="7" t="b">
        <f ca="1">IFERROR(__xludf.DUMMYFUNCTION("(COUNTIF(IMPORTRANGE(""https://docs.google.com/spreadsheets/d/1XUJGjtfB9SoW1rbohdkE9Z52MKac6AJzLHIsCSLTjGo/edit#gid=0"", ""Overlap!A2:A15""), A9)&gt;0)"),FALSE)</f>
        <v>0</v>
      </c>
      <c r="G9" s="5" t="str">
        <f t="shared" ca="1" si="0"/>
        <v xml:space="preserve"> </v>
      </c>
      <c r="H9" s="8" t="str">
        <f ca="1">IF(AND(C9,F9), COUNTIF(Overlap!A:A, A9), "-")</f>
        <v>-</v>
      </c>
      <c r="I9" s="6"/>
    </row>
    <row r="10" spans="1:9" x14ac:dyDescent="0.25">
      <c r="A10" s="5">
        <v>9</v>
      </c>
      <c r="B10" s="6" t="str">
        <f ca="1">IFERROR(__xludf.DUMMYFUNCTION("""COMPUTED_VALUE"""),"Bogner, J., Kotstein, S., &amp; Pfaff, T. (2023). Do RESTful API design rules have an impact on the understandability of Web APIs?. Empirical software engineering, 28(6), 132.")</f>
        <v>Bogner, J., Kotstein, S., &amp; Pfaff, T. (2023). Do RESTful API design rules have an impact on the understandability of Web APIs?. Empirical software engineering, 28(6), 132.</v>
      </c>
      <c r="C10" s="7" t="b">
        <f ca="1">IFERROR(__xludf.DUMMYFUNCTION("""COMPUTED_VALUE"""),TRUE)</f>
        <v>1</v>
      </c>
      <c r="D10" s="5" t="str">
        <f ca="1">IFERROR(__xludf.DUMMYFUNCTION("""COMPUTED_VALUE"""),"jfr")</f>
        <v>jfr</v>
      </c>
      <c r="E10" s="5">
        <f ca="1">IF(C10, COUNTIF(Extraction!A:A, A10), "-")</f>
        <v>1</v>
      </c>
      <c r="F10" s="7" t="b">
        <f ca="1">IFERROR(__xludf.DUMMYFUNCTION("(COUNTIF(IMPORTRANGE(""https://docs.google.com/spreadsheets/d/1XUJGjtfB9SoW1rbohdkE9Z52MKac6AJzLHIsCSLTjGo/edit#gid=0"", ""Overlap!A2:A15""), A10)&gt;0)"),TRUE)</f>
        <v>1</v>
      </c>
      <c r="G10" s="5" t="str">
        <f t="shared" ca="1" si="0"/>
        <v>dfu</v>
      </c>
      <c r="H10" s="8">
        <f ca="1">IF(AND(C10,F10), COUNTIF(Overlap!A:A, A10), "-")</f>
        <v>1</v>
      </c>
      <c r="I10" s="6"/>
    </row>
    <row r="11" spans="1:9" x14ac:dyDescent="0.25">
      <c r="A11" s="5">
        <v>10</v>
      </c>
      <c r="B11" s="6" t="str">
        <f ca="1">IFERROR(__xludf.DUMMYFUNCTION("""COMPUTED_VALUE"""),"Politowski, C., Khomh, F., Romano, S., Scanniello, G., Petrillo, F., Guéhéneuc, Y. G., &amp; Maiga, A. (2020). A large scale empirical study of the impact of spaghetti code and blob anti-patterns on program comprehension. Information and Software Technology, "&amp;"122, 106278.")</f>
        <v>Politowski, C., Khomh, F., Romano, S., Scanniello, G., Petrillo, F., Guéhéneuc, Y. G., &amp; Maiga, A. (2020). A large scale empirical study of the impact of spaghetti code and blob anti-patterns on program comprehension. Information and Software Technology, 122, 106278.</v>
      </c>
      <c r="C11" s="7" t="b">
        <f ca="1">IFERROR(__xludf.DUMMYFUNCTION("""COMPUTED_VALUE"""),TRUE)</f>
        <v>1</v>
      </c>
      <c r="D11" s="5" t="str">
        <f ca="1">IFERROR(__xludf.DUMMYFUNCTION("""COMPUTED_VALUE"""),"dfu")</f>
        <v>dfu</v>
      </c>
      <c r="E11" s="5">
        <f ca="1">IF(C11, COUNTIF(Extraction!A:A, A11), "-")</f>
        <v>0</v>
      </c>
      <c r="F11" s="7" t="b">
        <f ca="1">IFERROR(__xludf.DUMMYFUNCTION("(COUNTIF(IMPORTRANGE(""https://docs.google.com/spreadsheets/d/1XUJGjtfB9SoW1rbohdkE9Z52MKac6AJzLHIsCSLTjGo/edit#gid=0"", ""Overlap!A2:A15""), A11)&gt;0)"),FALSE)</f>
        <v>0</v>
      </c>
      <c r="G11" s="5" t="str">
        <f t="shared" ca="1" si="0"/>
        <v xml:space="preserve"> </v>
      </c>
      <c r="H11" s="8" t="str">
        <f ca="1">IF(AND(C11,F11), COUNTIF(Overlap!A:A, A11), "-")</f>
        <v>-</v>
      </c>
      <c r="I11" s="6"/>
    </row>
    <row r="12" spans="1:9" x14ac:dyDescent="0.25">
      <c r="A12" s="5">
        <v>11</v>
      </c>
      <c r="B12" s="6" t="str">
        <f ca="1">IFERROR(__xludf.DUMMYFUNCTION("""COMPUTED_VALUE"""),"de la Vara, J. L., Marín, B., Ayora, C., &amp; Giachetti, G. (2020). An empirical evaluation of the use of models to improve the understanding of safety compliance needs. Information and Software Technology, 126, 106351.")</f>
        <v>de la Vara, J. L., Marín, B., Ayora, C., &amp; Giachetti, G. (2020). An empirical evaluation of the use of models to improve the understanding of safety compliance needs. Information and Software Technology, 126, 106351.</v>
      </c>
      <c r="C12" s="7" t="b">
        <f ca="1">IFERROR(__xludf.DUMMYFUNCTION("""COMPUTED_VALUE"""),TRUE)</f>
        <v>1</v>
      </c>
      <c r="D12" s="5" t="str">
        <f ca="1">IFERROR(__xludf.DUMMYFUNCTION("""COMPUTED_VALUE"""),"jfr")</f>
        <v>jfr</v>
      </c>
      <c r="E12" s="5">
        <f ca="1">IF(C12, COUNTIF(Extraction!A:A, A12), "-")</f>
        <v>0</v>
      </c>
      <c r="F12" s="7" t="b">
        <f ca="1">IFERROR(__xludf.DUMMYFUNCTION("(COUNTIF(IMPORTRANGE(""https://docs.google.com/spreadsheets/d/1XUJGjtfB9SoW1rbohdkE9Z52MKac6AJzLHIsCSLTjGo/edit#gid=0"", ""Overlap!A2:A15""), A12)&gt;0)"),FALSE)</f>
        <v>0</v>
      </c>
      <c r="G12" s="5" t="str">
        <f t="shared" ca="1" si="0"/>
        <v xml:space="preserve"> </v>
      </c>
      <c r="H12" s="8" t="str">
        <f ca="1">IF(AND(C12,F12), COUNTIF(Overlap!A:A, A12), "-")</f>
        <v>-</v>
      </c>
      <c r="I12" s="6"/>
    </row>
    <row r="13" spans="1:9" x14ac:dyDescent="0.25">
      <c r="A13" s="5">
        <v>12</v>
      </c>
      <c r="B13" s="6" t="str">
        <f ca="1">IFERROR(__xludf.DUMMYFUNCTION("""COMPUTED_VALUE"""),"Ralph, P., Baltes, S., Bianculli, D., Dittrich, Y., Felderer, M., Feldt, R., ... &amp; Vegas, S. (2020). ACM SIGSOFT empirical standards.")</f>
        <v>Ralph, P., Baltes, S., Bianculli, D., Dittrich, Y., Felderer, M., Feldt, R., ... &amp; Vegas, S. (2020). ACM SIGSOFT empirical standards.</v>
      </c>
      <c r="C13" s="7" t="b">
        <f ca="1">IFERROR(__xludf.DUMMYFUNCTION("""COMPUTED_VALUE"""),FALSE)</f>
        <v>0</v>
      </c>
      <c r="D13" s="5" t="str">
        <f ca="1">IFERROR(__xludf.DUMMYFUNCTION("""COMPUTED_VALUE"""),"jfr")</f>
        <v>jfr</v>
      </c>
      <c r="E13" s="5" t="str">
        <f ca="1">IF(C13, COUNTIF(Extraction!A:A, A13), "-")</f>
        <v>-</v>
      </c>
      <c r="F13" s="7" t="b">
        <f ca="1">IFERROR(__xludf.DUMMYFUNCTION("(COUNTIF(IMPORTRANGE(""https://docs.google.com/spreadsheets/d/1XUJGjtfB9SoW1rbohdkE9Z52MKac6AJzLHIsCSLTjGo/edit#gid=0"", ""Overlap!A2:A15""), A13)&gt;0)"),FALSE)</f>
        <v>0</v>
      </c>
      <c r="G13" s="5" t="str">
        <f t="shared" ca="1" si="0"/>
        <v xml:space="preserve"> </v>
      </c>
      <c r="H13" s="8" t="str">
        <f ca="1">IF(AND(C13,F13), COUNTIF(Overlap!A:A, A13), "-")</f>
        <v>-</v>
      </c>
      <c r="I13" s="6"/>
    </row>
    <row r="14" spans="1:9" x14ac:dyDescent="0.25">
      <c r="A14" s="5">
        <v>13</v>
      </c>
      <c r="B14" s="6" t="str">
        <f ca="1">IFERROR(__xludf.DUMMYFUNCTION("""COMPUTED_VALUE"""),"Madeyski, L., &amp; Kitchenham, B. (2017). Would wider adoption of reproducible research be beneficial for empirical software engineering research?. Journal of Intelligent &amp; Fuzzy Systems, 32(2), 1509-1521.")</f>
        <v>Madeyski, L., &amp; Kitchenham, B. (2017). Would wider adoption of reproducible research be beneficial for empirical software engineering research?. Journal of Intelligent &amp; Fuzzy Systems, 32(2), 1509-1521.</v>
      </c>
      <c r="C14" s="7" t="b">
        <f ca="1">IFERROR(__xludf.DUMMYFUNCTION("""COMPUTED_VALUE"""),FALSE)</f>
        <v>0</v>
      </c>
      <c r="D14" s="5" t="str">
        <f ca="1">IFERROR(__xludf.DUMMYFUNCTION("""COMPUTED_VALUE"""),"dfu")</f>
        <v>dfu</v>
      </c>
      <c r="E14" s="5" t="str">
        <f ca="1">IF(C14, COUNTIF(Extraction!A:A, A14), "-")</f>
        <v>-</v>
      </c>
      <c r="F14" s="7" t="b">
        <f ca="1">IFERROR(__xludf.DUMMYFUNCTION("(COUNTIF(IMPORTRANGE(""https://docs.google.com/spreadsheets/d/1XUJGjtfB9SoW1rbohdkE9Z52MKac6AJzLHIsCSLTjGo/edit#gid=0"", ""Overlap!A2:A15""), A14)&gt;0)"),TRUE)</f>
        <v>1</v>
      </c>
      <c r="G14" s="5" t="str">
        <f t="shared" ca="1" si="0"/>
        <v xml:space="preserve"> </v>
      </c>
      <c r="H14" s="8" t="str">
        <f ca="1">IF(AND(C14,F14), COUNTIF(Overlap!A:A, A14), "-")</f>
        <v>-</v>
      </c>
      <c r="I14" s="6"/>
    </row>
    <row r="15" spans="1:9" x14ac:dyDescent="0.25">
      <c r="A15" s="5">
        <v>14</v>
      </c>
      <c r="B15" s="6" t="str">
        <f ca="1">IFERROR(__xludf.DUMMYFUNCTION("""COMPUTED_VALUE"""),"Fucci, D., Scanniello, G., Romano, S., Shepperd, M., Sigweni, B., Uyaguari, F., ... &amp; Oivo, M. (2016, September). An external replication on the effects of test-driven development using a multi-site blind analysis approach. In Proceedings of the 10th ACM/"&amp;"IEEE International Symposium on Empirical Software Engineering and Measurement (pp. 1-10).")</f>
        <v>Fucci, D., Scanniello, G., Romano, S., Shepperd, M., Sigweni, B., Uyaguari, F., ... &amp; Oivo, M. (2016, September). An external replication on the effects of test-driven development using a multi-site blind analysis approach. In Proceedings of the 10th ACM/IEEE International Symposium on Empirical Software Engineering and Measurement (pp. 1-10).</v>
      </c>
      <c r="C15" s="7" t="b">
        <f ca="1">IFERROR(__xludf.DUMMYFUNCTION("""COMPUTED_VALUE"""),TRUE)</f>
        <v>1</v>
      </c>
      <c r="D15" s="5" t="str">
        <f ca="1">IFERROR(__xludf.DUMMYFUNCTION("""COMPUTED_VALUE"""),"dfu")</f>
        <v>dfu</v>
      </c>
      <c r="E15" s="5">
        <f ca="1">IF(C15, COUNTIF(Extraction!A:A, A15), "-")</f>
        <v>1</v>
      </c>
      <c r="F15" s="7" t="b">
        <f ca="1">IFERROR(__xludf.DUMMYFUNCTION("(COUNTIF(IMPORTRANGE(""https://docs.google.com/spreadsheets/d/1XUJGjtfB9SoW1rbohdkE9Z52MKac6AJzLHIsCSLTjGo/edit#gid=0"", ""Overlap!A2:A15""), A15)&gt;0)"),TRUE)</f>
        <v>1</v>
      </c>
      <c r="G15" s="5" t="str">
        <f t="shared" ca="1" si="0"/>
        <v>jfr</v>
      </c>
      <c r="H15" s="8">
        <f ca="1">IF(AND(C15,F15), COUNTIF(Overlap!A:A, A15), "-")</f>
        <v>1</v>
      </c>
      <c r="I15" s="6"/>
    </row>
    <row r="16" spans="1:9" x14ac:dyDescent="0.25">
      <c r="A16" s="5">
        <v>15</v>
      </c>
      <c r="B16" s="6" t="str">
        <f ca="1">IFERROR(__xludf.DUMMYFUNCTION("""COMPUTED_VALUE"""),"Romano, S., Vendome, C., Scanniello, G., &amp; Poshyvanyk, D. (2018). A multi-study investigation into dead code. IEEE Transactions on Software Engineering, 46(1), 71-99.")</f>
        <v>Romano, S., Vendome, C., Scanniello, G., &amp; Poshyvanyk, D. (2018). A multi-study investigation into dead code. IEEE Transactions on Software Engineering, 46(1), 71-99.</v>
      </c>
      <c r="C16" s="7" t="b">
        <f ca="1">IFERROR(__xludf.DUMMYFUNCTION("""COMPUTED_VALUE"""),FALSE)</f>
        <v>0</v>
      </c>
      <c r="D16" s="5" t="str">
        <f ca="1">IFERROR(__xludf.DUMMYFUNCTION("""COMPUTED_VALUE"""),"dfu")</f>
        <v>dfu</v>
      </c>
      <c r="E16" s="5" t="str">
        <f ca="1">IF(C16, COUNTIF(Extraction!A:A, A16), "-")</f>
        <v>-</v>
      </c>
      <c r="F16" s="7" t="b">
        <f ca="1">IFERROR(__xludf.DUMMYFUNCTION("(COUNTIF(IMPORTRANGE(""https://docs.google.com/spreadsheets/d/1XUJGjtfB9SoW1rbohdkE9Z52MKac6AJzLHIsCSLTjGo/edit#gid=0"", ""Overlap!A2:A15""), A16)&gt;0)"),FALSE)</f>
        <v>0</v>
      </c>
      <c r="G16" s="5" t="str">
        <f t="shared" ca="1" si="0"/>
        <v xml:space="preserve"> </v>
      </c>
      <c r="H16" s="8" t="str">
        <f ca="1">IF(AND(C16,F16), COUNTIF(Overlap!A:A, A16), "-")</f>
        <v>-</v>
      </c>
      <c r="I16" s="6"/>
    </row>
    <row r="17" spans="1:9" x14ac:dyDescent="0.25">
      <c r="A17" s="5">
        <v>16</v>
      </c>
      <c r="B17" s="6" t="str">
        <f ca="1">IFERROR(__xludf.DUMMYFUNCTION("""COMPUTED_VALUE"""),"Madeyski, L., &amp; Kitchenham, B. (2018, May). Effect sizes and their variance for AB/BA crossover design studies. In Proceedings of the 40th International Conference on Software Engineering (pp. 420-420).")</f>
        <v>Madeyski, L., &amp; Kitchenham, B. (2018, May). Effect sizes and their variance for AB/BA crossover design studies. In Proceedings of the 40th International Conference on Software Engineering (pp. 420-420).</v>
      </c>
      <c r="C17" s="7" t="b">
        <f ca="1">IFERROR(__xludf.DUMMYFUNCTION("""COMPUTED_VALUE"""),FALSE)</f>
        <v>0</v>
      </c>
      <c r="D17" s="5" t="str">
        <f ca="1">IFERROR(__xludf.DUMMYFUNCTION("""COMPUTED_VALUE"""),"jfr")</f>
        <v>jfr</v>
      </c>
      <c r="E17" s="5" t="str">
        <f ca="1">IF(C17, COUNTIF(Extraction!A:A, A17), "-")</f>
        <v>-</v>
      </c>
      <c r="F17" s="7" t="b">
        <f ca="1">IFERROR(__xludf.DUMMYFUNCTION("(COUNTIF(IMPORTRANGE(""https://docs.google.com/spreadsheets/d/1XUJGjtfB9SoW1rbohdkE9Z52MKac6AJzLHIsCSLTjGo/edit#gid=0"", ""Overlap!A2:A15""), A17)&gt;0)"),TRUE)</f>
        <v>1</v>
      </c>
      <c r="G17" s="5" t="str">
        <f t="shared" ca="1" si="0"/>
        <v xml:space="preserve"> </v>
      </c>
      <c r="H17" s="8" t="str">
        <f ca="1">IF(AND(C17,F17), COUNTIF(Overlap!A:A, A17), "-")</f>
        <v>-</v>
      </c>
      <c r="I17" s="6"/>
    </row>
    <row r="18" spans="1:9" x14ac:dyDescent="0.25">
      <c r="A18" s="5">
        <v>17</v>
      </c>
      <c r="B18" s="6" t="str">
        <f ca="1">IFERROR(__xludf.DUMMYFUNCTION("""COMPUTED_VALUE"""),"Fucci, D., Scanniello, G., Romano, S., &amp; Juristo, N. (2018). Need for sleep: the impact of a night of sleep deprivation on novice developers’ performance. IEEE Transactions on Software Engineering, 46(1), 1-19.")</f>
        <v>Fucci, D., Scanniello, G., Romano, S., &amp; Juristo, N. (2018). Need for sleep: the impact of a night of sleep deprivation on novice developers’ performance. IEEE Transactions on Software Engineering, 46(1), 1-19.</v>
      </c>
      <c r="C18" s="7" t="b">
        <f ca="1">IFERROR(__xludf.DUMMYFUNCTION("""COMPUTED_VALUE"""),FALSE)</f>
        <v>0</v>
      </c>
      <c r="D18" s="5" t="str">
        <f ca="1">IFERROR(__xludf.DUMMYFUNCTION("""COMPUTED_VALUE"""),"dfu")</f>
        <v>dfu</v>
      </c>
      <c r="E18" s="5" t="str">
        <f ca="1">IF(C18, COUNTIF(Extraction!A:A, A18), "-")</f>
        <v>-</v>
      </c>
      <c r="F18" s="7" t="b">
        <f ca="1">IFERROR(__xludf.DUMMYFUNCTION("(COUNTIF(IMPORTRANGE(""https://docs.google.com/spreadsheets/d/1XUJGjtfB9SoW1rbohdkE9Z52MKac6AJzLHIsCSLTjGo/edit#gid=0"", ""Overlap!A2:A15""), A18)&gt;0)"),FALSE)</f>
        <v>0</v>
      </c>
      <c r="G18" s="5" t="str">
        <f t="shared" ca="1" si="0"/>
        <v xml:space="preserve"> </v>
      </c>
      <c r="H18" s="8" t="str">
        <f ca="1">IF(AND(C18,F18), COUNTIF(Overlap!A:A, A18), "-")</f>
        <v>-</v>
      </c>
      <c r="I18" s="6"/>
    </row>
    <row r="19" spans="1:9" x14ac:dyDescent="0.25">
      <c r="A19" s="5">
        <v>18</v>
      </c>
      <c r="B19" s="6" t="str">
        <f ca="1">IFERROR(__xludf.DUMMYFUNCTION("""COMPUTED_VALUE"""),"Kitchenham, B., Madeyski, L., &amp; Brereton, P. (2019, April). Problems with statistical practice in human-centric software engineering experiments. In Proceedings of the 23rd International Conference on Evaluation and Assessment in Software Engineering (pp."&amp;" 134-143).")</f>
        <v>Kitchenham, B., Madeyski, L., &amp; Brereton, P. (2019, April). Problems with statistical practice in human-centric software engineering experiments. In Proceedings of the 23rd International Conference on Evaluation and Assessment in Software Engineering (pp. 134-143).</v>
      </c>
      <c r="C19" s="7" t="b">
        <f ca="1">IFERROR(__xludf.DUMMYFUNCTION("""COMPUTED_VALUE"""),FALSE)</f>
        <v>0</v>
      </c>
      <c r="D19" s="5" t="str">
        <f ca="1">IFERROR(__xludf.DUMMYFUNCTION("""COMPUTED_VALUE"""),"jfr")</f>
        <v>jfr</v>
      </c>
      <c r="E19" s="5" t="str">
        <f ca="1">IF(C19, COUNTIF(Extraction!A:A, A19), "-")</f>
        <v>-</v>
      </c>
      <c r="F19" s="7" t="b">
        <f ca="1">IFERROR(__xludf.DUMMYFUNCTION("(COUNTIF(IMPORTRANGE(""https://docs.google.com/spreadsheets/d/1XUJGjtfB9SoW1rbohdkE9Z52MKac6AJzLHIsCSLTjGo/edit#gid=0"", ""Overlap!A2:A15""), A19)&gt;0)"),FALSE)</f>
        <v>0</v>
      </c>
      <c r="G19" s="5" t="str">
        <f t="shared" ca="1" si="0"/>
        <v xml:space="preserve"> </v>
      </c>
      <c r="H19" s="8" t="str">
        <f ca="1">IF(AND(C19,F19), COUNTIF(Overlap!A:A, A19), "-")</f>
        <v>-</v>
      </c>
      <c r="I19" s="6"/>
    </row>
    <row r="20" spans="1:9" x14ac:dyDescent="0.25">
      <c r="A20" s="5">
        <v>19</v>
      </c>
      <c r="B20" s="6" t="str">
        <f ca="1">IFERROR(__xludf.DUMMYFUNCTION("""COMPUTED_VALUE"""),"Romano, S., Zampetti, F., Baldassarre, M. T., Di Penta, M., &amp; Scanniello, G. (2022, September). Do static analysis tools affect software quality when using test-driven development?. In Proceedings of the 16th ACM/IEEE International Symposium on Empirical "&amp;"Software Engineering and Measurement (pp. 80-91).")</f>
        <v>Romano, S., Zampetti, F., Baldassarre, M. T., Di Penta, M., &amp; Scanniello, G. (2022, September). Do static analysis tools affect software quality when using test-driven development?. In Proceedings of the 16th ACM/IEEE International Symposium on Empirical Software Engineering and Measurement (pp. 80-91).</v>
      </c>
      <c r="C20" s="7" t="b">
        <f ca="1">IFERROR(__xludf.DUMMYFUNCTION("""COMPUTED_VALUE"""),FALSE)</f>
        <v>0</v>
      </c>
      <c r="D20" s="5" t="str">
        <f ca="1">IFERROR(__xludf.DUMMYFUNCTION("""COMPUTED_VALUE"""),"dfu")</f>
        <v>dfu</v>
      </c>
      <c r="E20" s="5" t="str">
        <f ca="1">IF(C20, COUNTIF(Extraction!A:A, A20), "-")</f>
        <v>-</v>
      </c>
      <c r="F20" s="7" t="b">
        <f ca="1">IFERROR(__xludf.DUMMYFUNCTION("(COUNTIF(IMPORTRANGE(""https://docs.google.com/spreadsheets/d/1XUJGjtfB9SoW1rbohdkE9Z52MKac6AJzLHIsCSLTjGo/edit#gid=0"", ""Overlap!A2:A15""), A20)&gt;0)"),FALSE)</f>
        <v>0</v>
      </c>
      <c r="G20" s="5" t="str">
        <f t="shared" ca="1" si="0"/>
        <v xml:space="preserve"> </v>
      </c>
      <c r="H20" s="8" t="str">
        <f ca="1">IF(AND(C20,F20), COUNTIF(Overlap!A:A, A20), "-")</f>
        <v>-</v>
      </c>
      <c r="I20" s="6"/>
    </row>
    <row r="21" spans="1:9" x14ac:dyDescent="0.25">
      <c r="A21" s="5">
        <v>20</v>
      </c>
      <c r="B21" s="6" t="str">
        <f ca="1">IFERROR(__xludf.DUMMYFUNCTION("""COMPUTED_VALUE"""),"Ren, R., Castro, J. W., Santos, A., Pérez-Soler, S., Acuña, S. T., &amp; de Lara, J. (2020, April). Collaborative modelling: chatbots or on-line tools? an experimental study. In Proceedings of the 24th International Conference on Evaluation and Assessment in "&amp;"Software Engineering (pp. 260-269).")</f>
        <v>Ren, R., Castro, J. W., Santos, A., Pérez-Soler, S., Acuña, S. T., &amp; de Lara, J. (2020, April). Collaborative modelling: chatbots or on-line tools? an experimental study. In Proceedings of the 24th International Conference on Evaluation and Assessment in Software Engineering (pp. 260-269).</v>
      </c>
      <c r="C21" s="7" t="b">
        <f ca="1">IFERROR(__xludf.DUMMYFUNCTION("""COMPUTED_VALUE"""),TRUE)</f>
        <v>1</v>
      </c>
      <c r="D21" s="5" t="str">
        <f ca="1">IFERROR(__xludf.DUMMYFUNCTION("""COMPUTED_VALUE"""),"jfr")</f>
        <v>jfr</v>
      </c>
      <c r="E21" s="5">
        <f ca="1">IF(C21, COUNTIF(Extraction!A:A, A21), "-")</f>
        <v>0</v>
      </c>
      <c r="F21" s="7" t="b">
        <f ca="1">IFERROR(__xludf.DUMMYFUNCTION("(COUNTIF(IMPORTRANGE(""https://docs.google.com/spreadsheets/d/1XUJGjtfB9SoW1rbohdkE9Z52MKac6AJzLHIsCSLTjGo/edit#gid=0"", ""Overlap!A2:A15""), A21)&gt;0)"),FALSE)</f>
        <v>0</v>
      </c>
      <c r="G21" s="5" t="str">
        <f t="shared" ca="1" si="0"/>
        <v xml:space="preserve"> </v>
      </c>
      <c r="H21" s="8" t="str">
        <f ca="1">IF(AND(C21,F21), COUNTIF(Overlap!A:A, A21), "-")</f>
        <v>-</v>
      </c>
      <c r="I21" s="6"/>
    </row>
    <row r="22" spans="1:9" x14ac:dyDescent="0.25">
      <c r="A22" s="5">
        <v>21</v>
      </c>
      <c r="B22" s="6" t="str">
        <f ca="1">IFERROR(__xludf.DUMMYFUNCTION("""COMPUTED_VALUE"""),"Li, X., Zheng, C., Pan, Z., Huang, Z., Niu, Y., Wang, P., &amp; Geng, W. (2023). Comparative Study on 2D and 3D User Interface for Eliminating Cognitive Loads in Augmented Reality Repetitive Tasks. International Journal of Human–Computer Interaction, 1-17.")</f>
        <v>Li, X., Zheng, C., Pan, Z., Huang, Z., Niu, Y., Wang, P., &amp; Geng, W. (2023). Comparative Study on 2D and 3D User Interface for Eliminating Cognitive Loads in Augmented Reality Repetitive Tasks. International Journal of Human–Computer Interaction, 1-17.</v>
      </c>
      <c r="C22" s="7" t="b">
        <f ca="1">IFERROR(__xludf.DUMMYFUNCTION("""COMPUTED_VALUE"""),FALSE)</f>
        <v>0</v>
      </c>
      <c r="D22" s="5" t="str">
        <f ca="1">IFERROR(__xludf.DUMMYFUNCTION("""COMPUTED_VALUE"""),"dfu")</f>
        <v>dfu</v>
      </c>
      <c r="E22" s="5" t="str">
        <f ca="1">IF(C22, COUNTIF(Extraction!A:A, A22), "-")</f>
        <v>-</v>
      </c>
      <c r="F22" s="7" t="b">
        <f ca="1">IFERROR(__xludf.DUMMYFUNCTION("(COUNTIF(IMPORTRANGE(""https://docs.google.com/spreadsheets/d/1XUJGjtfB9SoW1rbohdkE9Z52MKac6AJzLHIsCSLTjGo/edit#gid=0"", ""Overlap!A2:A15""), A22)&gt;0)"),FALSE)</f>
        <v>0</v>
      </c>
      <c r="G22" s="5" t="str">
        <f t="shared" ca="1" si="0"/>
        <v xml:space="preserve"> </v>
      </c>
      <c r="H22" s="8" t="str">
        <f ca="1">IF(AND(C22,F22), COUNTIF(Overlap!A:A, A22), "-")</f>
        <v>-</v>
      </c>
      <c r="I22" s="6"/>
    </row>
    <row r="23" spans="1:9" x14ac:dyDescent="0.25">
      <c r="A23" s="5">
        <v>22</v>
      </c>
      <c r="B23" s="6" t="str">
        <f ca="1">IFERROR(__xludf.DUMMYFUNCTION("""COMPUTED_VALUE"""),"Dinga, M., Malavolta, I., Giamattei, L., Guerriero, A., &amp; Pietrantuono, R. (2023, November). An empirical evaluation of the energy and performance overhead of monitoring tools on docker-based systems. In International Conference on Service-Oriented Comput"&amp;"ing (pp. 181-196). Cham: Springer Nature Switzerland.")</f>
        <v>Dinga, M., Malavolta, I., Giamattei, L., Guerriero, A., &amp; Pietrantuono, R. (2023, November). An empirical evaluation of the energy and performance overhead of monitoring tools on docker-based systems. In International Conference on Service-Oriented Computing (pp. 181-196). Cham: Springer Nature Switzerland.</v>
      </c>
      <c r="C23" s="7" t="b">
        <f ca="1">IFERROR(__xludf.DUMMYFUNCTION("""COMPUTED_VALUE"""),FALSE)</f>
        <v>0</v>
      </c>
      <c r="D23" s="5" t="str">
        <f ca="1">IFERROR(__xludf.DUMMYFUNCTION("""COMPUTED_VALUE"""),"jfr")</f>
        <v>jfr</v>
      </c>
      <c r="E23" s="5" t="str">
        <f ca="1">IF(C23, COUNTIF(Extraction!A:A, A23), "-")</f>
        <v>-</v>
      </c>
      <c r="F23" s="7" t="b">
        <f ca="1">IFERROR(__xludf.DUMMYFUNCTION("(COUNTIF(IMPORTRANGE(""https://docs.google.com/spreadsheets/d/1XUJGjtfB9SoW1rbohdkE9Z52MKac6AJzLHIsCSLTjGo/edit#gid=0"", ""Overlap!A2:A15""), A23)&gt;0)"),FALSE)</f>
        <v>0</v>
      </c>
      <c r="G23" s="5" t="str">
        <f t="shared" ca="1" si="0"/>
        <v xml:space="preserve"> </v>
      </c>
      <c r="H23" s="8" t="str">
        <f ca="1">IF(AND(C23,F23), COUNTIF(Overlap!A:A, A23), "-")</f>
        <v>-</v>
      </c>
      <c r="I23" s="6"/>
    </row>
    <row r="24" spans="1:9" x14ac:dyDescent="0.25">
      <c r="A24" s="5">
        <v>23</v>
      </c>
      <c r="B24" s="6" t="str">
        <f ca="1">IFERROR(__xludf.DUMMYFUNCTION("""COMPUTED_VALUE"""),"Baldassarre, M. T., Caivano, D., Fucci, D., Juristo, N., Romano, S., Scanniello, G., &amp; Turhan, B. (2021). Studying test-driven development and its retainment over a six-month time span. Journal of Systems and Software, 176, 110937.")</f>
        <v>Baldassarre, M. T., Caivano, D., Fucci, D., Juristo, N., Romano, S., Scanniello, G., &amp; Turhan, B. (2021). Studying test-driven development and its retainment over a six-month time span. Journal of Systems and Software, 176, 110937.</v>
      </c>
      <c r="C24" s="7" t="b">
        <f ca="1">IFERROR(__xludf.DUMMYFUNCTION("""COMPUTED_VALUE"""),FALSE)</f>
        <v>0</v>
      </c>
      <c r="D24" s="5" t="str">
        <f ca="1">IFERROR(__xludf.DUMMYFUNCTION("""COMPUTED_VALUE"""),"dfu")</f>
        <v>dfu</v>
      </c>
      <c r="E24" s="5" t="str">
        <f ca="1">IF(C24, COUNTIF(Extraction!A:A, A24), "-")</f>
        <v>-</v>
      </c>
      <c r="F24" s="7" t="b">
        <f ca="1">IFERROR(__xludf.DUMMYFUNCTION("(COUNTIF(IMPORTRANGE(""https://docs.google.com/spreadsheets/d/1XUJGjtfB9SoW1rbohdkE9Z52MKac6AJzLHIsCSLTjGo/edit#gid=0"", ""Overlap!A2:A15""), A24)&gt;0)"),FALSE)</f>
        <v>0</v>
      </c>
      <c r="G24" s="5" t="str">
        <f t="shared" ca="1" si="0"/>
        <v xml:space="preserve"> </v>
      </c>
      <c r="H24" s="8" t="str">
        <f ca="1">IF(AND(C24,F24), COUNTIF(Overlap!A:A, A24), "-")</f>
        <v>-</v>
      </c>
      <c r="I24" s="6"/>
    </row>
    <row r="25" spans="1:9" x14ac:dyDescent="0.25">
      <c r="A25" s="5">
        <v>24</v>
      </c>
      <c r="B25" s="6" t="str">
        <f ca="1">IFERROR(__xludf.DUMMYFUNCTION("""COMPUTED_VALUE"""),"Santos, M., Gralha, C., Goulao, M., Araújo, J., Moreira, A., &amp; Cambeiro, J. (2016, September). What is the impact of bad layout in the understandability of social goal models?. In 2016 IEEE 24th International Requirements Engineering Conference (RE) (pp. "&amp;"206-215). IEEE.")</f>
        <v>Santos, M., Gralha, C., Goulao, M., Araújo, J., Moreira, A., &amp; Cambeiro, J. (2016, September). What is the impact of bad layout in the understandability of social goal models?. In 2016 IEEE 24th International Requirements Engineering Conference (RE) (pp. 206-215). IEEE.</v>
      </c>
      <c r="C25" s="7" t="b">
        <f ca="1">IFERROR(__xludf.DUMMYFUNCTION("""COMPUTED_VALUE"""),TRUE)</f>
        <v>1</v>
      </c>
      <c r="D25" s="5" t="str">
        <f ca="1">IFERROR(__xludf.DUMMYFUNCTION("""COMPUTED_VALUE"""),"jfr")</f>
        <v>jfr</v>
      </c>
      <c r="E25" s="5">
        <f ca="1">IF(C25, COUNTIF(Extraction!A:A, A25), "-")</f>
        <v>0</v>
      </c>
      <c r="F25" s="7" t="b">
        <f ca="1">IFERROR(__xludf.DUMMYFUNCTION("(COUNTIF(IMPORTRANGE(""https://docs.google.com/spreadsheets/d/1XUJGjtfB9SoW1rbohdkE9Z52MKac6AJzLHIsCSLTjGo/edit#gid=0"", ""Overlap!A2:A15""), A25)&gt;0)"),FALSE)</f>
        <v>0</v>
      </c>
      <c r="G25" s="5" t="str">
        <f t="shared" ca="1" si="0"/>
        <v xml:space="preserve"> </v>
      </c>
      <c r="H25" s="8" t="str">
        <f ca="1">IF(AND(C25,F25), COUNTIF(Overlap!A:A, A25), "-")</f>
        <v>-</v>
      </c>
      <c r="I25" s="6"/>
    </row>
    <row r="26" spans="1:9" x14ac:dyDescent="0.25">
      <c r="A26" s="5">
        <v>25</v>
      </c>
      <c r="B26" s="6" t="str">
        <f ca="1">IFERROR(__xludf.DUMMYFUNCTION("""COMPUTED_VALUE"""),"Baatartogtokh, Y., Foster, I., &amp; Grubb, A. M. (2023, September). An Experiment on the Effects of Using Color to Visualize Requirements Analysis Tasks. In 2023 IEEE 31st International Requirements Engineering Conference (RE) (pp. 146-156). IEEE.")</f>
        <v>Baatartogtokh, Y., Foster, I., &amp; Grubb, A. M. (2023, September). An Experiment on the Effects of Using Color to Visualize Requirements Analysis Tasks. In 2023 IEEE 31st International Requirements Engineering Conference (RE) (pp. 146-156). IEEE.</v>
      </c>
      <c r="C26" s="7" t="b">
        <f ca="1">IFERROR(__xludf.DUMMYFUNCTION("""COMPUTED_VALUE"""),FALSE)</f>
        <v>0</v>
      </c>
      <c r="D26" s="5" t="str">
        <f ca="1">IFERROR(__xludf.DUMMYFUNCTION("""COMPUTED_VALUE"""),"dfu")</f>
        <v>dfu</v>
      </c>
      <c r="E26" s="5" t="str">
        <f ca="1">IF(C26, COUNTIF(Extraction!A:A, A26), "-")</f>
        <v>-</v>
      </c>
      <c r="F26" s="7" t="b">
        <f ca="1">IFERROR(__xludf.DUMMYFUNCTION("(COUNTIF(IMPORTRANGE(""https://docs.google.com/spreadsheets/d/1XUJGjtfB9SoW1rbohdkE9Z52MKac6AJzLHIsCSLTjGo/edit#gid=0"", ""Overlap!A2:A15""), A26)&gt;0)"),FALSE)</f>
        <v>0</v>
      </c>
      <c r="G26" s="5" t="str">
        <f t="shared" ca="1" si="0"/>
        <v xml:space="preserve"> </v>
      </c>
      <c r="H26" s="8" t="str">
        <f ca="1">IF(AND(C26,F26), COUNTIF(Overlap!A:A, A26), "-")</f>
        <v>-</v>
      </c>
      <c r="I26" s="6"/>
    </row>
    <row r="27" spans="1:9" x14ac:dyDescent="0.25">
      <c r="A27" s="5">
        <v>26</v>
      </c>
      <c r="B27" s="6" t="str">
        <f ca="1">IFERROR(__xludf.DUMMYFUNCTION("""COMPUTED_VALUE"""),"Albuquerque, D., Guimarães, S. E., Perkusich, M., Rique, T., Cunha, F., Almeida, H., &amp; Perkusich, A. (2023). On the Assessment of Interactive Detection of Code Smells in Practice: A Controlled Experiment. IEEE Access.")</f>
        <v>Albuquerque, D., Guimarães, S. E., Perkusich, M., Rique, T., Cunha, F., Almeida, H., &amp; Perkusich, A. (2023). On the Assessment of Interactive Detection of Code Smells in Practice: A Controlled Experiment. IEEE Access.</v>
      </c>
      <c r="C27" s="7" t="b">
        <f ca="1">IFERROR(__xludf.DUMMYFUNCTION("""COMPUTED_VALUE"""),TRUE)</f>
        <v>1</v>
      </c>
      <c r="D27" s="5" t="str">
        <f ca="1">IFERROR(__xludf.DUMMYFUNCTION("""COMPUTED_VALUE"""),"jfr")</f>
        <v>jfr</v>
      </c>
      <c r="E27" s="5">
        <f ca="1">IF(C27, COUNTIF(Extraction!A:A, A27), "-")</f>
        <v>0</v>
      </c>
      <c r="F27" s="7" t="b">
        <f ca="1">IFERROR(__xludf.DUMMYFUNCTION("(COUNTIF(IMPORTRANGE(""https://docs.google.com/spreadsheets/d/1XUJGjtfB9SoW1rbohdkE9Z52MKac6AJzLHIsCSLTjGo/edit#gid=0"", ""Overlap!A2:A15""), A27)&gt;0)"),FALSE)</f>
        <v>0</v>
      </c>
      <c r="G27" s="5" t="str">
        <f t="shared" ca="1" si="0"/>
        <v xml:space="preserve"> </v>
      </c>
      <c r="H27" s="8" t="str">
        <f ca="1">IF(AND(C27,F27), COUNTIF(Overlap!A:A, A27), "-")</f>
        <v>-</v>
      </c>
      <c r="I27" s="6"/>
    </row>
    <row r="28" spans="1:9" x14ac:dyDescent="0.25">
      <c r="A28" s="5">
        <v>27</v>
      </c>
      <c r="B28" s="6" t="str">
        <f ca="1">IFERROR(__xludf.DUMMYFUNCTION("""COMPUTED_VALUE"""),"Wang, W., Fraser, G., Bobbadi, M., Tabarsi, B. T., Barnes, T., Martens, C., ... &amp; Price, T. (2022, September). Pinpoint: A Record, Replay, and Extract System to Support Code Comprehension and Reuse. In 2022 IEEE Symposium on Visual Languages and Human-Cen"&amp;"tric Computing (VL/HCC) (pp. 1-10). IEEE.")</f>
        <v>Wang, W., Fraser, G., Bobbadi, M., Tabarsi, B. T., Barnes, T., Martens, C., ... &amp; Price, T. (2022, September). Pinpoint: A Record, Replay, and Extract System to Support Code Comprehension and Reuse. In 2022 IEEE Symposium on Visual Languages and Human-Centric Computing (VL/HCC) (pp. 1-10). IEEE.</v>
      </c>
      <c r="C28" s="7" t="b">
        <f ca="1">IFERROR(__xludf.DUMMYFUNCTION("""COMPUTED_VALUE"""),TRUE)</f>
        <v>1</v>
      </c>
      <c r="D28" s="5" t="str">
        <f ca="1">IFERROR(__xludf.DUMMYFUNCTION("""COMPUTED_VALUE"""),"dfu")</f>
        <v>dfu</v>
      </c>
      <c r="E28" s="5">
        <f ca="1">IF(C28, COUNTIF(Extraction!A:A, A28), "-")</f>
        <v>0</v>
      </c>
      <c r="F28" s="7" t="b">
        <f ca="1">IFERROR(__xludf.DUMMYFUNCTION("(COUNTIF(IMPORTRANGE(""https://docs.google.com/spreadsheets/d/1XUJGjtfB9SoW1rbohdkE9Z52MKac6AJzLHIsCSLTjGo/edit#gid=0"", ""Overlap!A2:A15""), A28)&gt;0)"),FALSE)</f>
        <v>0</v>
      </c>
      <c r="G28" s="5" t="str">
        <f t="shared" ca="1" si="0"/>
        <v xml:space="preserve"> </v>
      </c>
      <c r="H28" s="8" t="str">
        <f ca="1">IF(AND(C28,F28), COUNTIF(Overlap!A:A, A28), "-")</f>
        <v>-</v>
      </c>
      <c r="I28" s="6"/>
    </row>
    <row r="29" spans="1:9" x14ac:dyDescent="0.25">
      <c r="A29" s="5">
        <v>28</v>
      </c>
      <c r="B29" s="6" t="str">
        <f ca="1">IFERROR(__xludf.DUMMYFUNCTION("""COMPUTED_VALUE"""),"Cruz, N. A., Melo, O. O., &amp; Martinez, C. A. (2024). A correlation structure for the analysis of Gaussian and non-Gaussian responses in crossover experimental designs with repeated measures. Statistical Papers, 65(1), 263-290.")</f>
        <v>Cruz, N. A., Melo, O. O., &amp; Martinez, C. A. (2024). A correlation structure for the analysis of Gaussian and non-Gaussian responses in crossover experimental designs with repeated measures. Statistical Papers, 65(1), 263-290.</v>
      </c>
      <c r="C29" s="7" t="b">
        <f ca="1">IFERROR(__xludf.DUMMYFUNCTION("""COMPUTED_VALUE"""),FALSE)</f>
        <v>0</v>
      </c>
      <c r="D29" s="5" t="str">
        <f ca="1">IFERROR(__xludf.DUMMYFUNCTION("""COMPUTED_VALUE"""),"jfr")</f>
        <v>jfr</v>
      </c>
      <c r="E29" s="5" t="str">
        <f ca="1">IF(C29, COUNTIF(Extraction!A:A, A29), "-")</f>
        <v>-</v>
      </c>
      <c r="F29" s="7" t="b">
        <f ca="1">IFERROR(__xludf.DUMMYFUNCTION("(COUNTIF(IMPORTRANGE(""https://docs.google.com/spreadsheets/d/1XUJGjtfB9SoW1rbohdkE9Z52MKac6AJzLHIsCSLTjGo/edit#gid=0"", ""Overlap!A2:A15""), A29)&gt;0)"),FALSE)</f>
        <v>0</v>
      </c>
      <c r="G29" s="5" t="str">
        <f t="shared" ca="1" si="0"/>
        <v xml:space="preserve"> </v>
      </c>
      <c r="H29" s="8" t="str">
        <f ca="1">IF(AND(C29,F29), COUNTIF(Overlap!A:A, A29), "-")</f>
        <v>-</v>
      </c>
      <c r="I29" s="6"/>
    </row>
    <row r="30" spans="1:9" x14ac:dyDescent="0.25">
      <c r="A30" s="5">
        <v>29</v>
      </c>
      <c r="B30" s="6" t="str">
        <f ca="1">IFERROR(__xludf.DUMMYFUNCTION("""COMPUTED_VALUE"""),"Fucci, D., Romano, S., Baldassarre, M. T., Caivano, D., Scanniello, G., Turhan, B., &amp; Juristo, N. (2018, October). A longitudinal cohort study on the retainment of test-driven development. In Proceedings of the 12th ACM/IEEE International Symposium on Emp"&amp;"irical Software Engineering and Measurement (pp. 1-10).")</f>
        <v>Fucci, D., Romano, S., Baldassarre, M. T., Caivano, D., Scanniello, G., Turhan, B., &amp; Juristo, N. (2018, October). A longitudinal cohort study on the retainment of test-driven development. In Proceedings of the 12th ACM/IEEE International Symposium on Empirical Software Engineering and Measurement (pp. 1-10).</v>
      </c>
      <c r="C30" s="7" t="b">
        <f ca="1">IFERROR(__xludf.DUMMYFUNCTION("""COMPUTED_VALUE"""),TRUE)</f>
        <v>1</v>
      </c>
      <c r="D30" s="5" t="str">
        <f ca="1">IFERROR(__xludf.DUMMYFUNCTION("""COMPUTED_VALUE"""),"dfu")</f>
        <v>dfu</v>
      </c>
      <c r="E30" s="5">
        <f ca="1">IF(C30, COUNTIF(Extraction!A:A, A30), "-")</f>
        <v>0</v>
      </c>
      <c r="F30" s="7" t="b">
        <f ca="1">IFERROR(__xludf.DUMMYFUNCTION("(COUNTIF(IMPORTRANGE(""https://docs.google.com/spreadsheets/d/1XUJGjtfB9SoW1rbohdkE9Z52MKac6AJzLHIsCSLTjGo/edit#gid=0"", ""Overlap!A2:A15""), A30)&gt;0)"),FALSE)</f>
        <v>0</v>
      </c>
      <c r="G30" s="5" t="str">
        <f t="shared" ca="1" si="0"/>
        <v xml:space="preserve"> </v>
      </c>
      <c r="H30" s="8" t="str">
        <f ca="1">IF(AND(C30,F30), COUNTIF(Overlap!A:A, A30), "-")</f>
        <v>-</v>
      </c>
      <c r="I30" s="6"/>
    </row>
    <row r="31" spans="1:9" x14ac:dyDescent="0.25">
      <c r="A31" s="5">
        <v>30</v>
      </c>
      <c r="B31" s="6" t="str">
        <f ca="1">IFERROR(__xludf.DUMMYFUNCTION("""COMPUTED_VALUE"""),"Domingo, Á., Echeverría, J., Pastor, Ó., &amp; Cetina, C. (2021, June). Comparing UML-based and DSL-based Modeling from Subjective and Objective Perspectives. In International Conference on Advanced Information Systems Engineering (pp. 483-498). Cham: Springe"&amp;"r International Publishing.")</f>
        <v>Domingo, Á., Echeverría, J., Pastor, Ó., &amp; Cetina, C. (2021, June). Comparing UML-based and DSL-based Modeling from Subjective and Objective Perspectives. In International Conference on Advanced Information Systems Engineering (pp. 483-498). Cham: Springer International Publishing.</v>
      </c>
      <c r="C31" s="7" t="b">
        <f ca="1">IFERROR(__xludf.DUMMYFUNCTION("""COMPUTED_VALUE"""),TRUE)</f>
        <v>1</v>
      </c>
      <c r="D31" s="5" t="str">
        <f ca="1">IFERROR(__xludf.DUMMYFUNCTION("""COMPUTED_VALUE"""),"dfu")</f>
        <v>dfu</v>
      </c>
      <c r="E31" s="5">
        <f ca="1">IF(C31, COUNTIF(Extraction!A:A, A31), "-")</f>
        <v>0</v>
      </c>
      <c r="F31" s="7" t="b">
        <f ca="1">IFERROR(__xludf.DUMMYFUNCTION("(COUNTIF(IMPORTRANGE(""https://docs.google.com/spreadsheets/d/1XUJGjtfB9SoW1rbohdkE9Z52MKac6AJzLHIsCSLTjGo/edit#gid=0"", ""Overlap!A2:A15""), A31)&gt;0)"),FALSE)</f>
        <v>0</v>
      </c>
      <c r="G31" s="5" t="str">
        <f t="shared" ca="1" si="0"/>
        <v xml:space="preserve"> </v>
      </c>
      <c r="H31" s="8" t="str">
        <f ca="1">IF(AND(C31,F31), COUNTIF(Overlap!A:A, A31), "-")</f>
        <v>-</v>
      </c>
      <c r="I31" s="6"/>
    </row>
    <row r="32" spans="1:9" x14ac:dyDescent="0.25">
      <c r="A32" s="5">
        <v>31</v>
      </c>
      <c r="B32" s="6" t="str">
        <f ca="1">IFERROR(__xludf.DUMMYFUNCTION("""COMPUTED_VALUE"""),"Scanniello, G., Risi, M., Tramontana, P., &amp; Romano, S. (2017). Fixing faults in c and java source code: Abbreviated vs. full-word identifier names. ACM Transactions on Software Engineering and Methodology (TOSEM), 26(2), 1-43.")</f>
        <v>Scanniello, G., Risi, M., Tramontana, P., &amp; Romano, S. (2017). Fixing faults in c and java source code: Abbreviated vs. full-word identifier names. ACM Transactions on Software Engineering and Methodology (TOSEM), 26(2), 1-43.</v>
      </c>
      <c r="C32" s="7" t="b">
        <f ca="1">IFERROR(__xludf.DUMMYFUNCTION("""COMPUTED_VALUE"""),TRUE)</f>
        <v>1</v>
      </c>
      <c r="D32" s="5" t="str">
        <f ca="1">IFERROR(__xludf.DUMMYFUNCTION("""COMPUTED_VALUE"""),"jfr")</f>
        <v>jfr</v>
      </c>
      <c r="E32" s="5">
        <f ca="1">IF(C32, COUNTIF(Extraction!A:A, A32), "-")</f>
        <v>0</v>
      </c>
      <c r="F32" s="7" t="b">
        <f ca="1">IFERROR(__xludf.DUMMYFUNCTION("(COUNTIF(IMPORTRANGE(""https://docs.google.com/spreadsheets/d/1XUJGjtfB9SoW1rbohdkE9Z52MKac6AJzLHIsCSLTjGo/edit#gid=0"", ""Overlap!A2:A15""), A32)&gt;0)"),FALSE)</f>
        <v>0</v>
      </c>
      <c r="G32" s="5" t="str">
        <f t="shared" ca="1" si="0"/>
        <v xml:space="preserve"> </v>
      </c>
      <c r="H32" s="8" t="str">
        <f ca="1">IF(AND(C32,F32), COUNTIF(Overlap!A:A, A32), "-")</f>
        <v>-</v>
      </c>
      <c r="I32" s="6"/>
    </row>
    <row r="33" spans="1:9" x14ac:dyDescent="0.25">
      <c r="A33" s="5">
        <v>32</v>
      </c>
      <c r="B33" s="6" t="str">
        <f ca="1">IFERROR(__xludf.DUMMYFUNCTION("""COMPUTED_VALUE"""),"Karac, I., Turhan, B., &amp; Juristo, N. (2019). A controlled experiment with novice developers on the impact of task description granularity on software quality in test-driven development. IEEE Transactions on Software Engineering, 47(7), 1315-1330.")</f>
        <v>Karac, I., Turhan, B., &amp; Juristo, N. (2019). A controlled experiment with novice developers on the impact of task description granularity on software quality in test-driven development. IEEE Transactions on Software Engineering, 47(7), 1315-1330.</v>
      </c>
      <c r="C33" s="7" t="b">
        <f ca="1">IFERROR(__xludf.DUMMYFUNCTION("""COMPUTED_VALUE"""),TRUE)</f>
        <v>1</v>
      </c>
      <c r="D33" s="5" t="str">
        <f ca="1">IFERROR(__xludf.DUMMYFUNCTION("""COMPUTED_VALUE"""),"dfu")</f>
        <v>dfu</v>
      </c>
      <c r="E33" s="5">
        <f ca="1">IF(C33, COUNTIF(Extraction!A:A, A33), "-")</f>
        <v>0</v>
      </c>
      <c r="F33" s="7" t="b">
        <f ca="1">IFERROR(__xludf.DUMMYFUNCTION("(COUNTIF(IMPORTRANGE(""https://docs.google.com/spreadsheets/d/1XUJGjtfB9SoW1rbohdkE9Z52MKac6AJzLHIsCSLTjGo/edit#gid=0"", ""Overlap!A2:A15""), A33)&gt;0)"),FALSE)</f>
        <v>0</v>
      </c>
      <c r="G33" s="5" t="str">
        <f t="shared" ca="1" si="0"/>
        <v xml:space="preserve"> </v>
      </c>
      <c r="H33" s="8" t="str">
        <f ca="1">IF(AND(C33,F33), COUNTIF(Overlap!A:A, A33), "-")</f>
        <v>-</v>
      </c>
      <c r="I33" s="6"/>
    </row>
    <row r="34" spans="1:9" x14ac:dyDescent="0.25">
      <c r="A34" s="5">
        <v>33</v>
      </c>
      <c r="B34" s="6" t="str">
        <f ca="1">IFERROR(__xludf.DUMMYFUNCTION("""COMPUTED_VALUE"""),"Romano, S., Capece, N., Erra, U., Scanniello, G., &amp; Lanza, M. (2019). The city metaphor in software visualization: feelings, emotions, and thinking. Multimedia Tools and Applications, 78, 33113-33149.")</f>
        <v>Romano, S., Capece, N., Erra, U., Scanniello, G., &amp; Lanza, M. (2019). The city metaphor in software visualization: feelings, emotions, and thinking. Multimedia Tools and Applications, 78, 33113-33149.</v>
      </c>
      <c r="C34" s="7" t="b">
        <f ca="1">IFERROR(__xludf.DUMMYFUNCTION("""COMPUTED_VALUE"""),FALSE)</f>
        <v>0</v>
      </c>
      <c r="D34" s="5" t="str">
        <f ca="1">IFERROR(__xludf.DUMMYFUNCTION("""COMPUTED_VALUE"""),"jfr")</f>
        <v>jfr</v>
      </c>
      <c r="E34" s="5" t="str">
        <f ca="1">IF(C34, COUNTIF(Extraction!A:A, A34), "-")</f>
        <v>-</v>
      </c>
      <c r="F34" s="7" t="b">
        <f ca="1">IFERROR(__xludf.DUMMYFUNCTION("(COUNTIF(IMPORTRANGE(""https://docs.google.com/spreadsheets/d/1XUJGjtfB9SoW1rbohdkE9Z52MKac6AJzLHIsCSLTjGo/edit#gid=0"", ""Overlap!A2:A15""), A34)&gt;0)"),FALSE)</f>
        <v>0</v>
      </c>
      <c r="G34" s="5" t="str">
        <f t="shared" ca="1" si="0"/>
        <v xml:space="preserve"> </v>
      </c>
      <c r="H34" s="8" t="str">
        <f ca="1">IF(AND(C34,F34), COUNTIF(Overlap!A:A, A34), "-")</f>
        <v>-</v>
      </c>
      <c r="I34" s="6"/>
    </row>
    <row r="35" spans="1:9" x14ac:dyDescent="0.25">
      <c r="A35" s="5">
        <v>34</v>
      </c>
      <c r="B35" s="6" t="str">
        <f ca="1">IFERROR(__xludf.DUMMYFUNCTION("""COMPUTED_VALUE"""),"Cruz Gutierrez, N. A., Melo, O. O., &amp; Martinez, C. A. (2023). Semiparametric generalized estimating equations for repeated measurements in cross-over designs. Statistical Methods in Medical Research, 32(5), 1033-1050.")</f>
        <v>Cruz Gutierrez, N. A., Melo, O. O., &amp; Martinez, C. A. (2023). Semiparametric generalized estimating equations for repeated measurements in cross-over designs. Statistical Methods in Medical Research, 32(5), 1033-1050.</v>
      </c>
      <c r="C35" s="7" t="b">
        <f ca="1">IFERROR(__xludf.DUMMYFUNCTION("""COMPUTED_VALUE"""),FALSE)</f>
        <v>0</v>
      </c>
      <c r="D35" s="5" t="str">
        <f ca="1">IFERROR(__xludf.DUMMYFUNCTION("""COMPUTED_VALUE"""),"jfr")</f>
        <v>jfr</v>
      </c>
      <c r="E35" s="5" t="str">
        <f ca="1">IF(C35, COUNTIF(Extraction!A:A, A35), "-")</f>
        <v>-</v>
      </c>
      <c r="F35" s="7" t="b">
        <f ca="1">IFERROR(__xludf.DUMMYFUNCTION("(COUNTIF(IMPORTRANGE(""https://docs.google.com/spreadsheets/d/1XUJGjtfB9SoW1rbohdkE9Z52MKac6AJzLHIsCSLTjGo/edit#gid=0"", ""Overlap!A2:A15""), A35)&gt;0)"),FALSE)</f>
        <v>0</v>
      </c>
      <c r="G35" s="5" t="str">
        <f t="shared" ca="1" si="0"/>
        <v xml:space="preserve"> </v>
      </c>
      <c r="H35" s="8" t="str">
        <f ca="1">IF(AND(C35,F35), COUNTIF(Overlap!A:A, A35), "-")</f>
        <v>-</v>
      </c>
      <c r="I35" s="6"/>
    </row>
    <row r="36" spans="1:9" x14ac:dyDescent="0.25">
      <c r="A36" s="5">
        <v>35</v>
      </c>
      <c r="B36" s="6" t="str">
        <f ca="1">IFERROR(__xludf.DUMMYFUNCTION("""COMPUTED_VALUE"""),"Moreno-Lumbreras, D., Robles, G., Izquierdo-Cortázar, D., &amp; Gonzalez-Barahona, J. M. (2024). Software development metrics: to VR or not to VR. Empirical Software Engineering, 29(2), 1-49.")</f>
        <v>Moreno-Lumbreras, D., Robles, G., Izquierdo-Cortázar, D., &amp; Gonzalez-Barahona, J. M. (2024). Software development metrics: to VR or not to VR. Empirical Software Engineering, 29(2), 1-49.</v>
      </c>
      <c r="C36" s="7" t="b">
        <f ca="1">IFERROR(__xludf.DUMMYFUNCTION("""COMPUTED_VALUE"""),TRUE)</f>
        <v>1</v>
      </c>
      <c r="D36" s="5" t="str">
        <f ca="1">IFERROR(__xludf.DUMMYFUNCTION("""COMPUTED_VALUE"""),"dfu")</f>
        <v>dfu</v>
      </c>
      <c r="E36" s="5">
        <f ca="1">IF(C36, COUNTIF(Extraction!A:A, A36), "-")</f>
        <v>0</v>
      </c>
      <c r="F36" s="7" t="b">
        <f ca="1">IFERROR(__xludf.DUMMYFUNCTION("(COUNTIF(IMPORTRANGE(""https://docs.google.com/spreadsheets/d/1XUJGjtfB9SoW1rbohdkE9Z52MKac6AJzLHIsCSLTjGo/edit#gid=0"", ""Overlap!A2:A15""), A36)&gt;0)"),FALSE)</f>
        <v>0</v>
      </c>
      <c r="G36" s="5" t="str">
        <f t="shared" ca="1" si="0"/>
        <v xml:space="preserve"> </v>
      </c>
      <c r="H36" s="8" t="str">
        <f ca="1">IF(AND(C36,F36), COUNTIF(Overlap!A:A, A36), "-")</f>
        <v>-</v>
      </c>
      <c r="I36" s="6"/>
    </row>
    <row r="37" spans="1:9" x14ac:dyDescent="0.25">
      <c r="A37" s="5">
        <v>36</v>
      </c>
      <c r="B37" s="6" t="str">
        <f ca="1">IFERROR(__xludf.DUMMYFUNCTION("""COMPUTED_VALUE"""),"Mehlhorn, N., &amp; Hanenberg, S. (2022, May). Imperative versus declarative collection processing: an RCT on the understandability of traditional loops versus the stream API in Java. In Proceedings of the 44th International Conference on Software Engineering"&amp;" (pp. 1157-1168).")</f>
        <v>Mehlhorn, N., &amp; Hanenberg, S. (2022, May). Imperative versus declarative collection processing: an RCT on the understandability of traditional loops versus the stream API in Java. In Proceedings of the 44th International Conference on Software Engineering (pp. 1157-1168).</v>
      </c>
      <c r="C37" s="7" t="b">
        <f ca="1">IFERROR(__xludf.DUMMYFUNCTION("""COMPUTED_VALUE"""),TRUE)</f>
        <v>1</v>
      </c>
      <c r="D37" s="5" t="str">
        <f ca="1">IFERROR(__xludf.DUMMYFUNCTION("""COMPUTED_VALUE"""),"dfu")</f>
        <v>dfu</v>
      </c>
      <c r="E37" s="5">
        <f ca="1">IF(C37, COUNTIF(Extraction!A:A, A37), "-")</f>
        <v>0</v>
      </c>
      <c r="F37" s="7" t="b">
        <f ca="1">IFERROR(__xludf.DUMMYFUNCTION("(COUNTIF(IMPORTRANGE(""https://docs.google.com/spreadsheets/d/1XUJGjtfB9SoW1rbohdkE9Z52MKac6AJzLHIsCSLTjGo/edit#gid=0"", ""Overlap!A2:A15""), A37)&gt;0)"),FALSE)</f>
        <v>0</v>
      </c>
      <c r="G37" s="5" t="str">
        <f t="shared" ca="1" si="0"/>
        <v xml:space="preserve"> </v>
      </c>
      <c r="H37" s="8" t="str">
        <f ca="1">IF(AND(C37,F37), COUNTIF(Overlap!A:A, A37), "-")</f>
        <v>-</v>
      </c>
      <c r="I37" s="6"/>
    </row>
    <row r="38" spans="1:9" x14ac:dyDescent="0.25">
      <c r="A38" s="5">
        <v>37</v>
      </c>
      <c r="B38" s="6" t="str">
        <f ca="1">IFERROR(__xludf.DUMMYFUNCTION("""COMPUTED_VALUE"""),"Daun, M., Brings, J., &amp; Weyer, T. (2020, June). Do instance-level review diagrams support validation processes of cyber-physical system specifications: results from a controlled experiment. In Proceedings of the International Conference on Software and Sy"&amp;"stem Processes (pp. 11-20).")</f>
        <v>Daun, M., Brings, J., &amp; Weyer, T. (2020, June). Do instance-level review diagrams support validation processes of cyber-physical system specifications: results from a controlled experiment. In Proceedings of the International Conference on Software and System Processes (pp. 11-20).</v>
      </c>
      <c r="C38" s="7" t="b">
        <f ca="1">IFERROR(__xludf.DUMMYFUNCTION("""COMPUTED_VALUE"""),TRUE)</f>
        <v>1</v>
      </c>
      <c r="D38" s="5" t="str">
        <f ca="1">IFERROR(__xludf.DUMMYFUNCTION("""COMPUTED_VALUE"""),"jfr")</f>
        <v>jfr</v>
      </c>
      <c r="E38" s="5">
        <f ca="1">IF(C38, COUNTIF(Extraction!A:A, A38), "-")</f>
        <v>0</v>
      </c>
      <c r="F38" s="7" t="b">
        <f ca="1">IFERROR(__xludf.DUMMYFUNCTION("(COUNTIF(IMPORTRANGE(""https://docs.google.com/spreadsheets/d/1XUJGjtfB9SoW1rbohdkE9Z52MKac6AJzLHIsCSLTjGo/edit#gid=0"", ""Overlap!A2:A15""), A38)&gt;0)"),FALSE)</f>
        <v>0</v>
      </c>
      <c r="G38" s="5" t="str">
        <f t="shared" ca="1" si="0"/>
        <v xml:space="preserve"> </v>
      </c>
      <c r="H38" s="8" t="str">
        <f ca="1">IF(AND(C38,F38), COUNTIF(Overlap!A:A, A38), "-")</f>
        <v>-</v>
      </c>
      <c r="I38" s="6"/>
    </row>
    <row r="39" spans="1:9" x14ac:dyDescent="0.25">
      <c r="A39" s="5">
        <v>38</v>
      </c>
      <c r="B39" s="6" t="str">
        <f ca="1">IFERROR(__xludf.DUMMYFUNCTION("""COMPUTED_VALUE"""),"Ren, R., Perez-Soler, S., Castro, J. W., Dieste, O., &amp; Acuña, S. T. (2022). Using the socio chatbot for uml modeling: A second family of experiments on usability in academic settings. IEEE Access, 10, 130542-130562.")</f>
        <v>Ren, R., Perez-Soler, S., Castro, J. W., Dieste, O., &amp; Acuña, S. T. (2022). Using the socio chatbot for uml modeling: A second family of experiments on usability in academic settings. IEEE Access, 10, 130542-130562.</v>
      </c>
      <c r="C39" s="7" t="b">
        <f ca="1">IFERROR(__xludf.DUMMYFUNCTION("""COMPUTED_VALUE"""),TRUE)</f>
        <v>1</v>
      </c>
      <c r="D39" s="5" t="str">
        <f ca="1">IFERROR(__xludf.DUMMYFUNCTION("""COMPUTED_VALUE"""),"dfu")</f>
        <v>dfu</v>
      </c>
      <c r="E39" s="5">
        <f ca="1">IF(C39, COUNTIF(Extraction!A:A, A39), "-")</f>
        <v>0</v>
      </c>
      <c r="F39" s="7" t="b">
        <f ca="1">IFERROR(__xludf.DUMMYFUNCTION("(COUNTIF(IMPORTRANGE(""https://docs.google.com/spreadsheets/d/1XUJGjtfB9SoW1rbohdkE9Z52MKac6AJzLHIsCSLTjGo/edit#gid=0"", ""Overlap!A2:A15""), A39)&gt;0)"),FALSE)</f>
        <v>0</v>
      </c>
      <c r="G39" s="5" t="str">
        <f t="shared" ca="1" si="0"/>
        <v xml:space="preserve"> </v>
      </c>
      <c r="H39" s="8" t="str">
        <f ca="1">IF(AND(C39,F39), COUNTIF(Overlap!A:A, A39), "-")</f>
        <v>-</v>
      </c>
      <c r="I39" s="6"/>
    </row>
    <row r="40" spans="1:9" x14ac:dyDescent="0.25">
      <c r="A40" s="5">
        <v>39</v>
      </c>
      <c r="B40" s="6" t="str">
        <f ca="1">IFERROR(__xludf.DUMMYFUNCTION("""COMPUTED_VALUE"""),"Zhi, Q., Pu, W., Ren, J., &amp; Zhou, Z. (2023). A Defect Detection Method for the Primary Stage of Software Development. Computers, Materials &amp; Continua, 74(3).")</f>
        <v>Zhi, Q., Pu, W., Ren, J., &amp; Zhou, Z. (2023). A Defect Detection Method for the Primary Stage of Software Development. Computers, Materials &amp; Continua, 74(3).</v>
      </c>
      <c r="C40" s="7" t="b">
        <f ca="1">IFERROR(__xludf.DUMMYFUNCTION("""COMPUTED_VALUE"""),TRUE)</f>
        <v>1</v>
      </c>
      <c r="D40" s="5" t="str">
        <f ca="1">IFERROR(__xludf.DUMMYFUNCTION("""COMPUTED_VALUE"""),"dfu")</f>
        <v>dfu</v>
      </c>
      <c r="E40" s="5">
        <f ca="1">IF(C40, COUNTIF(Extraction!A:A, A40), "-")</f>
        <v>0</v>
      </c>
      <c r="F40" s="7" t="b">
        <f ca="1">IFERROR(__xludf.DUMMYFUNCTION("(COUNTIF(IMPORTRANGE(""https://docs.google.com/spreadsheets/d/1XUJGjtfB9SoW1rbohdkE9Z52MKac6AJzLHIsCSLTjGo/edit#gid=0"", ""Overlap!A2:A15""), A40)&gt;0)"),FALSE)</f>
        <v>0</v>
      </c>
      <c r="G40" s="5" t="str">
        <f t="shared" ca="1" si="0"/>
        <v xml:space="preserve"> </v>
      </c>
      <c r="H40" s="8" t="str">
        <f ca="1">IF(AND(C40,F40), COUNTIF(Overlap!A:A, A40), "-")</f>
        <v>-</v>
      </c>
      <c r="I40" s="6"/>
    </row>
    <row r="41" spans="1:9" x14ac:dyDescent="0.25">
      <c r="A41" s="5">
        <v>40</v>
      </c>
      <c r="B41" s="6" t="str">
        <f ca="1">IFERROR(__xludf.DUMMYFUNCTION("""COMPUTED_VALUE"""),"Massacci, F., Papotti, A., &amp; Paramitha, R. (2024). Addressing combinatorial experiments and scarcity of subjects by provably orthogonal and crossover experimental designs. Journal of Systems and Software, 111990.")</f>
        <v>Massacci, F., Papotti, A., &amp; Paramitha, R. (2024). Addressing combinatorial experiments and scarcity of subjects by provably orthogonal and crossover experimental designs. Journal of Systems and Software, 111990.</v>
      </c>
      <c r="C41" s="7" t="b">
        <f ca="1">IFERROR(__xludf.DUMMYFUNCTION("""COMPUTED_VALUE"""),FALSE)</f>
        <v>0</v>
      </c>
      <c r="D41" s="5" t="str">
        <f ca="1">IFERROR(__xludf.DUMMYFUNCTION("""COMPUTED_VALUE"""),"jfr")</f>
        <v>jfr</v>
      </c>
      <c r="E41" s="5" t="str">
        <f ca="1">IF(C41, COUNTIF(Extraction!A:A, A41), "-")</f>
        <v>-</v>
      </c>
      <c r="F41" s="7" t="b">
        <f ca="1">IFERROR(__xludf.DUMMYFUNCTION("(COUNTIF(IMPORTRANGE(""https://docs.google.com/spreadsheets/d/1XUJGjtfB9SoW1rbohdkE9Z52MKac6AJzLHIsCSLTjGo/edit#gid=0"", ""Overlap!A2:A15""), A41)&gt;0)"),TRUE)</f>
        <v>1</v>
      </c>
      <c r="G41" s="5" t="str">
        <f t="shared" ca="1" si="0"/>
        <v xml:space="preserve"> </v>
      </c>
      <c r="H41" s="8" t="str">
        <f ca="1">IF(AND(C41,F41), COUNTIF(Overlap!A:A, A41), "-")</f>
        <v>-</v>
      </c>
      <c r="I41" s="6"/>
    </row>
    <row r="42" spans="1:9" x14ac:dyDescent="0.25">
      <c r="A42" s="5">
        <v>41</v>
      </c>
      <c r="B42" s="6" t="str">
        <f ca="1">IFERROR(__xludf.DUMMYFUNCTION("""COMPUTED_VALUE"""),"Badampudi, D., Fotrousi, F., Cartaxo, B., &amp; Usman, M. (2022). Reporting Consent, Anonymity and Confidentiality Procedures Adopted in Empirical Studies Using Human Participants. e-Informatica Software Engineering Journal, 16(1).")</f>
        <v>Badampudi, D., Fotrousi, F., Cartaxo, B., &amp; Usman, M. (2022). Reporting Consent, Anonymity and Confidentiality Procedures Adopted in Empirical Studies Using Human Participants. e-Informatica Software Engineering Journal, 16(1).</v>
      </c>
      <c r="C42" s="7" t="b">
        <f ca="1">IFERROR(__xludf.DUMMYFUNCTION("""COMPUTED_VALUE"""),FALSE)</f>
        <v>0</v>
      </c>
      <c r="D42" s="5" t="str">
        <f ca="1">IFERROR(__xludf.DUMMYFUNCTION("""COMPUTED_VALUE"""),"jfr")</f>
        <v>jfr</v>
      </c>
      <c r="E42" s="5" t="str">
        <f ca="1">IF(C42, COUNTIF(Extraction!A:A, A42), "-")</f>
        <v>-</v>
      </c>
      <c r="F42" s="7" t="b">
        <f ca="1">IFERROR(__xludf.DUMMYFUNCTION("(COUNTIF(IMPORTRANGE(""https://docs.google.com/spreadsheets/d/1XUJGjtfB9SoW1rbohdkE9Z52MKac6AJzLHIsCSLTjGo/edit#gid=0"", ""Overlap!A2:A15""), A42)&gt;0)"),FALSE)</f>
        <v>0</v>
      </c>
      <c r="G42" s="5" t="str">
        <f t="shared" ca="1" si="0"/>
        <v xml:space="preserve"> </v>
      </c>
      <c r="H42" s="8" t="str">
        <f ca="1">IF(AND(C42,F42), COUNTIF(Overlap!A:A, A42), "-")</f>
        <v>-</v>
      </c>
      <c r="I42" s="6"/>
    </row>
    <row r="43" spans="1:9" x14ac:dyDescent="0.25">
      <c r="A43" s="5">
        <v>42</v>
      </c>
      <c r="B43" s="6" t="str">
        <f ca="1">IFERROR(__xludf.DUMMYFUNCTION("""COMPUTED_VALUE"""),"Nagel, L., Schmedes, M., Ahrens, M., &amp; Schneider, K. (2023). When details are difficult to portray: enriching vision videos. Requirements Engineering, 28(4), 521-539.")</f>
        <v>Nagel, L., Schmedes, M., Ahrens, M., &amp; Schneider, K. (2023). When details are difficult to portray: enriching vision videos. Requirements Engineering, 28(4), 521-539.</v>
      </c>
      <c r="C43" s="7" t="b">
        <f ca="1">IFERROR(__xludf.DUMMYFUNCTION("""COMPUTED_VALUE"""),FALSE)</f>
        <v>0</v>
      </c>
      <c r="D43" s="5" t="str">
        <f ca="1">IFERROR(__xludf.DUMMYFUNCTION("""COMPUTED_VALUE"""),"dfu")</f>
        <v>dfu</v>
      </c>
      <c r="E43" s="5" t="str">
        <f ca="1">IF(C43, COUNTIF(Extraction!A:A, A43), "-")</f>
        <v>-</v>
      </c>
      <c r="F43" s="7" t="b">
        <f ca="1">IFERROR(__xludf.DUMMYFUNCTION("(COUNTIF(IMPORTRANGE(""https://docs.google.com/spreadsheets/d/1XUJGjtfB9SoW1rbohdkE9Z52MKac6AJzLHIsCSLTjGo/edit#gid=0"", ""Overlap!A2:A15""), A43)&gt;0)"),FALSE)</f>
        <v>0</v>
      </c>
      <c r="G43" s="5" t="str">
        <f t="shared" ca="1" si="0"/>
        <v xml:space="preserve"> </v>
      </c>
      <c r="H43" s="8" t="str">
        <f ca="1">IF(AND(C43,F43), COUNTIF(Overlap!A:A, A43), "-")</f>
        <v>-</v>
      </c>
      <c r="I43" s="6"/>
    </row>
    <row r="44" spans="1:9" x14ac:dyDescent="0.25">
      <c r="A44" s="5">
        <v>43</v>
      </c>
      <c r="B44" s="6" t="str">
        <f ca="1">IFERROR(__xludf.DUMMYFUNCTION("""COMPUTED_VALUE"""),"Romano, S., Scanniello, G., Fucci, D., Juristo, N., &amp; Turhan, B. (2018, October). The effect of noise on software engineers' performance. In Proceedings of the 12th acm/ieee international symposium on empirical software engineering and measurement (pp. 1-"&amp;"10).")</f>
        <v>Romano, S., Scanniello, G., Fucci, D., Juristo, N., &amp; Turhan, B. (2018, October). The effect of noise on software engineers' performance. In Proceedings of the 12th acm/ieee international symposium on empirical software engineering and measurement (pp. 1-10).</v>
      </c>
      <c r="C44" s="7" t="b">
        <f ca="1">IFERROR(__xludf.DUMMYFUNCTION("""COMPUTED_VALUE"""),TRUE)</f>
        <v>1</v>
      </c>
      <c r="D44" s="5" t="str">
        <f ca="1">IFERROR(__xludf.DUMMYFUNCTION("""COMPUTED_VALUE"""),"dfu")</f>
        <v>dfu</v>
      </c>
      <c r="E44" s="5">
        <f ca="1">IF(C44, COUNTIF(Extraction!A:A, A44), "-")</f>
        <v>0</v>
      </c>
      <c r="F44" s="7" t="b">
        <f ca="1">IFERROR(__xludf.DUMMYFUNCTION("(COUNTIF(IMPORTRANGE(""https://docs.google.com/spreadsheets/d/1XUJGjtfB9SoW1rbohdkE9Z52MKac6AJzLHIsCSLTjGo/edit#gid=0"", ""Overlap!A2:A15""), A44)&gt;0)"),FALSE)</f>
        <v>0</v>
      </c>
      <c r="G44" s="5" t="str">
        <f t="shared" ca="1" si="0"/>
        <v xml:space="preserve"> </v>
      </c>
      <c r="H44" s="8" t="str">
        <f ca="1">IF(AND(C44,F44), COUNTIF(Overlap!A:A, A44), "-")</f>
        <v>-</v>
      </c>
      <c r="I44" s="6"/>
    </row>
    <row r="45" spans="1:9" x14ac:dyDescent="0.25">
      <c r="A45" s="5">
        <v>44</v>
      </c>
      <c r="B45" s="6" t="str">
        <f ca="1">IFERROR(__xludf.DUMMYFUNCTION("""COMPUTED_VALUE"""),"Galvan-Cruz, S., Mora, M., Laporte, C. Y., &amp; Duran-Limon, H. (2021). Reconciliation of scrum and the project management process of the ISO/IEC 29110 standard-Entry profile—an experimental evaluation through usability measures. Software Quality Journal, 29"&amp;", 239-273.")</f>
        <v>Galvan-Cruz, S., Mora, M., Laporte, C. Y., &amp; Duran-Limon, H. (2021). Reconciliation of scrum and the project management process of the ISO/IEC 29110 standard-Entry profile—an experimental evaluation through usability measures. Software Quality Journal, 29, 239-273.</v>
      </c>
      <c r="C45" s="7" t="b">
        <f ca="1">IFERROR(__xludf.DUMMYFUNCTION("""COMPUTED_VALUE"""),TRUE)</f>
        <v>1</v>
      </c>
      <c r="D45" s="5" t="str">
        <f ca="1">IFERROR(__xludf.DUMMYFUNCTION("""COMPUTED_VALUE"""),"jfr")</f>
        <v>jfr</v>
      </c>
      <c r="E45" s="5">
        <f ca="1">IF(C45, COUNTIF(Extraction!A:A, A45), "-")</f>
        <v>0</v>
      </c>
      <c r="F45" s="7" t="b">
        <f ca="1">IFERROR(__xludf.DUMMYFUNCTION("(COUNTIF(IMPORTRANGE(""https://docs.google.com/spreadsheets/d/1XUJGjtfB9SoW1rbohdkE9Z52MKac6AJzLHIsCSLTjGo/edit#gid=0"", ""Overlap!A2:A15""), A45)&gt;0)"),FALSE)</f>
        <v>0</v>
      </c>
      <c r="G45" s="5" t="str">
        <f t="shared" ca="1" si="0"/>
        <v xml:space="preserve"> </v>
      </c>
      <c r="H45" s="8" t="str">
        <f ca="1">IF(AND(C45,F45), COUNTIF(Overlap!A:A, A45), "-")</f>
        <v>-</v>
      </c>
      <c r="I45" s="6"/>
    </row>
    <row r="46" spans="1:9" x14ac:dyDescent="0.25">
      <c r="A46" s="5">
        <v>45</v>
      </c>
      <c r="B46" s="6" t="str">
        <f ca="1">IFERROR(__xludf.DUMMYFUNCTION("""COMPUTED_VALUE"""),"Khan, M. U., Sartaj, H., Iqbal, M. Z., Usman, M., &amp; Arshad, N. (2019). Aspectocl: using aspects to ease maintenance of evolving constraint specification. Empirical Software Engineering, 24, 2674-2724.")</f>
        <v>Khan, M. U., Sartaj, H., Iqbal, M. Z., Usman, M., &amp; Arshad, N. (2019). Aspectocl: using aspects to ease maintenance of evolving constraint specification. Empirical Software Engineering, 24, 2674-2724.</v>
      </c>
      <c r="C46" s="7" t="b">
        <f ca="1">IFERROR(__xludf.DUMMYFUNCTION("""COMPUTED_VALUE"""),TRUE)</f>
        <v>1</v>
      </c>
      <c r="D46" s="5" t="str">
        <f ca="1">IFERROR(__xludf.DUMMYFUNCTION("""COMPUTED_VALUE"""),"dfu")</f>
        <v>dfu</v>
      </c>
      <c r="E46" s="5">
        <f ca="1">IF(C46, COUNTIF(Extraction!A:A, A46), "-")</f>
        <v>0</v>
      </c>
      <c r="F46" s="7" t="b">
        <f ca="1">IFERROR(__xludf.DUMMYFUNCTION("(COUNTIF(IMPORTRANGE(""https://docs.google.com/spreadsheets/d/1XUJGjtfB9SoW1rbohdkE9Z52MKac6AJzLHIsCSLTjGo/edit#gid=0"", ""Overlap!A2:A15""), A46)&gt;0)"),FALSE)</f>
        <v>0</v>
      </c>
      <c r="G46" s="5" t="str">
        <f t="shared" ca="1" si="0"/>
        <v xml:space="preserve"> </v>
      </c>
      <c r="H46" s="8" t="str">
        <f ca="1">IF(AND(C46,F46), COUNTIF(Overlap!A:A, A46), "-")</f>
        <v>-</v>
      </c>
      <c r="I46" s="6"/>
    </row>
    <row r="47" spans="1:9" x14ac:dyDescent="0.25">
      <c r="A47" s="5">
        <v>46</v>
      </c>
      <c r="B47" s="6" t="str">
        <f ca="1">IFERROR(__xludf.DUMMYFUNCTION("""COMPUTED_VALUE"""),"Gralha, C., Pereira, R., Goulao, M., &amp; Araujo, J. (2021, September). On the impact of using different templates on creating and understanding user stories. In 2021 IEEE 29th International Requirements Engineering Conference (RE) (pp. 209-220). IEEE.")</f>
        <v>Gralha, C., Pereira, R., Goulao, M., &amp; Araujo, J. (2021, September). On the impact of using different templates on creating and understanding user stories. In 2021 IEEE 29th International Requirements Engineering Conference (RE) (pp. 209-220). IEEE.</v>
      </c>
      <c r="C47" s="7" t="b">
        <f ca="1">IFERROR(__xludf.DUMMYFUNCTION("""COMPUTED_VALUE"""),FALSE)</f>
        <v>0</v>
      </c>
      <c r="D47" s="5" t="str">
        <f ca="1">IFERROR(__xludf.DUMMYFUNCTION("""COMPUTED_VALUE"""),"jfr")</f>
        <v>jfr</v>
      </c>
      <c r="E47" s="5" t="str">
        <f ca="1">IF(C47, COUNTIF(Extraction!A:A, A47), "-")</f>
        <v>-</v>
      </c>
      <c r="F47" s="7" t="b">
        <f ca="1">IFERROR(__xludf.DUMMYFUNCTION("(COUNTIF(IMPORTRANGE(""https://docs.google.com/spreadsheets/d/1XUJGjtfB9SoW1rbohdkE9Z52MKac6AJzLHIsCSLTjGo/edit#gid=0"", ""Overlap!A2:A15""), A47)&gt;0)"),FALSE)</f>
        <v>0</v>
      </c>
      <c r="G47" s="5" t="str">
        <f t="shared" ca="1" si="0"/>
        <v xml:space="preserve"> </v>
      </c>
      <c r="H47" s="8" t="str">
        <f ca="1">IF(AND(C47,F47), COUNTIF(Overlap!A:A, A47), "-")</f>
        <v>-</v>
      </c>
      <c r="I47" s="6"/>
    </row>
    <row r="48" spans="1:9" x14ac:dyDescent="0.25">
      <c r="A48" s="5">
        <v>47</v>
      </c>
      <c r="B48" s="6" t="str">
        <f ca="1">IFERROR(__xludf.DUMMYFUNCTION("""COMPUTED_VALUE"""),"Hanenberg, S., &amp; Mehlhorn, N. (2022). Two N-of-1 self-trials on readability differences between anonymous inner classes (AICs) and lambda expressions (LEs) on Java code snippets. Empirical Software Engineering, 27(2), 33.")</f>
        <v>Hanenberg, S., &amp; Mehlhorn, N. (2022). Two N-of-1 self-trials on readability differences between anonymous inner classes (AICs) and lambda expressions (LEs) on Java code snippets. Empirical Software Engineering, 27(2), 33.</v>
      </c>
      <c r="C48" s="7" t="b">
        <f ca="1">IFERROR(__xludf.DUMMYFUNCTION("""COMPUTED_VALUE"""),TRUE)</f>
        <v>1</v>
      </c>
      <c r="D48" s="5" t="str">
        <f ca="1">IFERROR(__xludf.DUMMYFUNCTION("""COMPUTED_VALUE"""),"dfu")</f>
        <v>dfu</v>
      </c>
      <c r="E48" s="5">
        <f ca="1">IF(C48, COUNTIF(Extraction!A:A, A48), "-")</f>
        <v>0</v>
      </c>
      <c r="F48" s="7" t="b">
        <f ca="1">IFERROR(__xludf.DUMMYFUNCTION("(COUNTIF(IMPORTRANGE(""https://docs.google.com/spreadsheets/d/1XUJGjtfB9SoW1rbohdkE9Z52MKac6AJzLHIsCSLTjGo/edit#gid=0"", ""Overlap!A2:A15""), A48)&gt;0)"),FALSE)</f>
        <v>0</v>
      </c>
      <c r="G48" s="5" t="str">
        <f t="shared" ca="1" si="0"/>
        <v xml:space="preserve"> </v>
      </c>
      <c r="H48" s="8" t="str">
        <f ca="1">IF(AND(C48,F48), COUNTIF(Overlap!A:A, A48), "-")</f>
        <v>-</v>
      </c>
      <c r="I48" s="6"/>
    </row>
    <row r="49" spans="1:9" x14ac:dyDescent="0.25">
      <c r="A49" s="5">
        <v>48</v>
      </c>
      <c r="B49" s="6" t="str">
        <f ca="1">IFERROR(__xludf.DUMMYFUNCTION("""COMPUTED_VALUE"""),"Santos, A., Vegas, S., Uyaguari, F., Dieste, O., Turhan, B., &amp; Juristo, N. (2020). Increasing validity through replication: an illustrative TDD case. Software Quality Journal, 28, 371-395.")</f>
        <v>Santos, A., Vegas, S., Uyaguari, F., Dieste, O., Turhan, B., &amp; Juristo, N. (2020). Increasing validity through replication: an illustrative TDD case. Software Quality Journal, 28, 371-395.</v>
      </c>
      <c r="C49" s="7" t="b">
        <f ca="1">IFERROR(__xludf.DUMMYFUNCTION("""COMPUTED_VALUE"""),TRUE)</f>
        <v>1</v>
      </c>
      <c r="D49" s="5" t="str">
        <f ca="1">IFERROR(__xludf.DUMMYFUNCTION("""COMPUTED_VALUE"""),"dfu")</f>
        <v>dfu</v>
      </c>
      <c r="E49" s="5">
        <f ca="1">IF(C49, COUNTIF(Extraction!A:A, A49), "-")</f>
        <v>1</v>
      </c>
      <c r="F49" s="7" t="b">
        <f ca="1">IFERROR(__xludf.DUMMYFUNCTION("(COUNTIF(IMPORTRANGE(""https://docs.google.com/spreadsheets/d/1XUJGjtfB9SoW1rbohdkE9Z52MKac6AJzLHIsCSLTjGo/edit#gid=0"", ""Overlap!A2:A15""), A49)&gt;0)"),TRUE)</f>
        <v>1</v>
      </c>
      <c r="G49" s="5" t="str">
        <f t="shared" ca="1" si="0"/>
        <v>jfr</v>
      </c>
      <c r="H49" s="8">
        <f ca="1">IF(AND(C49,F49), COUNTIF(Overlap!A:A, A49), "-")</f>
        <v>1</v>
      </c>
      <c r="I49" s="6"/>
    </row>
    <row r="50" spans="1:9" x14ac:dyDescent="0.25">
      <c r="A50" s="5">
        <v>49</v>
      </c>
      <c r="B50" s="6" t="str">
        <f ca="1">IFERROR(__xludf.DUMMYFUNCTION("""COMPUTED_VALUE"""),"Baldassarre, M. T., Caivano, D., Fucci, D., Romano, S., &amp; Scanniello, G. (2022). Affective reactions and test-driven development: Results from three experiments and a survey. Journal of Systems and Software, 185, 111154.")</f>
        <v>Baldassarre, M. T., Caivano, D., Fucci, D., Romano, S., &amp; Scanniello, G. (2022). Affective reactions and test-driven development: Results from three experiments and a survey. Journal of Systems and Software, 185, 111154.</v>
      </c>
      <c r="C50" s="7" t="b">
        <f ca="1">IFERROR(__xludf.DUMMYFUNCTION("""COMPUTED_VALUE"""),TRUE)</f>
        <v>1</v>
      </c>
      <c r="D50" s="5" t="str">
        <f ca="1">IFERROR(__xludf.DUMMYFUNCTION("""COMPUTED_VALUE"""),"dfu")</f>
        <v>dfu</v>
      </c>
      <c r="E50" s="5">
        <f ca="1">IF(C50, COUNTIF(Extraction!A:A, A50), "-")</f>
        <v>0</v>
      </c>
      <c r="F50" s="7" t="b">
        <f ca="1">IFERROR(__xludf.DUMMYFUNCTION("(COUNTIF(IMPORTRANGE(""https://docs.google.com/spreadsheets/d/1XUJGjtfB9SoW1rbohdkE9Z52MKac6AJzLHIsCSLTjGo/edit#gid=0"", ""Overlap!A2:A15""), A50)&gt;0)"),FALSE)</f>
        <v>0</v>
      </c>
      <c r="G50" s="5" t="str">
        <f t="shared" ca="1" si="0"/>
        <v xml:space="preserve"> </v>
      </c>
      <c r="H50" s="8" t="str">
        <f ca="1">IF(AND(C50,F50), COUNTIF(Overlap!A:A, A50), "-")</f>
        <v>-</v>
      </c>
      <c r="I50" s="6"/>
    </row>
    <row r="51" spans="1:9" x14ac:dyDescent="0.25">
      <c r="A51" s="5">
        <v>50</v>
      </c>
      <c r="B51" s="6" t="str">
        <f ca="1">IFERROR(__xludf.DUMMYFUNCTION("""COMPUTED_VALUE"""),"Chueca, J., Trasobares, J. I., Domingo, Á., Arcega, L., Cetina, C., &amp; Font, J. (2023). Comparing software product lines and Clone and Own for game software engineering under two paradigms: Model-driven development and code-driven development. Journal of S"&amp;"ystems and Software, 205, 111824.")</f>
        <v>Chueca, J., Trasobares, J. I., Domingo, Á., Arcega, L., Cetina, C., &amp; Font, J. (2023). Comparing software product lines and Clone and Own for game software engineering under two paradigms: Model-driven development and code-driven development. Journal of Systems and Software, 205, 111824.</v>
      </c>
      <c r="C51" s="7" t="b">
        <f ca="1">IFERROR(__xludf.DUMMYFUNCTION("""COMPUTED_VALUE"""),TRUE)</f>
        <v>1</v>
      </c>
      <c r="D51" s="5" t="str">
        <f ca="1">IFERROR(__xludf.DUMMYFUNCTION("""COMPUTED_VALUE"""),"jfr")</f>
        <v>jfr</v>
      </c>
      <c r="E51" s="5">
        <f ca="1">IF(C51, COUNTIF(Extraction!A:A, A51), "-")</f>
        <v>0</v>
      </c>
      <c r="F51" s="7" t="b">
        <f ca="1">IFERROR(__xludf.DUMMYFUNCTION("(COUNTIF(IMPORTRANGE(""https://docs.google.com/spreadsheets/d/1XUJGjtfB9SoW1rbohdkE9Z52MKac6AJzLHIsCSLTjGo/edit#gid=0"", ""Overlap!A2:A15""), A51)&gt;0)"),FALSE)</f>
        <v>0</v>
      </c>
      <c r="G51" s="5" t="str">
        <f t="shared" ca="1" si="0"/>
        <v xml:space="preserve"> </v>
      </c>
      <c r="H51" s="8" t="str">
        <f ca="1">IF(AND(C51,F51), COUNTIF(Overlap!A:A, A51), "-")</f>
        <v>-</v>
      </c>
      <c r="I51" s="6"/>
    </row>
    <row r="52" spans="1:9" x14ac:dyDescent="0.25">
      <c r="A52" s="5">
        <v>51</v>
      </c>
      <c r="B52" s="6" t="str">
        <f ca="1">IFERROR(__xludf.DUMMYFUNCTION("""COMPUTED_VALUE"""),"Reyes, R. P., Dieste, O., Fonseca, E. R., &amp; Juristo, N. (2018, May). Statistical errors in software engineering experiments: A preliminary literature review. In Proceedings of the 40th International Conference on Software Engineering (pp. 1195-1206).")</f>
        <v>Reyes, R. P., Dieste, O., Fonseca, E. R., &amp; Juristo, N. (2018, May). Statistical errors in software engineering experiments: A preliminary literature review. In Proceedings of the 40th International Conference on Software Engineering (pp. 1195-1206).</v>
      </c>
      <c r="C52" s="7" t="b">
        <f ca="1">IFERROR(__xludf.DUMMYFUNCTION("""COMPUTED_VALUE"""),FALSE)</f>
        <v>0</v>
      </c>
      <c r="D52" s="5" t="str">
        <f ca="1">IFERROR(__xludf.DUMMYFUNCTION("""COMPUTED_VALUE"""),"jfr")</f>
        <v>jfr</v>
      </c>
      <c r="E52" s="5" t="str">
        <f ca="1">IF(C52, COUNTIF(Extraction!A:A, A52), "-")</f>
        <v>-</v>
      </c>
      <c r="F52" s="7" t="b">
        <f ca="1">IFERROR(__xludf.DUMMYFUNCTION("(COUNTIF(IMPORTRANGE(""https://docs.google.com/spreadsheets/d/1XUJGjtfB9SoW1rbohdkE9Z52MKac6AJzLHIsCSLTjGo/edit#gid=0"", ""Overlap!A2:A15""), A52)&gt;0)"),FALSE)</f>
        <v>0</v>
      </c>
      <c r="G52" s="5" t="str">
        <f t="shared" ca="1" si="0"/>
        <v xml:space="preserve"> </v>
      </c>
      <c r="H52" s="8" t="str">
        <f ca="1">IF(AND(C52,F52), COUNTIF(Overlap!A:A, A52), "-")</f>
        <v>-</v>
      </c>
      <c r="I52" s="6"/>
    </row>
    <row r="53" spans="1:9" x14ac:dyDescent="0.25">
      <c r="A53" s="5">
        <v>52</v>
      </c>
      <c r="B53" s="6" t="str">
        <f ca="1">IFERROR(__xludf.DUMMYFUNCTION("""COMPUTED_VALUE"""),"Gralha, C., Pereira, R., Goulão, M., &amp; Araujo, J. (2022). Assessing user stories: the influence of template differences and gender-related problem-solving styles. Requirements Engineering, 27(4), 521-544.")</f>
        <v>Gralha, C., Pereira, R., Goulão, M., &amp; Araujo, J. (2022). Assessing user stories: the influence of template differences and gender-related problem-solving styles. Requirements Engineering, 27(4), 521-544.</v>
      </c>
      <c r="C53" s="7" t="b">
        <f ca="1">IFERROR(__xludf.DUMMYFUNCTION("""COMPUTED_VALUE"""),FALSE)</f>
        <v>0</v>
      </c>
      <c r="D53" s="5" t="str">
        <f ca="1">IFERROR(__xludf.DUMMYFUNCTION("""COMPUTED_VALUE"""),"jfr")</f>
        <v>jfr</v>
      </c>
      <c r="E53" s="5" t="str">
        <f ca="1">IF(C53, COUNTIF(Extraction!A:A, A53), "-")</f>
        <v>-</v>
      </c>
      <c r="F53" s="7" t="b">
        <f ca="1">IFERROR(__xludf.DUMMYFUNCTION("(COUNTIF(IMPORTRANGE(""https://docs.google.com/spreadsheets/d/1XUJGjtfB9SoW1rbohdkE9Z52MKac6AJzLHIsCSLTjGo/edit#gid=0"", ""Overlap!A2:A15""), A53)&gt;0)"),FALSE)</f>
        <v>0</v>
      </c>
      <c r="G53" s="5" t="str">
        <f t="shared" ca="1" si="0"/>
        <v xml:space="preserve"> </v>
      </c>
      <c r="H53" s="8" t="str">
        <f ca="1">IF(AND(C53,F53), COUNTIF(Overlap!A:A, A53), "-")</f>
        <v>-</v>
      </c>
      <c r="I53" s="6"/>
    </row>
    <row r="54" spans="1:9" x14ac:dyDescent="0.25">
      <c r="A54" s="5">
        <v>53</v>
      </c>
      <c r="B54" s="6" t="str">
        <f ca="1">IFERROR(__xludf.DUMMYFUNCTION("""COMPUTED_VALUE"""),"Tosun, A., Dieste, O., Vegas, S., Pfahl, D., Rungi, K., &amp; Juristo, N. (2019). Investigating the impact of development task on external quality in test-driven development: An industry experiment. IEEE Transactions on Software Engineering, 47(11), 2438-2456"&amp;".")</f>
        <v>Tosun, A., Dieste, O., Vegas, S., Pfahl, D., Rungi, K., &amp; Juristo, N. (2019). Investigating the impact of development task on external quality in test-driven development: An industry experiment. IEEE Transactions on Software Engineering, 47(11), 2438-2456.</v>
      </c>
      <c r="C54" s="7" t="b">
        <f ca="1">IFERROR(__xludf.DUMMYFUNCTION("""COMPUTED_VALUE"""),TRUE)</f>
        <v>1</v>
      </c>
      <c r="D54" s="5" t="str">
        <f ca="1">IFERROR(__xludf.DUMMYFUNCTION("""COMPUTED_VALUE"""),"dfu")</f>
        <v>dfu</v>
      </c>
      <c r="E54" s="5">
        <f ca="1">IF(C54, COUNTIF(Extraction!A:A, A54), "-")</f>
        <v>0</v>
      </c>
      <c r="F54" s="7" t="b">
        <f ca="1">IFERROR(__xludf.DUMMYFUNCTION("(COUNTIF(IMPORTRANGE(""https://docs.google.com/spreadsheets/d/1XUJGjtfB9SoW1rbohdkE9Z52MKac6AJzLHIsCSLTjGo/edit#gid=0"", ""Overlap!A2:A15""), A54)&gt;0)"),FALSE)</f>
        <v>0</v>
      </c>
      <c r="G54" s="5" t="str">
        <f t="shared" ca="1" si="0"/>
        <v xml:space="preserve"> </v>
      </c>
      <c r="H54" s="8" t="str">
        <f ca="1">IF(AND(C54,F54), COUNTIF(Overlap!A:A, A54), "-")</f>
        <v>-</v>
      </c>
      <c r="I54" s="6"/>
    </row>
    <row r="55" spans="1:9" x14ac:dyDescent="0.25">
      <c r="A55" s="5">
        <v>54</v>
      </c>
      <c r="B55" s="6" t="str">
        <f ca="1">IFERROR(__xludf.DUMMYFUNCTION("""COMPUTED_VALUE"""),"Gonzalez-Lopez, F., Pufahl, L., Munoz-Gama, J., Herskovic, V., &amp; Sepúlveda, M. (2021). Case model landscapes: toward an improved representation of knowledge-intensive processes using the fCM-language. Software and Systems Modeling, 20, 1353-1377.")</f>
        <v>Gonzalez-Lopez, F., Pufahl, L., Munoz-Gama, J., Herskovic, V., &amp; Sepúlveda, M. (2021). Case model landscapes: toward an improved representation of knowledge-intensive processes using the fCM-language. Software and Systems Modeling, 20, 1353-1377.</v>
      </c>
      <c r="C55" s="7" t="b">
        <f ca="1">IFERROR(__xludf.DUMMYFUNCTION("""COMPUTED_VALUE"""),TRUE)</f>
        <v>1</v>
      </c>
      <c r="D55" s="5" t="str">
        <f ca="1">IFERROR(__xludf.DUMMYFUNCTION("""COMPUTED_VALUE"""),"jfr")</f>
        <v>jfr</v>
      </c>
      <c r="E55" s="5">
        <f ca="1">IF(C55, COUNTIF(Extraction!A:A, A55), "-")</f>
        <v>0</v>
      </c>
      <c r="F55" s="7" t="b">
        <f ca="1">IFERROR(__xludf.DUMMYFUNCTION("(COUNTIF(IMPORTRANGE(""https://docs.google.com/spreadsheets/d/1XUJGjtfB9SoW1rbohdkE9Z52MKac6AJzLHIsCSLTjGo/edit#gid=0"", ""Overlap!A2:A15""), A55)&gt;0)"),FALSE)</f>
        <v>0</v>
      </c>
      <c r="G55" s="5" t="str">
        <f t="shared" ca="1" si="0"/>
        <v xml:space="preserve"> </v>
      </c>
      <c r="H55" s="8" t="str">
        <f ca="1">IF(AND(C55,F55), COUNTIF(Overlap!A:A, A55), "-")</f>
        <v>-</v>
      </c>
      <c r="I55" s="6"/>
    </row>
    <row r="56" spans="1:9" x14ac:dyDescent="0.25">
      <c r="A56" s="5">
        <v>55</v>
      </c>
      <c r="B56" s="6" t="str">
        <f ca="1">IFERROR(__xludf.DUMMYFUNCTION("""COMPUTED_VALUE"""),"Coppola, R., Fulcini, T., Ardito, L., Torchiano, M., &amp; Alègroth, E. (2023). On Effectiveness and Efficiency of Gamified Exploratory GUI Testing. IEEE Transactions on Software Engineering.")</f>
        <v>Coppola, R., Fulcini, T., Ardito, L., Torchiano, M., &amp; Alègroth, E. (2023). On Effectiveness and Efficiency of Gamified Exploratory GUI Testing. IEEE Transactions on Software Engineering.</v>
      </c>
      <c r="C56" s="7" t="b">
        <f ca="1">IFERROR(__xludf.DUMMYFUNCTION("""COMPUTED_VALUE"""),TRUE)</f>
        <v>1</v>
      </c>
      <c r="D56" s="5" t="str">
        <f ca="1">IFERROR(__xludf.DUMMYFUNCTION("""COMPUTED_VALUE"""),"dfu")</f>
        <v>dfu</v>
      </c>
      <c r="E56" s="5">
        <f ca="1">IF(C56, COUNTIF(Extraction!A:A, A56), "-")</f>
        <v>0</v>
      </c>
      <c r="F56" s="7" t="b">
        <f ca="1">IFERROR(__xludf.DUMMYFUNCTION("(COUNTIF(IMPORTRANGE(""https://docs.google.com/spreadsheets/d/1XUJGjtfB9SoW1rbohdkE9Z52MKac6AJzLHIsCSLTjGo/edit#gid=0"", ""Overlap!A2:A15""), A56)&gt;0)"),FALSE)</f>
        <v>0</v>
      </c>
      <c r="G56" s="5" t="str">
        <f t="shared" ca="1" si="0"/>
        <v xml:space="preserve"> </v>
      </c>
      <c r="H56" s="8" t="str">
        <f ca="1">IF(AND(C56,F56), COUNTIF(Overlap!A:A, A56), "-")</f>
        <v>-</v>
      </c>
      <c r="I56" s="6"/>
    </row>
    <row r="57" spans="1:9" x14ac:dyDescent="0.25">
      <c r="A57" s="5">
        <v>56</v>
      </c>
      <c r="B57" s="6" t="str">
        <f ca="1">IFERROR(__xludf.DUMMYFUNCTION("""COMPUTED_VALUE"""),"Santana, R., Martins, L., Virgínio, T., Rocha, L., Costa, H., &amp; Machado, I. (2024). An empirical evaluation of RAIDE: A semi-automated approach for test smells detection and refactoring. Science of Computer Programming, 231, 103013.")</f>
        <v>Santana, R., Martins, L., Virgínio, T., Rocha, L., Costa, H., &amp; Machado, I. (2024). An empirical evaluation of RAIDE: A semi-automated approach for test smells detection and refactoring. Science of Computer Programming, 231, 103013.</v>
      </c>
      <c r="C57" s="7" t="b">
        <f ca="1">IFERROR(__xludf.DUMMYFUNCTION("""COMPUTED_VALUE"""),TRUE)</f>
        <v>1</v>
      </c>
      <c r="D57" s="5" t="str">
        <f ca="1">IFERROR(__xludf.DUMMYFUNCTION("""COMPUTED_VALUE"""),"jfr")</f>
        <v>jfr</v>
      </c>
      <c r="E57" s="5">
        <f ca="1">IF(C57, COUNTIF(Extraction!A:A, A57), "-")</f>
        <v>0</v>
      </c>
      <c r="F57" s="7" t="b">
        <f ca="1">IFERROR(__xludf.DUMMYFUNCTION("(COUNTIF(IMPORTRANGE(""https://docs.google.com/spreadsheets/d/1XUJGjtfB9SoW1rbohdkE9Z52MKac6AJzLHIsCSLTjGo/edit#gid=0"", ""Overlap!A2:A15""), A57)&gt;0)"),FALSE)</f>
        <v>0</v>
      </c>
      <c r="G57" s="5" t="str">
        <f t="shared" ca="1" si="0"/>
        <v xml:space="preserve"> </v>
      </c>
      <c r="H57" s="8" t="str">
        <f ca="1">IF(AND(C57,F57), COUNTIF(Overlap!A:A, A57), "-")</f>
        <v>-</v>
      </c>
      <c r="I57" s="6"/>
    </row>
    <row r="58" spans="1:9" x14ac:dyDescent="0.25">
      <c r="A58" s="5">
        <v>57</v>
      </c>
      <c r="B58" s="6" t="str">
        <f ca="1">IFERROR(__xludf.DUMMYFUNCTION("""COMPUTED_VALUE"""),"Reichl, J., Hanenberg, S., &amp; Gruhn, V. (2023, May). Does the Stream API Benefit from Special Debugging Facilities? A Controlled Experiment on Loops and Streams with Specific Debuggers. In 2023 IEEE/ACM 45th International Conference on Software Engineering"&amp;" (ICSE) (pp. 576-588). IEEE.")</f>
        <v>Reichl, J., Hanenberg, S., &amp; Gruhn, V. (2023, May). Does the Stream API Benefit from Special Debugging Facilities? A Controlled Experiment on Loops and Streams with Specific Debuggers. In 2023 IEEE/ACM 45th International Conference on Software Engineering (ICSE) (pp. 576-588). IEEE.</v>
      </c>
      <c r="C58" s="7" t="b">
        <f ca="1">IFERROR(__xludf.DUMMYFUNCTION("""COMPUTED_VALUE"""),TRUE)</f>
        <v>1</v>
      </c>
      <c r="D58" s="5" t="str">
        <f ca="1">IFERROR(__xludf.DUMMYFUNCTION("""COMPUTED_VALUE"""),"dfu")</f>
        <v>dfu</v>
      </c>
      <c r="E58" s="5">
        <f ca="1">IF(C58, COUNTIF(Extraction!A:A, A58), "-")</f>
        <v>0</v>
      </c>
      <c r="F58" s="7" t="b">
        <f ca="1">IFERROR(__xludf.DUMMYFUNCTION("(COUNTIF(IMPORTRANGE(""https://docs.google.com/spreadsheets/d/1XUJGjtfB9SoW1rbohdkE9Z52MKac6AJzLHIsCSLTjGo/edit#gid=0"", ""Overlap!A2:A15""), A58)&gt;0)"),FALSE)</f>
        <v>0</v>
      </c>
      <c r="G58" s="5" t="str">
        <f t="shared" ca="1" si="0"/>
        <v xml:space="preserve"> </v>
      </c>
      <c r="H58" s="8" t="str">
        <f ca="1">IF(AND(C58,F58), COUNTIF(Overlap!A:A, A58), "-")</f>
        <v>-</v>
      </c>
      <c r="I58" s="6"/>
    </row>
    <row r="59" spans="1:9" x14ac:dyDescent="0.25">
      <c r="A59" s="5">
        <v>58</v>
      </c>
      <c r="B59" s="6" t="str">
        <f ca="1">IFERROR(__xludf.DUMMYFUNCTION("""COMPUTED_VALUE"""),"Caulo, M., Francese, R., Scanniello, G., &amp; Tortora, G. (2021). Implications on the Migration from Ionic to Android. In Product-Focused Software Process Improvement: 22nd International Conference, PROFES 2021, Turin, Italy, November 26, 2021, Proceedings 2"&amp;"2 (pp. 3-19). Springer International Publishing.")</f>
        <v>Caulo, M., Francese, R., Scanniello, G., &amp; Tortora, G. (2021). Implications on the Migration from Ionic to Android. In Product-Focused Software Process Improvement: 22nd International Conference, PROFES 2021, Turin, Italy, November 26, 2021, Proceedings 22 (pp. 3-19). Springer International Publishing.</v>
      </c>
      <c r="C59" s="7" t="b">
        <f ca="1">IFERROR(__xludf.DUMMYFUNCTION("""COMPUTED_VALUE"""),FALSE)</f>
        <v>0</v>
      </c>
      <c r="D59" s="5" t="str">
        <f ca="1">IFERROR(__xludf.DUMMYFUNCTION("""COMPUTED_VALUE"""),"jfr")</f>
        <v>jfr</v>
      </c>
      <c r="E59" s="5" t="str">
        <f ca="1">IF(C59, COUNTIF(Extraction!A:A, A59), "-")</f>
        <v>-</v>
      </c>
      <c r="F59" s="7" t="b">
        <f ca="1">IFERROR(__xludf.DUMMYFUNCTION("(COUNTIF(IMPORTRANGE(""https://docs.google.com/spreadsheets/d/1XUJGjtfB9SoW1rbohdkE9Z52MKac6AJzLHIsCSLTjGo/edit#gid=0"", ""Overlap!A2:A15""), A59)&gt;0)"),FALSE)</f>
        <v>0</v>
      </c>
      <c r="G59" s="5" t="str">
        <f t="shared" ca="1" si="0"/>
        <v xml:space="preserve"> </v>
      </c>
      <c r="H59" s="8" t="str">
        <f ca="1">IF(AND(C59,F59), COUNTIF(Overlap!A:A, A59), "-")</f>
        <v>-</v>
      </c>
      <c r="I59" s="6"/>
    </row>
    <row r="60" spans="1:9" x14ac:dyDescent="0.25">
      <c r="A60" s="5">
        <v>59</v>
      </c>
      <c r="B60" s="6" t="str">
        <f ca="1">IFERROR(__xludf.DUMMYFUNCTION("""COMPUTED_VALUE"""),"Straub, D. W., Gefen, D., &amp; Recker, J. (2022). Quantitative research in information systems. Association for Information Systems (AISWorld) Section on IS Research, Methods, and Theories.")</f>
        <v>Straub, D. W., Gefen, D., &amp; Recker, J. (2022). Quantitative research in information systems. Association for Information Systems (AISWorld) Section on IS Research, Methods, and Theories.</v>
      </c>
      <c r="C60" s="7" t="b">
        <f ca="1">IFERROR(__xludf.DUMMYFUNCTION("""COMPUTED_VALUE"""),FALSE)</f>
        <v>0</v>
      </c>
      <c r="D60" s="5" t="str">
        <f ca="1">IFERROR(__xludf.DUMMYFUNCTION("""COMPUTED_VALUE"""),"jfr")</f>
        <v>jfr</v>
      </c>
      <c r="E60" s="5" t="str">
        <f ca="1">IF(C60, COUNTIF(Extraction!A:A, A60), "-")</f>
        <v>-</v>
      </c>
      <c r="F60" s="7" t="b">
        <f ca="1">IFERROR(__xludf.DUMMYFUNCTION("(COUNTIF(IMPORTRANGE(""https://docs.google.com/spreadsheets/d/1XUJGjtfB9SoW1rbohdkE9Z52MKac6AJzLHIsCSLTjGo/edit#gid=0"", ""Overlap!A2:A15""), A60)&gt;0)"),FALSE)</f>
        <v>0</v>
      </c>
      <c r="G60" s="5" t="str">
        <f t="shared" ca="1" si="0"/>
        <v xml:space="preserve"> </v>
      </c>
      <c r="H60" s="8" t="str">
        <f ca="1">IF(AND(C60,F60), COUNTIF(Overlap!A:A, A60), "-")</f>
        <v>-</v>
      </c>
      <c r="I60" s="6"/>
    </row>
    <row r="61" spans="1:9" x14ac:dyDescent="0.25">
      <c r="A61" s="5">
        <v>60</v>
      </c>
      <c r="B61" s="6" t="str">
        <f ca="1">IFERROR(__xludf.DUMMYFUNCTION("""COMPUTED_VALUE"""),"Ren, R., Castro, J. W., Santos, A., Dieste, O., &amp; Acuña, S. T. (2022). Using the SOCIO chatbot for UML modelling: A family of experiments. IEEE Transactions on Software Engineering, 49(1), 364-383.")</f>
        <v>Ren, R., Castro, J. W., Santos, A., Dieste, O., &amp; Acuña, S. T. (2022). Using the SOCIO chatbot for UML modelling: A family of experiments. IEEE Transactions on Software Engineering, 49(1), 364-383.</v>
      </c>
      <c r="C61" s="7" t="b">
        <f ca="1">IFERROR(__xludf.DUMMYFUNCTION("""COMPUTED_VALUE"""),TRUE)</f>
        <v>1</v>
      </c>
      <c r="D61" s="5" t="str">
        <f ca="1">IFERROR(__xludf.DUMMYFUNCTION("""COMPUTED_VALUE"""),"dfu")</f>
        <v>dfu</v>
      </c>
      <c r="E61" s="5">
        <f ca="1">IF(C61, COUNTIF(Extraction!A:A, A61), "-")</f>
        <v>0</v>
      </c>
      <c r="F61" s="7" t="b">
        <f ca="1">IFERROR(__xludf.DUMMYFUNCTION("(COUNTIF(IMPORTRANGE(""https://docs.google.com/spreadsheets/d/1XUJGjtfB9SoW1rbohdkE9Z52MKac6AJzLHIsCSLTjGo/edit#gid=0"", ""Overlap!A2:A15""), A61)&gt;0)"),FALSE)</f>
        <v>0</v>
      </c>
      <c r="G61" s="5" t="str">
        <f t="shared" ca="1" si="0"/>
        <v xml:space="preserve"> </v>
      </c>
      <c r="H61" s="8" t="str">
        <f ca="1">IF(AND(C61,F61), COUNTIF(Overlap!A:A, A61), "-")</f>
        <v>-</v>
      </c>
      <c r="I61" s="6"/>
    </row>
    <row r="62" spans="1:9" x14ac:dyDescent="0.25">
      <c r="A62" s="5">
        <v>61</v>
      </c>
      <c r="B62" s="6" t="str">
        <f ca="1">IFERROR(__xludf.DUMMYFUNCTION("""COMPUTED_VALUE"""),"Caivano, D., Fernández-Ropero, M., Pérez-Castillo, R., Piattini, M., &amp; Scalera, M. (2018). Artifact-based vs. human-perceived understandability and modifiability of refactored business processes: an experiment. Journal of Systems and Software, 144, 143-16"&amp;"4.")</f>
        <v>Caivano, D., Fernández-Ropero, M., Pérez-Castillo, R., Piattini, M., &amp; Scalera, M. (2018). Artifact-based vs. human-perceived understandability and modifiability of refactored business processes: an experiment. Journal of Systems and Software, 144, 143-164.</v>
      </c>
      <c r="C62" s="7" t="b">
        <f ca="1">IFERROR(__xludf.DUMMYFUNCTION("""COMPUTED_VALUE"""),TRUE)</f>
        <v>1</v>
      </c>
      <c r="D62" s="5" t="str">
        <f ca="1">IFERROR(__xludf.DUMMYFUNCTION("""COMPUTED_VALUE"""),"jfr")</f>
        <v>jfr</v>
      </c>
      <c r="E62" s="5">
        <f ca="1">IF(C62, COUNTIF(Extraction!A:A, A62), "-")</f>
        <v>0</v>
      </c>
      <c r="F62" s="7" t="b">
        <f ca="1">IFERROR(__xludf.DUMMYFUNCTION("(COUNTIF(IMPORTRANGE(""https://docs.google.com/spreadsheets/d/1XUJGjtfB9SoW1rbohdkE9Z52MKac6AJzLHIsCSLTjGo/edit#gid=0"", ""Overlap!A2:A15""), A62)&gt;0)"),FALSE)</f>
        <v>0</v>
      </c>
      <c r="G62" s="5" t="str">
        <f t="shared" ca="1" si="0"/>
        <v xml:space="preserve"> </v>
      </c>
      <c r="H62" s="8" t="str">
        <f ca="1">IF(AND(C62,F62), COUNTIF(Overlap!A:A, A62), "-")</f>
        <v>-</v>
      </c>
      <c r="I62" s="6"/>
    </row>
    <row r="63" spans="1:9" x14ac:dyDescent="0.25">
      <c r="A63" s="5">
        <v>62</v>
      </c>
      <c r="B63" s="6" t="str">
        <f ca="1">IFERROR(__xludf.DUMMYFUNCTION("""COMPUTED_VALUE"""),"Domingo, Á., Echeverría, J., Pastor, O., &amp; Cetina, C. (2021). Evaluating the influence of scope on feature location. Information and Software Technology, 140, 106674.")</f>
        <v>Domingo, Á., Echeverría, J., Pastor, O., &amp; Cetina, C. (2021). Evaluating the influence of scope on feature location. Information and Software Technology, 140, 106674.</v>
      </c>
      <c r="C63" s="7" t="b">
        <f ca="1">IFERROR(__xludf.DUMMYFUNCTION("""COMPUTED_VALUE"""),TRUE)</f>
        <v>1</v>
      </c>
      <c r="D63" s="5" t="str">
        <f ca="1">IFERROR(__xludf.DUMMYFUNCTION("""COMPUTED_VALUE"""),"dfu")</f>
        <v>dfu</v>
      </c>
      <c r="E63" s="5">
        <f ca="1">IF(C63, COUNTIF(Extraction!A:A, A63), "-")</f>
        <v>0</v>
      </c>
      <c r="F63" s="7" t="b">
        <f ca="1">IFERROR(__xludf.DUMMYFUNCTION("(COUNTIF(IMPORTRANGE(""https://docs.google.com/spreadsheets/d/1XUJGjtfB9SoW1rbohdkE9Z52MKac6AJzLHIsCSLTjGo/edit#gid=0"", ""Overlap!A2:A15""), A63)&gt;0)"),FALSE)</f>
        <v>0</v>
      </c>
      <c r="G63" s="5" t="str">
        <f t="shared" ca="1" si="0"/>
        <v xml:space="preserve"> </v>
      </c>
      <c r="H63" s="8" t="str">
        <f ca="1">IF(AND(C63,F63), COUNTIF(Overlap!A:A, A63), "-")</f>
        <v>-</v>
      </c>
      <c r="I63" s="6"/>
    </row>
    <row r="64" spans="1:9" x14ac:dyDescent="0.25">
      <c r="A64" s="5">
        <v>63</v>
      </c>
      <c r="B64" s="6" t="str">
        <f ca="1">IFERROR(__xludf.DUMMYFUNCTION("""COMPUTED_VALUE"""),"Daun, M., Brings, J., &amp; Weyer, T. (2023). Model inspections in the engineering of collaborative cyber‐physical systems with instance‐level review diagrams. Journal of Software: Evolution and Process, 35(5), e2392.")</f>
        <v>Daun, M., Brings, J., &amp; Weyer, T. (2023). Model inspections in the engineering of collaborative cyber‐physical systems with instance‐level review diagrams. Journal of Software: Evolution and Process, 35(5), e2392.</v>
      </c>
      <c r="C64" s="7" t="b">
        <f ca="1">IFERROR(__xludf.DUMMYFUNCTION("""COMPUTED_VALUE"""),TRUE)</f>
        <v>1</v>
      </c>
      <c r="D64" s="5" t="str">
        <f ca="1">IFERROR(__xludf.DUMMYFUNCTION("""COMPUTED_VALUE"""),"jfr")</f>
        <v>jfr</v>
      </c>
      <c r="E64" s="5">
        <f ca="1">IF(C64, COUNTIF(Extraction!A:A, A64), "-")</f>
        <v>0</v>
      </c>
      <c r="F64" s="7" t="b">
        <f ca="1">IFERROR(__xludf.DUMMYFUNCTION("(COUNTIF(IMPORTRANGE(""https://docs.google.com/spreadsheets/d/1XUJGjtfB9SoW1rbohdkE9Z52MKac6AJzLHIsCSLTjGo/edit#gid=0"", ""Overlap!A2:A15""), A64)&gt;0)"),FALSE)</f>
        <v>0</v>
      </c>
      <c r="G64" s="5" t="str">
        <f t="shared" ca="1" si="0"/>
        <v xml:space="preserve"> </v>
      </c>
      <c r="H64" s="8" t="str">
        <f ca="1">IF(AND(C64,F64), COUNTIF(Overlap!A:A, A64), "-")</f>
        <v>-</v>
      </c>
      <c r="I64" s="6"/>
    </row>
    <row r="65" spans="1:9" x14ac:dyDescent="0.25">
      <c r="A65" s="5">
        <v>64</v>
      </c>
      <c r="B65" s="6" t="str">
        <f ca="1">IFERROR(__xludf.DUMMYFUNCTION("""COMPUTED_VALUE"""),"Bünder, H., &amp; Kuchen, H. (2019, April). A model-driven approach for behavior-driven GUI testing. In Proceedings of the 34th ACM/SIGAPP Symposium on Applied Computing (pp. 1742-1751).")</f>
        <v>Bünder, H., &amp; Kuchen, H. (2019, April). A model-driven approach for behavior-driven GUI testing. In Proceedings of the 34th ACM/SIGAPP Symposium on Applied Computing (pp. 1742-1751).</v>
      </c>
      <c r="C65" s="7" t="b">
        <f ca="1">IFERROR(__xludf.DUMMYFUNCTION("""COMPUTED_VALUE"""),TRUE)</f>
        <v>1</v>
      </c>
      <c r="D65" s="5" t="str">
        <f ca="1">IFERROR(__xludf.DUMMYFUNCTION("""COMPUTED_VALUE"""),"jfr")</f>
        <v>jfr</v>
      </c>
      <c r="E65" s="5">
        <f ca="1">IF(C65, COUNTIF(Extraction!A:A, A65), "-")</f>
        <v>1</v>
      </c>
      <c r="F65" s="7" t="b">
        <f ca="1">IFERROR(__xludf.DUMMYFUNCTION("(COUNTIF(IMPORTRANGE(""https://docs.google.com/spreadsheets/d/1XUJGjtfB9SoW1rbohdkE9Z52MKac6AJzLHIsCSLTjGo/edit#gid=0"", ""Overlap!A2:A15""), A65)&gt;0)"),TRUE)</f>
        <v>1</v>
      </c>
      <c r="G65" s="5" t="str">
        <f t="shared" ca="1" si="0"/>
        <v>dfu</v>
      </c>
      <c r="H65" s="8">
        <f ca="1">IF(AND(C65,F65), COUNTIF(Overlap!A:A, A65), "-")</f>
        <v>1</v>
      </c>
      <c r="I65" s="6"/>
    </row>
    <row r="66" spans="1:9" x14ac:dyDescent="0.25">
      <c r="A66" s="5">
        <v>65</v>
      </c>
      <c r="B66" s="6" t="str">
        <f ca="1">IFERROR(__xludf.DUMMYFUNCTION("""COMPUTED_VALUE"""),"Abrahão, S., &amp; Insfran, E. (2017, June). Evaluating software architecture evaluation methods: An internal replication. In Proceedings of the 21st International Conference on Evaluation and Assessment in Software Engineering (pp. 144-153).")</f>
        <v>Abrahão, S., &amp; Insfran, E. (2017, June). Evaluating software architecture evaluation methods: An internal replication. In Proceedings of the 21st International Conference on Evaluation and Assessment in Software Engineering (pp. 144-153).</v>
      </c>
      <c r="C66" s="7" t="b">
        <f ca="1">IFERROR(__xludf.DUMMYFUNCTION("""COMPUTED_VALUE"""),TRUE)</f>
        <v>1</v>
      </c>
      <c r="D66" s="5" t="str">
        <f ca="1">IFERROR(__xludf.DUMMYFUNCTION("""COMPUTED_VALUE"""),"dfu")</f>
        <v>dfu</v>
      </c>
      <c r="E66" s="5">
        <f ca="1">IF(C66, COUNTIF(Extraction!A:A, A66), "-")</f>
        <v>0</v>
      </c>
      <c r="F66" s="7" t="b">
        <f ca="1">IFERROR(__xludf.DUMMYFUNCTION("(COUNTIF(IMPORTRANGE(""https://docs.google.com/spreadsheets/d/1XUJGjtfB9SoW1rbohdkE9Z52MKac6AJzLHIsCSLTjGo/edit#gid=0"", ""Overlap!A2:A15""), A66)&gt;0)"),FALSE)</f>
        <v>0</v>
      </c>
      <c r="G66" s="5" t="str">
        <f t="shared" ca="1" si="0"/>
        <v xml:space="preserve"> </v>
      </c>
      <c r="H66" s="8" t="str">
        <f ca="1">IF(AND(C66,F66), COUNTIF(Overlap!A:A, A66), "-")</f>
        <v>-</v>
      </c>
      <c r="I66" s="6"/>
    </row>
    <row r="67" spans="1:9" x14ac:dyDescent="0.25">
      <c r="A67" s="5">
        <v>66</v>
      </c>
      <c r="B67" s="6" t="str">
        <f ca="1">IFERROR(__xludf.DUMMYFUNCTION("""COMPUTED_VALUE"""),"Frattini, J., Fucci, D., Torkar, R., Montgomery, L., Unterkalmsteiner, M., Fischbach, J., &amp; Mendez, D. (2024). Applying Bayesian Data Analysis for Causal Inference about Requirements Quality: A Replicated Experiment. arXiv preprint arXiv:2401.01154.")</f>
        <v>Frattini, J., Fucci, D., Torkar, R., Montgomery, L., Unterkalmsteiner, M., Fischbach, J., &amp; Mendez, D. (2024). Applying Bayesian Data Analysis for Causal Inference about Requirements Quality: A Replicated Experiment. arXiv preprint arXiv:2401.01154.</v>
      </c>
      <c r="C67" s="7" t="b">
        <f ca="1">IFERROR(__xludf.DUMMYFUNCTION("""COMPUTED_VALUE"""),TRUE)</f>
        <v>1</v>
      </c>
      <c r="D67" s="5" t="str">
        <f ca="1">IFERROR(__xludf.DUMMYFUNCTION("""COMPUTED_VALUE"""),"jfr")</f>
        <v>jfr</v>
      </c>
      <c r="E67" s="5">
        <f ca="1">IF(C67, COUNTIF(Extraction!A:A, A67), "-")</f>
        <v>0</v>
      </c>
      <c r="F67" s="7" t="b">
        <f ca="1">IFERROR(__xludf.DUMMYFUNCTION("(COUNTIF(IMPORTRANGE(""https://docs.google.com/spreadsheets/d/1XUJGjtfB9SoW1rbohdkE9Z52MKac6AJzLHIsCSLTjGo/edit#gid=0"", ""Overlap!A2:A15""), A67)&gt;0)"),FALSE)</f>
        <v>0</v>
      </c>
      <c r="G67" s="5" t="str">
        <f t="shared" ca="1" si="0"/>
        <v xml:space="preserve"> </v>
      </c>
      <c r="H67" s="8" t="str">
        <f ca="1">IF(AND(C67,F67), COUNTIF(Overlap!A:A, A67), "-")</f>
        <v>-</v>
      </c>
      <c r="I67" s="6"/>
    </row>
    <row r="68" spans="1:9" x14ac:dyDescent="0.25">
      <c r="A68" s="5">
        <v>67</v>
      </c>
      <c r="B68" s="6" t="str">
        <f ca="1">IFERROR(__xludf.DUMMYFUNCTION("""COMPUTED_VALUE"""),"Bogner, J., Wójcik, P., &amp; Zimmermann, O. (2024). How Do Microservice API Patterns Impact Understandability? A Controlled Experiment. arXiv preprint arXiv:2402.13696.")</f>
        <v>Bogner, J., Wójcik, P., &amp; Zimmermann, O. (2024). How Do Microservice API Patterns Impact Understandability? A Controlled Experiment. arXiv preprint arXiv:2402.13696.</v>
      </c>
      <c r="C68" s="7" t="b">
        <f ca="1">IFERROR(__xludf.DUMMYFUNCTION("""COMPUTED_VALUE"""),FALSE)</f>
        <v>0</v>
      </c>
      <c r="D68" s="5" t="str">
        <f ca="1">IFERROR(__xludf.DUMMYFUNCTION("""COMPUTED_VALUE"""),"dfu")</f>
        <v>dfu</v>
      </c>
      <c r="E68" s="5" t="str">
        <f ca="1">IF(C68, COUNTIF(Extraction!A:A, A68), "-")</f>
        <v>-</v>
      </c>
      <c r="F68" s="7" t="b">
        <f ca="1">IFERROR(__xludf.DUMMYFUNCTION("(COUNTIF(IMPORTRANGE(""https://docs.google.com/spreadsheets/d/1XUJGjtfB9SoW1rbohdkE9Z52MKac6AJzLHIsCSLTjGo/edit#gid=0"", ""Overlap!A2:A15""), A68)&gt;0)"),FALSE)</f>
        <v>0</v>
      </c>
      <c r="G68" s="5" t="str">
        <f t="shared" ca="1" si="0"/>
        <v xml:space="preserve"> </v>
      </c>
      <c r="H68" s="8" t="str">
        <f ca="1">IF(AND(C68,F68), COUNTIF(Overlap!A:A, A68), "-")</f>
        <v>-</v>
      </c>
      <c r="I68" s="6"/>
    </row>
    <row r="69" spans="1:9" x14ac:dyDescent="0.25">
      <c r="A69" s="5">
        <v>68</v>
      </c>
      <c r="B69" s="6" t="str">
        <f ca="1">IFERROR(__xludf.DUMMYFUNCTION("""COMPUTED_VALUE"""),"Frattini, J., Fucci, D., Torkar, R., &amp; Mendez, D. (2024). A Second Look at the Impact of Passive Voice Requirements on Domain Modeling: Bayesian Reanalysis of an Experiment. arXiv preprint arXiv:2402.10800.")</f>
        <v>Frattini, J., Fucci, D., Torkar, R., &amp; Mendez, D. (2024). A Second Look at the Impact of Passive Voice Requirements on Domain Modeling: Bayesian Reanalysis of an Experiment. arXiv preprint arXiv:2402.10800.</v>
      </c>
      <c r="C69" s="7" t="b">
        <f ca="1">IFERROR(__xludf.DUMMYFUNCTION("""COMPUTED_VALUE"""),FALSE)</f>
        <v>0</v>
      </c>
      <c r="D69" s="5" t="str">
        <f ca="1">IFERROR(__xludf.DUMMYFUNCTION("""COMPUTED_VALUE"""),"jfr")</f>
        <v>jfr</v>
      </c>
      <c r="E69" s="5" t="str">
        <f ca="1">IF(C69, COUNTIF(Extraction!A:A, A69), "-")</f>
        <v>-</v>
      </c>
      <c r="F69" s="7" t="b">
        <f ca="1">IFERROR(__xludf.DUMMYFUNCTION("(COUNTIF(IMPORTRANGE(""https://docs.google.com/spreadsheets/d/1XUJGjtfB9SoW1rbohdkE9Z52MKac6AJzLHIsCSLTjGo/edit#gid=0"", ""Overlap!A2:A15""), A69)&gt;0)"),TRUE)</f>
        <v>1</v>
      </c>
      <c r="G69" s="5" t="str">
        <f t="shared" ca="1" si="0"/>
        <v xml:space="preserve"> </v>
      </c>
      <c r="H69" s="8" t="str">
        <f ca="1">IF(AND(C69,F69), COUNTIF(Overlap!A:A, A69), "-")</f>
        <v>-</v>
      </c>
      <c r="I69" s="6"/>
    </row>
    <row r="70" spans="1:9" x14ac:dyDescent="0.25">
      <c r="A70" s="5">
        <v>69</v>
      </c>
      <c r="B70" s="6" t="str">
        <f ca="1">IFERROR(__xludf.DUMMYFUNCTION("""COMPUTED_VALUE"""),"Baldassarre, M. T., Caivano, D., Romano, S., Cagnetta, F., Fernandez-Cervantes, V., &amp; Stroulia, E. (2021). PhyDSLK: a model-driven framework for generating exergames. Multimedia Tools and Applications, 80(18), 27947-27971.")</f>
        <v>Baldassarre, M. T., Caivano, D., Romano, S., Cagnetta, F., Fernandez-Cervantes, V., &amp; Stroulia, E. (2021). PhyDSLK: a model-driven framework for generating exergames. Multimedia Tools and Applications, 80(18), 27947-27971.</v>
      </c>
      <c r="C70" s="7" t="b">
        <f ca="1">IFERROR(__xludf.DUMMYFUNCTION("""COMPUTED_VALUE"""),TRUE)</f>
        <v>1</v>
      </c>
      <c r="D70" s="5" t="str">
        <f ca="1">IFERROR(__xludf.DUMMYFUNCTION("""COMPUTED_VALUE"""),"dfu")</f>
        <v>dfu</v>
      </c>
      <c r="E70" s="5">
        <f ca="1">IF(C70, COUNTIF(Extraction!A:A, A70), "-")</f>
        <v>0</v>
      </c>
      <c r="F70" s="7" t="b">
        <f ca="1">IFERROR(__xludf.DUMMYFUNCTION("(COUNTIF(IMPORTRANGE(""https://docs.google.com/spreadsheets/d/1XUJGjtfB9SoW1rbohdkE9Z52MKac6AJzLHIsCSLTjGo/edit#gid=0"", ""Overlap!A2:A15""), A70)&gt;0)"),FALSE)</f>
        <v>0</v>
      </c>
      <c r="G70" s="5" t="str">
        <f t="shared" ca="1" si="0"/>
        <v xml:space="preserve"> </v>
      </c>
      <c r="H70" s="8" t="str">
        <f ca="1">IF(AND(C70,F70), COUNTIF(Overlap!A:A, A70), "-")</f>
        <v>-</v>
      </c>
      <c r="I70" s="6"/>
    </row>
    <row r="71" spans="1:9" x14ac:dyDescent="0.25">
      <c r="A71" s="5">
        <v>70</v>
      </c>
      <c r="B71" s="6" t="str">
        <f ca="1">IFERROR(__xludf.DUMMYFUNCTION("""COMPUTED_VALUE"""),"Figueiredo, D. G., Abrahão, S., Fernández-Diego, M., &amp; Insfran, E. (2023). A Comparative Study on Reward Models for UI Adaptation with Reinforcement Learning. arXiv preprint arXiv:2308.13937.")</f>
        <v>Figueiredo, D. G., Abrahão, S., Fernández-Diego, M., &amp; Insfran, E. (2023). A Comparative Study on Reward Models for UI Adaptation with Reinforcement Learning. arXiv preprint arXiv:2308.13937.</v>
      </c>
      <c r="C71" s="7" t="b">
        <f ca="1">IFERROR(__xludf.DUMMYFUNCTION("""COMPUTED_VALUE"""),FALSE)</f>
        <v>0</v>
      </c>
      <c r="D71" s="5" t="str">
        <f ca="1">IFERROR(__xludf.DUMMYFUNCTION("""COMPUTED_VALUE"""),"jfr")</f>
        <v>jfr</v>
      </c>
      <c r="E71" s="5" t="str">
        <f ca="1">IF(C71, COUNTIF(Extraction!A:A, A71), "-")</f>
        <v>-</v>
      </c>
      <c r="F71" s="7" t="b">
        <f ca="1">IFERROR(__xludf.DUMMYFUNCTION("(COUNTIF(IMPORTRANGE(""https://docs.google.com/spreadsheets/d/1XUJGjtfB9SoW1rbohdkE9Z52MKac6AJzLHIsCSLTjGo/edit#gid=0"", ""Overlap!A2:A15""), A71)&gt;0)"),FALSE)</f>
        <v>0</v>
      </c>
      <c r="G71" s="5" t="str">
        <f t="shared" ca="1" si="0"/>
        <v xml:space="preserve"> </v>
      </c>
      <c r="H71" s="8" t="str">
        <f ca="1">IF(AND(C71,F71), COUNTIF(Overlap!A:A, A71), "-")</f>
        <v>-</v>
      </c>
      <c r="I71" s="6"/>
    </row>
    <row r="72" spans="1:9" x14ac:dyDescent="0.25">
      <c r="A72" s="5">
        <v>71</v>
      </c>
      <c r="B72" s="6" t="str">
        <f ca="1">IFERROR(__xludf.DUMMYFUNCTION("""COMPUTED_VALUE"""),"Kreber, L., &amp; Diehl, S. (2023, October). A Comparative Evaluation of Tabs and Linked Panels for Program Understanding in Augmented Reality. In 2023 IEEE International Symposium on Mixed and Augmented Reality (ISMAR) (pp. 29-38). IEEE.")</f>
        <v>Kreber, L., &amp; Diehl, S. (2023, October). A Comparative Evaluation of Tabs and Linked Panels for Program Understanding in Augmented Reality. In 2023 IEEE International Symposium on Mixed and Augmented Reality (ISMAR) (pp. 29-38). IEEE.</v>
      </c>
      <c r="C72" s="7" t="b">
        <f ca="1">IFERROR(__xludf.DUMMYFUNCTION("""COMPUTED_VALUE"""),TRUE)</f>
        <v>1</v>
      </c>
      <c r="D72" s="5" t="str">
        <f ca="1">IFERROR(__xludf.DUMMYFUNCTION("""COMPUTED_VALUE"""),"dfu")</f>
        <v>dfu</v>
      </c>
      <c r="E72" s="5">
        <f ca="1">IF(C72, COUNTIF(Extraction!A:A, A72), "-")</f>
        <v>1</v>
      </c>
      <c r="F72" s="7" t="b">
        <f ca="1">IFERROR(__xludf.DUMMYFUNCTION("(COUNTIF(IMPORTRANGE(""https://docs.google.com/spreadsheets/d/1XUJGjtfB9SoW1rbohdkE9Z52MKac6AJzLHIsCSLTjGo/edit#gid=0"", ""Overlap!A2:A15""), A72)&gt;0)"),TRUE)</f>
        <v>1</v>
      </c>
      <c r="G72" s="5" t="str">
        <f t="shared" ca="1" si="0"/>
        <v>jfr</v>
      </c>
      <c r="H72" s="8">
        <f ca="1">IF(AND(C72,F72), COUNTIF(Overlap!A:A, A72), "-")</f>
        <v>1</v>
      </c>
      <c r="I72" s="6"/>
    </row>
    <row r="73" spans="1:9" x14ac:dyDescent="0.25">
      <c r="A73" s="5">
        <v>72</v>
      </c>
      <c r="B73" s="6" t="str">
        <f ca="1">IFERROR(__xludf.DUMMYFUNCTION("""COMPUTED_VALUE"""),"Coviello, C., Romano, S., Scanniello, G., &amp; Antoniol, G. (2022). Gasser: a multi-objective evolutionary approach for test suite reduction. International Journal of Software Engineering and Knowledge Engineering, 32(02), 193-225.")</f>
        <v>Coviello, C., Romano, S., Scanniello, G., &amp; Antoniol, G. (2022). Gasser: a multi-objective evolutionary approach for test suite reduction. International Journal of Software Engineering and Knowledge Engineering, 32(02), 193-225.</v>
      </c>
      <c r="C73" s="7" t="b">
        <f ca="1">IFERROR(__xludf.DUMMYFUNCTION("""COMPUTED_VALUE"""),FALSE)</f>
        <v>0</v>
      </c>
      <c r="D73" s="5" t="str">
        <f ca="1">IFERROR(__xludf.DUMMYFUNCTION("""COMPUTED_VALUE"""),"dfu")</f>
        <v>dfu</v>
      </c>
      <c r="E73" s="5" t="str">
        <f ca="1">IF(C73, COUNTIF(Extraction!A:A, A73), "-")</f>
        <v>-</v>
      </c>
      <c r="F73" s="7" t="b">
        <f ca="1">IFERROR(__xludf.DUMMYFUNCTION("(COUNTIF(IMPORTRANGE(""https://docs.google.com/spreadsheets/d/1XUJGjtfB9SoW1rbohdkE9Z52MKac6AJzLHIsCSLTjGo/edit#gid=0"", ""Overlap!A2:A15""), A73)&gt;0)"),FALSE)</f>
        <v>0</v>
      </c>
      <c r="G73" s="5" t="str">
        <f t="shared" ca="1" si="0"/>
        <v xml:space="preserve"> </v>
      </c>
      <c r="H73" s="8" t="str">
        <f ca="1">IF(AND(C73,F73), COUNTIF(Overlap!A:A, A73), "-")</f>
        <v>-</v>
      </c>
      <c r="I73" s="6"/>
    </row>
    <row r="74" spans="1:9" x14ac:dyDescent="0.25">
      <c r="A74" s="5">
        <v>73</v>
      </c>
      <c r="B74" s="6" t="str">
        <f ca="1">IFERROR(__xludf.DUMMYFUNCTION("""COMPUTED_VALUE"""),"Marchezan, L., Assunção, W. K., Michelon, G. K., &amp; Egyed, A. (2023, June). Do Developers Benefit from Recommendations When Repairing Inconsistent Design Models? a Controlled Experiment. In Proceedings of the 27th International Conference on Evaluation and"&amp;" Assessment in Software Engineering (pp. 131-140).")</f>
        <v>Marchezan, L., Assunção, W. K., Michelon, G. K., &amp; Egyed, A. (2023, June). Do Developers Benefit from Recommendations When Repairing Inconsistent Design Models? a Controlled Experiment. In Proceedings of the 27th International Conference on Evaluation and Assessment in Software Engineering (pp. 131-140).</v>
      </c>
      <c r="C74" s="7" t="b">
        <f ca="1">IFERROR(__xludf.DUMMYFUNCTION("""COMPUTED_VALUE"""),TRUE)</f>
        <v>1</v>
      </c>
      <c r="D74" s="5" t="str">
        <f ca="1">IFERROR(__xludf.DUMMYFUNCTION("""COMPUTED_VALUE"""),"jfr")</f>
        <v>jfr</v>
      </c>
      <c r="E74" s="5">
        <f ca="1">IF(C74, COUNTIF(Extraction!A:A, A74), "-")</f>
        <v>0</v>
      </c>
      <c r="F74" s="7" t="b">
        <f ca="1">IFERROR(__xludf.DUMMYFUNCTION("(COUNTIF(IMPORTRANGE(""https://docs.google.com/spreadsheets/d/1XUJGjtfB9SoW1rbohdkE9Z52MKac6AJzLHIsCSLTjGo/edit#gid=0"", ""Overlap!A2:A15""), A74)&gt;0)"),FALSE)</f>
        <v>0</v>
      </c>
      <c r="G74" s="5" t="str">
        <f t="shared" ca="1" si="0"/>
        <v xml:space="preserve"> </v>
      </c>
      <c r="H74" s="8" t="str">
        <f ca="1">IF(AND(C74,F74), COUNTIF(Overlap!A:A, A74), "-")</f>
        <v>-</v>
      </c>
      <c r="I74" s="6"/>
    </row>
    <row r="75" spans="1:9" x14ac:dyDescent="0.25">
      <c r="A75" s="5">
        <v>74</v>
      </c>
      <c r="B75" s="6" t="str">
        <f ca="1">IFERROR(__xludf.DUMMYFUNCTION("""COMPUTED_VALUE"""),"Baatartogtokh, Y., Foster, I., &amp; Grubb, A. M. (2023, September). Visualizations for User-supported State Space Exploration of Goal Models. In 2023 IEEE 31st International Requirements Engineering Conference (RE) (pp. 281-286). IEEE.")</f>
        <v>Baatartogtokh, Y., Foster, I., &amp; Grubb, A. M. (2023, September). Visualizations for User-supported State Space Exploration of Goal Models. In 2023 IEEE 31st International Requirements Engineering Conference (RE) (pp. 281-286). IEEE.</v>
      </c>
      <c r="C75" s="7" t="b">
        <f ca="1">IFERROR(__xludf.DUMMYFUNCTION("""COMPUTED_VALUE"""),FALSE)</f>
        <v>0</v>
      </c>
      <c r="D75" s="5" t="str">
        <f ca="1">IFERROR(__xludf.DUMMYFUNCTION("""COMPUTED_VALUE"""),"jfr")</f>
        <v>jfr</v>
      </c>
      <c r="E75" s="5" t="str">
        <f ca="1">IF(C75, COUNTIF(Extraction!A:A, A75), "-")</f>
        <v>-</v>
      </c>
      <c r="F75" s="7" t="b">
        <f ca="1">IFERROR(__xludf.DUMMYFUNCTION("(COUNTIF(IMPORTRANGE(""https://docs.google.com/spreadsheets/d/1XUJGjtfB9SoW1rbohdkE9Z52MKac6AJzLHIsCSLTjGo/edit#gid=0"", ""Overlap!A2:A15""), A75)&gt;0)"),FALSE)</f>
        <v>0</v>
      </c>
      <c r="G75" s="5" t="str">
        <f t="shared" ca="1" si="0"/>
        <v xml:space="preserve"> </v>
      </c>
      <c r="H75" s="8" t="str">
        <f ca="1">IF(AND(C75,F75), COUNTIF(Overlap!A:A, A75), "-")</f>
        <v>-</v>
      </c>
      <c r="I75" s="6"/>
    </row>
    <row r="76" spans="1:9" x14ac:dyDescent="0.25">
      <c r="A76" s="5">
        <v>75</v>
      </c>
      <c r="B76" s="6" t="str">
        <f ca="1">IFERROR(__xludf.DUMMYFUNCTION("""COMPUTED_VALUE"""),"Bogner, J., Kotstein, S., &amp; Pfaff, T. (2023). Do RESTful API Design Rules Have an Impact on the Understandability of Web APIs? A Web-Based Experiment with API Descriptions. arXiv preprint arXiv:2305.07346.")</f>
        <v>Bogner, J., Kotstein, S., &amp; Pfaff, T. (2023). Do RESTful API Design Rules Have an Impact on the Understandability of Web APIs? A Web-Based Experiment with API Descriptions. arXiv preprint arXiv:2305.07346.</v>
      </c>
      <c r="C76" s="7" t="b">
        <f ca="1">IFERROR(__xludf.DUMMYFUNCTION("""COMPUTED_VALUE"""),FALSE)</f>
        <v>0</v>
      </c>
      <c r="D76" s="5" t="str">
        <f ca="1">IFERROR(__xludf.DUMMYFUNCTION("""COMPUTED_VALUE"""),"dfu")</f>
        <v>dfu</v>
      </c>
      <c r="E76" s="5" t="str">
        <f ca="1">IF(C76, COUNTIF(Extraction!A:A, A76), "-")</f>
        <v>-</v>
      </c>
      <c r="F76" s="7" t="b">
        <f ca="1">IFERROR(__xludf.DUMMYFUNCTION("(COUNTIF(IMPORTRANGE(""https://docs.google.com/spreadsheets/d/1XUJGjtfB9SoW1rbohdkE9Z52MKac6AJzLHIsCSLTjGo/edit#gid=0"", ""Overlap!A2:A15""), A76)&gt;0)"),FALSE)</f>
        <v>0</v>
      </c>
      <c r="G76" s="5" t="str">
        <f t="shared" ca="1" si="0"/>
        <v xml:space="preserve"> </v>
      </c>
      <c r="H76" s="8" t="str">
        <f ca="1">IF(AND(C76,F76), COUNTIF(Overlap!A:A, A76), "-")</f>
        <v>-</v>
      </c>
      <c r="I76" s="6"/>
    </row>
    <row r="77" spans="1:9" x14ac:dyDescent="0.25">
      <c r="A77" s="5">
        <v>76</v>
      </c>
      <c r="B77" s="6" t="str">
        <f ca="1">IFERROR(__xludf.DUMMYFUNCTION("""COMPUTED_VALUE"""),"Nowak, A., &amp; Schünemann, H. J. (2017). Toward evidence-based software engineering: Lessons learned in healthcare application development. IEEE Software, 34(5), 67-71.")</f>
        <v>Nowak, A., &amp; Schünemann, H. J. (2017). Toward evidence-based software engineering: Lessons learned in healthcare application development. IEEE Software, 34(5), 67-71.</v>
      </c>
      <c r="C77" s="7" t="b">
        <f ca="1">IFERROR(__xludf.DUMMYFUNCTION("""COMPUTED_VALUE"""),FALSE)</f>
        <v>0</v>
      </c>
      <c r="D77" s="5" t="str">
        <f ca="1">IFERROR(__xludf.DUMMYFUNCTION("""COMPUTED_VALUE"""),"jfr")</f>
        <v>jfr</v>
      </c>
      <c r="E77" s="5" t="str">
        <f ca="1">IF(C77, COUNTIF(Extraction!A:A, A77), "-")</f>
        <v>-</v>
      </c>
      <c r="F77" s="7" t="b">
        <f ca="1">IFERROR(__xludf.DUMMYFUNCTION("(COUNTIF(IMPORTRANGE(""https://docs.google.com/spreadsheets/d/1XUJGjtfB9SoW1rbohdkE9Z52MKac6AJzLHIsCSLTjGo/edit#gid=0"", ""Overlap!A2:A15""), A77)&gt;0)"),FALSE)</f>
        <v>0</v>
      </c>
      <c r="G77" s="5" t="str">
        <f t="shared" ca="1" si="0"/>
        <v xml:space="preserve"> </v>
      </c>
      <c r="H77" s="8" t="str">
        <f ca="1">IF(AND(C77,F77), COUNTIF(Overlap!A:A, A77), "-")</f>
        <v>-</v>
      </c>
      <c r="I77" s="6"/>
    </row>
    <row r="78" spans="1:9" x14ac:dyDescent="0.25">
      <c r="A78" s="5">
        <v>77</v>
      </c>
      <c r="B78" s="6" t="str">
        <f ca="1">IFERROR(__xludf.DUMMYFUNCTION("""COMPUTED_VALUE"""),"Schneid, K., Thöne, S., &amp; Kuchen, H. (2022, September). Semi-automated test migration for BPMN-based process-driven applications. In International Conference on Enterprise Design, Operations, and Computing (pp. 237-254). Cham: Springer International Publi"&amp;"shing.")</f>
        <v>Schneid, K., Thöne, S., &amp; Kuchen, H. (2022, September). Semi-automated test migration for BPMN-based process-driven applications. In International Conference on Enterprise Design, Operations, and Computing (pp. 237-254). Cham: Springer International Publishing.</v>
      </c>
      <c r="C78" s="7" t="b">
        <f ca="1">IFERROR(__xludf.DUMMYFUNCTION("""COMPUTED_VALUE"""),TRUE)</f>
        <v>1</v>
      </c>
      <c r="D78" s="5" t="str">
        <f ca="1">IFERROR(__xludf.DUMMYFUNCTION("""COMPUTED_VALUE"""),"jfr")</f>
        <v>jfr</v>
      </c>
      <c r="E78" s="5">
        <f ca="1">IF(C78, COUNTIF(Extraction!A:A, A78), "-")</f>
        <v>1</v>
      </c>
      <c r="F78" s="7" t="b">
        <f ca="1">IFERROR(__xludf.DUMMYFUNCTION("(COUNTIF(IMPORTRANGE(""https://docs.google.com/spreadsheets/d/1XUJGjtfB9SoW1rbohdkE9Z52MKac6AJzLHIsCSLTjGo/edit#gid=0"", ""Overlap!A2:A15""), A78)&gt;0)"),TRUE)</f>
        <v>1</v>
      </c>
      <c r="G78" s="5" t="str">
        <f t="shared" ca="1" si="0"/>
        <v>dfu</v>
      </c>
      <c r="H78" s="8">
        <f ca="1">IF(AND(C78,F78), COUNTIF(Overlap!A:A, A78), "-")</f>
        <v>1</v>
      </c>
      <c r="I78" s="6"/>
    </row>
    <row r="79" spans="1:9" x14ac:dyDescent="0.25">
      <c r="A79" s="5">
        <v>78</v>
      </c>
      <c r="B79" s="6" t="str">
        <f ca="1">IFERROR(__xludf.DUMMYFUNCTION("""COMPUTED_VALUE"""),"Gralha, C., Goulao, M., &amp; Araujo, J. (2020). Are there gender differences when interacting with social goal models? A quasi-experiment. Empirical Software Engineering, 25, 5416-5453.")</f>
        <v>Gralha, C., Goulao, M., &amp; Araujo, J. (2020). Are there gender differences when interacting with social goal models? A quasi-experiment. Empirical Software Engineering, 25, 5416-5453.</v>
      </c>
      <c r="C79" s="7" t="b">
        <f ca="1">IFERROR(__xludf.DUMMYFUNCTION("""COMPUTED_VALUE"""),FALSE)</f>
        <v>0</v>
      </c>
      <c r="D79" s="5" t="str">
        <f ca="1">IFERROR(__xludf.DUMMYFUNCTION("""COMPUTED_VALUE"""),"dfu")</f>
        <v>dfu</v>
      </c>
      <c r="E79" s="5" t="str">
        <f ca="1">IF(C79, COUNTIF(Extraction!A:A, A79), "-")</f>
        <v>-</v>
      </c>
      <c r="F79" s="7" t="b">
        <f ca="1">IFERROR(__xludf.DUMMYFUNCTION("(COUNTIF(IMPORTRANGE(""https://docs.google.com/spreadsheets/d/1XUJGjtfB9SoW1rbohdkE9Z52MKac6AJzLHIsCSLTjGo/edit#gid=0"", ""Overlap!A2:A15""), A79)&gt;0)"),FALSE)</f>
        <v>0</v>
      </c>
      <c r="G79" s="5" t="str">
        <f t="shared" ca="1" si="0"/>
        <v xml:space="preserve"> </v>
      </c>
      <c r="H79" s="8" t="str">
        <f ca="1">IF(AND(C79,F79), COUNTIF(Overlap!A:A, A79), "-")</f>
        <v>-</v>
      </c>
      <c r="I79" s="6"/>
    </row>
    <row r="80" spans="1:9" x14ac:dyDescent="0.25">
      <c r="A80" s="5">
        <v>79</v>
      </c>
      <c r="B80" s="6" t="str">
        <f ca="1">IFERROR(__xludf.DUMMYFUNCTION("""COMPUTED_VALUE"""),"Dieste, O., Uyaguari, F., Vegas, S., &amp; Juristo, N. (2021). Test cases as a measurement instrument in experimentation. arXiv preprint arXiv:2111.05287.")</f>
        <v>Dieste, O., Uyaguari, F., Vegas, S., &amp; Juristo, N. (2021). Test cases as a measurement instrument in experimentation. arXiv preprint arXiv:2111.05287.</v>
      </c>
      <c r="C80" s="7" t="b">
        <f ca="1">IFERROR(__xludf.DUMMYFUNCTION("""COMPUTED_VALUE"""),FALSE)</f>
        <v>0</v>
      </c>
      <c r="D80" s="5" t="str">
        <f ca="1">IFERROR(__xludf.DUMMYFUNCTION("""COMPUTED_VALUE"""),"jfr")</f>
        <v>jfr</v>
      </c>
      <c r="E80" s="5" t="str">
        <f ca="1">IF(C80, COUNTIF(Extraction!A:A, A80), "-")</f>
        <v>-</v>
      </c>
      <c r="F80" s="7" t="b">
        <f ca="1">IFERROR(__xludf.DUMMYFUNCTION("(COUNTIF(IMPORTRANGE(""https://docs.google.com/spreadsheets/d/1XUJGjtfB9SoW1rbohdkE9Z52MKac6AJzLHIsCSLTjGo/edit#gid=0"", ""Overlap!A2:A15""), A80)&gt;0)"),FALSE)</f>
        <v>0</v>
      </c>
      <c r="G80" s="5" t="str">
        <f t="shared" ca="1" si="0"/>
        <v xml:space="preserve"> </v>
      </c>
      <c r="H80" s="8" t="str">
        <f ca="1">IF(AND(C80,F80), COUNTIF(Overlap!A:A, A80), "-")</f>
        <v>-</v>
      </c>
      <c r="I80" s="6"/>
    </row>
    <row r="81" spans="1:9" x14ac:dyDescent="0.25">
      <c r="A81" s="5">
        <v>80</v>
      </c>
      <c r="B81" s="6" t="str">
        <f ca="1">IFERROR(__xludf.DUMMYFUNCTION("""COMPUTED_VALUE"""),"Esposito, M., Romano, S., &amp; Scanniello, G. (2023, September). Test-Driven Development and Embedded Systems: An Exploratory Investigation. In 2023 49th Euromicro Conference on Software Engineering and Advanced Applications (SEAA) (pp. 239-246). IEEE.")</f>
        <v>Esposito, M., Romano, S., &amp; Scanniello, G. (2023, September). Test-Driven Development and Embedded Systems: An Exploratory Investigation. In 2023 49th Euromicro Conference on Software Engineering and Advanced Applications (SEAA) (pp. 239-246). IEEE.</v>
      </c>
      <c r="C81" s="7" t="b">
        <f ca="1">IFERROR(__xludf.DUMMYFUNCTION("""COMPUTED_VALUE"""),TRUE)</f>
        <v>1</v>
      </c>
      <c r="D81" s="5" t="str">
        <f ca="1">IFERROR(__xludf.DUMMYFUNCTION("""COMPUTED_VALUE"""),"dfu")</f>
        <v>dfu</v>
      </c>
      <c r="E81" s="5">
        <f ca="1">IF(C81, COUNTIF(Extraction!A:A, A81), "-")</f>
        <v>0</v>
      </c>
      <c r="F81" s="7" t="b">
        <f ca="1">IFERROR(__xludf.DUMMYFUNCTION("(COUNTIF(IMPORTRANGE(""https://docs.google.com/spreadsheets/d/1XUJGjtfB9SoW1rbohdkE9Z52MKac6AJzLHIsCSLTjGo/edit#gid=0"", ""Overlap!A2:A15""), A81)&gt;0)"),FALSE)</f>
        <v>0</v>
      </c>
      <c r="G81" s="5" t="str">
        <f t="shared" ca="1" si="0"/>
        <v xml:space="preserve"> </v>
      </c>
      <c r="H81" s="8" t="str">
        <f ca="1">IF(AND(C81,F81), COUNTIF(Overlap!A:A, A81), "-")</f>
        <v>-</v>
      </c>
      <c r="I81" s="6"/>
    </row>
    <row r="82" spans="1:9" x14ac:dyDescent="0.25">
      <c r="A82" s="5">
        <v>81</v>
      </c>
      <c r="B82" s="6" t="str">
        <f ca="1">IFERROR(__xludf.DUMMYFUNCTION("""COMPUTED_VALUE"""),"Abdelfattah, A. S., Cerny, T., Taibi, D., &amp; Vegas, S. (2023). Comparing 2D and Augmented Reality Visualizations for Microservice System Understandability: A Controlled Experiment. arXiv preprint arXiv:2303.02268.")</f>
        <v>Abdelfattah, A. S., Cerny, T., Taibi, D., &amp; Vegas, S. (2023). Comparing 2D and Augmented Reality Visualizations for Microservice System Understandability: A Controlled Experiment. arXiv preprint arXiv:2303.02268.</v>
      </c>
      <c r="C82" s="7" t="b">
        <f ca="1">IFERROR(__xludf.DUMMYFUNCTION("""COMPUTED_VALUE"""),TRUE)</f>
        <v>1</v>
      </c>
      <c r="D82" s="5" t="str">
        <f ca="1">IFERROR(__xludf.DUMMYFUNCTION("""COMPUTED_VALUE"""),"jfr")</f>
        <v>jfr</v>
      </c>
      <c r="E82" s="5">
        <f ca="1">IF(C82, COUNTIF(Extraction!A:A, A82), "-")</f>
        <v>0</v>
      </c>
      <c r="F82" s="7" t="b">
        <f ca="1">IFERROR(__xludf.DUMMYFUNCTION("(COUNTIF(IMPORTRANGE(""https://docs.google.com/spreadsheets/d/1XUJGjtfB9SoW1rbohdkE9Z52MKac6AJzLHIsCSLTjGo/edit#gid=0"", ""Overlap!A2:A15""), A82)&gt;0)"),FALSE)</f>
        <v>0</v>
      </c>
      <c r="G82" s="5" t="str">
        <f t="shared" ca="1" si="0"/>
        <v xml:space="preserve"> </v>
      </c>
      <c r="H82" s="8" t="str">
        <f ca="1">IF(AND(C82,F82), COUNTIF(Overlap!A:A, A82), "-")</f>
        <v>-</v>
      </c>
      <c r="I82" s="6"/>
    </row>
    <row r="83" spans="1:9" x14ac:dyDescent="0.25">
      <c r="A83" s="5">
        <v>82</v>
      </c>
      <c r="B83" s="6" t="str">
        <f ca="1">IFERROR(__xludf.DUMMYFUNCTION("""COMPUTED_VALUE"""),"Trasobares, J. I., Domingo, Á., Arcega, L., &amp; Cetina, C. (2022, September). Evaluating the benefits of software product lines in game software engineering. In Proceedings of the 26th ACM International Systems and Software Product Line Conference-Volume A "&amp;"(pp. 120-130).")</f>
        <v>Trasobares, J. I., Domingo, Á., Arcega, L., &amp; Cetina, C. (2022, September). Evaluating the benefits of software product lines in game software engineering. In Proceedings of the 26th ACM International Systems and Software Product Line Conference-Volume A (pp. 120-130).</v>
      </c>
      <c r="C83" s="7" t="b">
        <f ca="1">IFERROR(__xludf.DUMMYFUNCTION("""COMPUTED_VALUE"""),FALSE)</f>
        <v>0</v>
      </c>
      <c r="D83" s="5" t="str">
        <f ca="1">IFERROR(__xludf.DUMMYFUNCTION("""COMPUTED_VALUE"""),"jfr")</f>
        <v>jfr</v>
      </c>
      <c r="E83" s="5" t="str">
        <f ca="1">IF(C83, COUNTIF(Extraction!A:A, A83), "-")</f>
        <v>-</v>
      </c>
      <c r="F83" s="7" t="b">
        <f ca="1">IFERROR(__xludf.DUMMYFUNCTION("(COUNTIF(IMPORTRANGE(""https://docs.google.com/spreadsheets/d/1XUJGjtfB9SoW1rbohdkE9Z52MKac6AJzLHIsCSLTjGo/edit#gid=0"", ""Overlap!A2:A15""), A83)&gt;0)"),FALSE)</f>
        <v>0</v>
      </c>
      <c r="G83" s="5" t="str">
        <f t="shared" ca="1" si="0"/>
        <v xml:space="preserve"> </v>
      </c>
      <c r="H83" s="8" t="str">
        <f ca="1">IF(AND(C83,F83), COUNTIF(Overlap!A:A, A83), "-")</f>
        <v>-</v>
      </c>
      <c r="I83" s="6"/>
    </row>
    <row r="84" spans="1:9" x14ac:dyDescent="0.25">
      <c r="A84" s="5">
        <v>83</v>
      </c>
      <c r="B84" s="6" t="str">
        <f ca="1">IFERROR(__xludf.DUMMYFUNCTION("""COMPUTED_VALUE"""),"Francese, R., Frasca, M., Risi, M., &amp; Tortora, G. (2022). User Comprehension of Complexity Design Graph Reports. Big Data, 10(5), 388-407.")</f>
        <v>Francese, R., Frasca, M., Risi, M., &amp; Tortora, G. (2022). User Comprehension of Complexity Design Graph Reports. Big Data, 10(5), 388-407.</v>
      </c>
      <c r="C84" s="7" t="b">
        <f ca="1">IFERROR(__xludf.DUMMYFUNCTION("""COMPUTED_VALUE"""),FALSE)</f>
        <v>0</v>
      </c>
      <c r="D84" s="5" t="str">
        <f ca="1">IFERROR(__xludf.DUMMYFUNCTION("""COMPUTED_VALUE"""),"dfu")</f>
        <v>dfu</v>
      </c>
      <c r="E84" s="5" t="str">
        <f ca="1">IF(C84, COUNTIF(Extraction!A:A, A84), "-")</f>
        <v>-</v>
      </c>
      <c r="F84" s="7" t="b">
        <f ca="1">IFERROR(__xludf.DUMMYFUNCTION("(COUNTIF(IMPORTRANGE(""https://docs.google.com/spreadsheets/d/1XUJGjtfB9SoW1rbohdkE9Z52MKac6AJzLHIsCSLTjGo/edit#gid=0"", ""Overlap!A2:A15""), A84)&gt;0)"),FALSE)</f>
        <v>0</v>
      </c>
      <c r="G84" s="5" t="str">
        <f t="shared" ca="1" si="0"/>
        <v xml:space="preserve"> </v>
      </c>
      <c r="H84" s="8" t="str">
        <f ca="1">IF(AND(C84,F84), COUNTIF(Overlap!A:A, A84), "-")</f>
        <v>-</v>
      </c>
      <c r="I84" s="6"/>
    </row>
    <row r="85" spans="1:9" x14ac:dyDescent="0.25">
      <c r="A85" s="5">
        <v>84</v>
      </c>
      <c r="B85" s="6" t="str">
        <f ca="1">IFERROR(__xludf.DUMMYFUNCTION("""COMPUTED_VALUE"""),"Cruz, N. A., Melo, O. O., &amp; Martinez, C. A. (2023). CrossCarry: An R package for the analysis of data from a crossover design with GEE. arXiv preprint arXiv:2304.02440.")</f>
        <v>Cruz, N. A., Melo, O. O., &amp; Martinez, C. A. (2023). CrossCarry: An R package for the analysis of data from a crossover design with GEE. arXiv preprint arXiv:2304.02440.</v>
      </c>
      <c r="C85" s="7" t="b">
        <f ca="1">IFERROR(__xludf.DUMMYFUNCTION("""COMPUTED_VALUE"""),FALSE)</f>
        <v>0</v>
      </c>
      <c r="D85" s="5" t="str">
        <f ca="1">IFERROR(__xludf.DUMMYFUNCTION("""COMPUTED_VALUE"""),"jfr")</f>
        <v>jfr</v>
      </c>
      <c r="E85" s="5" t="str">
        <f ca="1">IF(C85, COUNTIF(Extraction!A:A, A85), "-")</f>
        <v>-</v>
      </c>
      <c r="F85" s="7" t="b">
        <f ca="1">IFERROR(__xludf.DUMMYFUNCTION("(COUNTIF(IMPORTRANGE(""https://docs.google.com/spreadsheets/d/1XUJGjtfB9SoW1rbohdkE9Z52MKac6AJzLHIsCSLTjGo/edit#gid=0"", ""Overlap!A2:A15""), A85)&gt;0)"),FALSE)</f>
        <v>0</v>
      </c>
      <c r="G85" s="5" t="str">
        <f t="shared" ca="1" si="0"/>
        <v xml:space="preserve"> </v>
      </c>
      <c r="H85" s="8" t="str">
        <f ca="1">IF(AND(C85,F85), COUNTIF(Overlap!A:A, A85), "-")</f>
        <v>-</v>
      </c>
      <c r="I85" s="6"/>
    </row>
    <row r="86" spans="1:9" x14ac:dyDescent="0.25">
      <c r="A86" s="5">
        <v>85</v>
      </c>
      <c r="B86" s="6" t="str">
        <f ca="1">IFERROR(__xludf.DUMMYFUNCTION("""COMPUTED_VALUE"""),"Cruz, N. A., Melo, O. O., &amp; Martinez, C. A. (2024). Estimation of complex carryover effects in crossover designs with repeated measures. arXiv preprint arXiv:2402.16362.")</f>
        <v>Cruz, N. A., Melo, O. O., &amp; Martinez, C. A. (2024). Estimation of complex carryover effects in crossover designs with repeated measures. arXiv preprint arXiv:2402.16362.</v>
      </c>
      <c r="C86" s="7" t="b">
        <f ca="1">IFERROR(__xludf.DUMMYFUNCTION("""COMPUTED_VALUE"""),FALSE)</f>
        <v>0</v>
      </c>
      <c r="D86" s="5" t="str">
        <f ca="1">IFERROR(__xludf.DUMMYFUNCTION("""COMPUTED_VALUE"""),"jfr")</f>
        <v>jfr</v>
      </c>
      <c r="E86" s="5" t="str">
        <f ca="1">IF(C86, COUNTIF(Extraction!A:A, A86), "-")</f>
        <v>-</v>
      </c>
      <c r="F86" s="7" t="b">
        <f ca="1">IFERROR(__xludf.DUMMYFUNCTION("(COUNTIF(IMPORTRANGE(""https://docs.google.com/spreadsheets/d/1XUJGjtfB9SoW1rbohdkE9Z52MKac6AJzLHIsCSLTjGo/edit#gid=0"", ""Overlap!A2:A15""), A86)&gt;0)"),FALSE)</f>
        <v>0</v>
      </c>
      <c r="G86" s="5" t="str">
        <f t="shared" ca="1" si="0"/>
        <v xml:space="preserve"> </v>
      </c>
      <c r="H86" s="8" t="str">
        <f ca="1">IF(AND(C86,F86), COUNTIF(Overlap!A:A, A86), "-")</f>
        <v>-</v>
      </c>
      <c r="I86" s="6"/>
    </row>
    <row r="87" spans="1:9" x14ac:dyDescent="0.25">
      <c r="A87" s="5">
        <v>86</v>
      </c>
      <c r="B87" s="6" t="str">
        <f ca="1">IFERROR(__xludf.DUMMYFUNCTION("""COMPUTED_VALUE"""),"Auer, F., &amp; Felderer, M. (2021, September). An Architecture to Integrate Experimentation into the Software Development Infrastructure. In 2021 47th Euromicro Conference on Software Engineering and Advanced Applications (SEAA) (pp. 342-350). IEEE.")</f>
        <v>Auer, F., &amp; Felderer, M. (2021, September). An Architecture to Integrate Experimentation into the Software Development Infrastructure. In 2021 47th Euromicro Conference on Software Engineering and Advanced Applications (SEAA) (pp. 342-350). IEEE.</v>
      </c>
      <c r="C87" s="7" t="b">
        <f ca="1">IFERROR(__xludf.DUMMYFUNCTION("""COMPUTED_VALUE"""),TRUE)</f>
        <v>1</v>
      </c>
      <c r="D87" s="5" t="str">
        <f ca="1">IFERROR(__xludf.DUMMYFUNCTION("""COMPUTED_VALUE"""),"jfr")</f>
        <v>jfr</v>
      </c>
      <c r="E87" s="5">
        <f ca="1">IF(C87, COUNTIF(Extraction!A:A, A87), "-")</f>
        <v>0</v>
      </c>
      <c r="F87" s="7" t="b">
        <f ca="1">IFERROR(__xludf.DUMMYFUNCTION("(COUNTIF(IMPORTRANGE(""https://docs.google.com/spreadsheets/d/1XUJGjtfB9SoW1rbohdkE9Z52MKac6AJzLHIsCSLTjGo/edit#gid=0"", ""Overlap!A2:A15""), A87)&gt;0)"),FALSE)</f>
        <v>0</v>
      </c>
      <c r="G87" s="5" t="str">
        <f t="shared" ca="1" si="0"/>
        <v xml:space="preserve"> </v>
      </c>
      <c r="H87" s="8" t="str">
        <f ca="1">IF(AND(C87,F87), COUNTIF(Overlap!A:A, A87), "-")</f>
        <v>-</v>
      </c>
      <c r="I87" s="6"/>
    </row>
    <row r="88" spans="1:9" x14ac:dyDescent="0.25">
      <c r="A88" s="5">
        <v>87</v>
      </c>
      <c r="B88" s="6" t="str">
        <f ca="1">IFERROR(__xludf.DUMMYFUNCTION("""COMPUTED_VALUE"""),"Recker, J., &amp; Recker, J. (2021). Research methods. Scientific Research in Information Systems: A Beginner's Guide, 87-160.")</f>
        <v>Recker, J., &amp; Recker, J. (2021). Research methods. Scientific Research in Information Systems: A Beginner's Guide, 87-160.</v>
      </c>
      <c r="C88" s="7" t="b">
        <f ca="1">IFERROR(__xludf.DUMMYFUNCTION("""COMPUTED_VALUE"""),FALSE)</f>
        <v>0</v>
      </c>
      <c r="D88" s="5" t="str">
        <f ca="1">IFERROR(__xludf.DUMMYFUNCTION("""COMPUTED_VALUE"""),"jfr")</f>
        <v>jfr</v>
      </c>
      <c r="E88" s="5" t="str">
        <f ca="1">IF(C88, COUNTIF(Extraction!A:A, A88), "-")</f>
        <v>-</v>
      </c>
      <c r="F88" s="7" t="b">
        <f ca="1">IFERROR(__xludf.DUMMYFUNCTION("(COUNTIF(IMPORTRANGE(""https://docs.google.com/spreadsheets/d/1XUJGjtfB9SoW1rbohdkE9Z52MKac6AJzLHIsCSLTjGo/edit#gid=0"", ""Overlap!A2:A15""), A88)&gt;0)"),FALSE)</f>
        <v>0</v>
      </c>
      <c r="G88" s="5" t="str">
        <f t="shared" ca="1" si="0"/>
        <v xml:space="preserve"> </v>
      </c>
      <c r="H88" s="8" t="str">
        <f ca="1">IF(AND(C88,F88), COUNTIF(Overlap!A:A, A88), "-")</f>
        <v>-</v>
      </c>
      <c r="I88" s="6"/>
    </row>
    <row r="89" spans="1:9" x14ac:dyDescent="0.25">
      <c r="A89" s="5">
        <v>88</v>
      </c>
      <c r="B89" s="6" t="str">
        <f ca="1">IFERROR(__xludf.DUMMYFUNCTION("""COMPUTED_VALUE"""),"Gaspar-Figueiredo, D., Fernández-Diego, M., Abrahao, S., &amp; Insfran, E. (2023). A Comparative Study on Reward Models for UI Adaptation with Reinforcement Learning. methods, 13, 14.")</f>
        <v>Gaspar-Figueiredo, D., Fernández-Diego, M., Abrahao, S., &amp; Insfran, E. (2023). A Comparative Study on Reward Models for UI Adaptation with Reinforcement Learning. methods, 13, 14.</v>
      </c>
      <c r="C89" s="7" t="b">
        <f ca="1">IFERROR(__xludf.DUMMYFUNCTION("""COMPUTED_VALUE"""),FALSE)</f>
        <v>0</v>
      </c>
      <c r="D89" s="5" t="str">
        <f ca="1">IFERROR(__xludf.DUMMYFUNCTION("""COMPUTED_VALUE"""),"jfr")</f>
        <v>jfr</v>
      </c>
      <c r="E89" s="5" t="str">
        <f ca="1">IF(C89, COUNTIF(Extraction!A:A, A89), "-")</f>
        <v>-</v>
      </c>
      <c r="F89" s="7" t="b">
        <f ca="1">IFERROR(__xludf.DUMMYFUNCTION("(COUNTIF(IMPORTRANGE(""https://docs.google.com/spreadsheets/d/1XUJGjtfB9SoW1rbohdkE9Z52MKac6AJzLHIsCSLTjGo/edit#gid=0"", ""Overlap!A2:A15""), A89)&gt;0)"),TRUE)</f>
        <v>1</v>
      </c>
      <c r="G89" s="5" t="str">
        <f t="shared" ca="1" si="0"/>
        <v xml:space="preserve"> </v>
      </c>
      <c r="H89" s="8" t="str">
        <f ca="1">IF(AND(C89,F89), COUNTIF(Overlap!A:A, A89), "-")</f>
        <v>-</v>
      </c>
      <c r="I89" s="6"/>
    </row>
    <row r="90" spans="1:9" x14ac:dyDescent="0.25">
      <c r="A90" s="5">
        <v>89</v>
      </c>
      <c r="B90" s="6" t="str">
        <f ca="1">IFERROR(__xludf.DUMMYFUNCTION("""COMPUTED_VALUE"""),"Albuquerque, D., Guimarães, E., Braga, A., Perkusich, M., Almeida, H., &amp; Perkusich, A. (2022, September). Empirical Assessment on Interactive Detection of Code Smells. In 2022 International Conference on Software, Telecommunications and Computer Networks "&amp;"(SoftCOM) (pp. 1-6). IEEE.")</f>
        <v>Albuquerque, D., Guimarães, E., Braga, A., Perkusich, M., Almeida, H., &amp; Perkusich, A. (2022, September). Empirical Assessment on Interactive Detection of Code Smells. In 2022 International Conference on Software, Telecommunications and Computer Networks (SoftCOM) (pp. 1-6). IEEE.</v>
      </c>
      <c r="C90" s="7" t="b">
        <f ca="1">IFERROR(__xludf.DUMMYFUNCTION("""COMPUTED_VALUE"""),TRUE)</f>
        <v>1</v>
      </c>
      <c r="D90" s="5" t="str">
        <f ca="1">IFERROR(__xludf.DUMMYFUNCTION("""COMPUTED_VALUE"""),"dfu")</f>
        <v>dfu</v>
      </c>
      <c r="E90" s="5">
        <f ca="1">IF(C90, COUNTIF(Extraction!A:A, A90), "-")</f>
        <v>0</v>
      </c>
      <c r="F90" s="7" t="b">
        <f ca="1">IFERROR(__xludf.DUMMYFUNCTION("(COUNTIF(IMPORTRANGE(""https://docs.google.com/spreadsheets/d/1XUJGjtfB9SoW1rbohdkE9Z52MKac6AJzLHIsCSLTjGo/edit#gid=0"", ""Overlap!A2:A15""), A90)&gt;0)"),FALSE)</f>
        <v>0</v>
      </c>
      <c r="G90" s="5" t="str">
        <f t="shared" ca="1" si="0"/>
        <v xml:space="preserve"> </v>
      </c>
      <c r="H90" s="8" t="str">
        <f ca="1">IF(AND(C90,F90), COUNTIF(Overlap!A:A, A90), "-")</f>
        <v>-</v>
      </c>
      <c r="I90" s="6"/>
    </row>
    <row r="91" spans="1:9" x14ac:dyDescent="0.25">
      <c r="A91" s="5">
        <v>90</v>
      </c>
      <c r="B91" s="6" t="str">
        <f ca="1">IFERROR(__xludf.DUMMYFUNCTION("""COMPUTED_VALUE"""),"Kitchenham, B., Madeyski, L., Scanniello, G., &amp; Gravino, C. (2021). The Importance of the Correlation in Crossover Experiments. IEEE Transactions on Software Engineering, 48(8), 2802-2813.")</f>
        <v>Kitchenham, B., Madeyski, L., Scanniello, G., &amp; Gravino, C. (2021). The Importance of the Correlation in Crossover Experiments. IEEE Transactions on Software Engineering, 48(8), 2802-2813.</v>
      </c>
      <c r="C91" s="7" t="b">
        <f ca="1">IFERROR(__xludf.DUMMYFUNCTION("""COMPUTED_VALUE"""),FALSE)</f>
        <v>0</v>
      </c>
      <c r="D91" s="5" t="str">
        <f ca="1">IFERROR(__xludf.DUMMYFUNCTION("""COMPUTED_VALUE"""),"jfr")</f>
        <v>jfr</v>
      </c>
      <c r="E91" s="5" t="str">
        <f ca="1">IF(C91, COUNTIF(Extraction!A:A, A91), "-")</f>
        <v>-</v>
      </c>
      <c r="F91" s="7" t="b">
        <f ca="1">IFERROR(__xludf.DUMMYFUNCTION("(COUNTIF(IMPORTRANGE(""https://docs.google.com/spreadsheets/d/1XUJGjtfB9SoW1rbohdkE9Z52MKac6AJzLHIsCSLTjGo/edit#gid=0"", ""Overlap!A2:A15""), A91)&gt;0)"),FALSE)</f>
        <v>0</v>
      </c>
      <c r="G91" s="5" t="str">
        <f t="shared" ca="1" si="0"/>
        <v xml:space="preserve"> </v>
      </c>
      <c r="H91" s="8" t="str">
        <f ca="1">IF(AND(C91,F91), COUNTIF(Overlap!A:A, A91), "-")</f>
        <v>-</v>
      </c>
      <c r="I91" s="6"/>
    </row>
    <row r="92" spans="1:9" x14ac:dyDescent="0.25">
      <c r="A92" s="5">
        <v>91</v>
      </c>
      <c r="B92" s="6" t="str">
        <f ca="1">IFERROR(__xludf.DUMMYFUNCTION("""COMPUTED_VALUE"""),"Herbold, V. (2019). Mining developer dynamics for agent-based simulation of software evolution (Doctoral dissertation, Niedersächsische Staats-und Universitätsbibliothek Göttingen).")</f>
        <v>Herbold, V. (2019). Mining developer dynamics for agent-based simulation of software evolution (Doctoral dissertation, Niedersächsische Staats-und Universitätsbibliothek Göttingen).</v>
      </c>
      <c r="C92" s="7" t="b">
        <f ca="1">IFERROR(__xludf.DUMMYFUNCTION("""COMPUTED_VALUE"""),FALSE)</f>
        <v>0</v>
      </c>
      <c r="D92" s="5" t="str">
        <f ca="1">IFERROR(__xludf.DUMMYFUNCTION("""COMPUTED_VALUE"""),"jfr")</f>
        <v>jfr</v>
      </c>
      <c r="E92" s="5" t="str">
        <f ca="1">IF(C92, COUNTIF(Extraction!A:A, A92), "-")</f>
        <v>-</v>
      </c>
      <c r="F92" s="7" t="b">
        <f ca="1">IFERROR(__xludf.DUMMYFUNCTION("(COUNTIF(IMPORTRANGE(""https://docs.google.com/spreadsheets/d/1XUJGjtfB9SoW1rbohdkE9Z52MKac6AJzLHIsCSLTjGo/edit#gid=0"", ""Overlap!A2:A15""), A92)&gt;0)"),FALSE)</f>
        <v>0</v>
      </c>
      <c r="G92" s="5" t="str">
        <f t="shared" ca="1" si="0"/>
        <v xml:space="preserve"> </v>
      </c>
      <c r="H92" s="8" t="str">
        <f ca="1">IF(AND(C92,F92), COUNTIF(Overlap!A:A, A92), "-")</f>
        <v>-</v>
      </c>
      <c r="I92" s="6"/>
    </row>
    <row r="93" spans="1:9" x14ac:dyDescent="0.25">
      <c r="A93" s="5">
        <v>92</v>
      </c>
      <c r="B93" s="6" t="str">
        <f ca="1">IFERROR(__xludf.DUMMYFUNCTION("""COMPUTED_VALUE"""),"Bünder, H., &amp; Kuchen, H. (2019). Towards behavior-driven graphical user interface testing. ACM SIGAPP Applied Computing Review, 19(2), 5-17.")</f>
        <v>Bünder, H., &amp; Kuchen, H. (2019). Towards behavior-driven graphical user interface testing. ACM SIGAPP Applied Computing Review, 19(2), 5-17.</v>
      </c>
      <c r="C93" s="7" t="b">
        <f ca="1">IFERROR(__xludf.DUMMYFUNCTION("""COMPUTED_VALUE"""),TRUE)</f>
        <v>1</v>
      </c>
      <c r="D93" s="5" t="str">
        <f ca="1">IFERROR(__xludf.DUMMYFUNCTION("""COMPUTED_VALUE"""),"jfr")</f>
        <v>jfr</v>
      </c>
      <c r="E93" s="5">
        <f ca="1">IF(C93, COUNTIF(Extraction!A:A, A93), "-")</f>
        <v>0</v>
      </c>
      <c r="F93" s="7" t="b">
        <f ca="1">IFERROR(__xludf.DUMMYFUNCTION("(COUNTIF(IMPORTRANGE(""https://docs.google.com/spreadsheets/d/1XUJGjtfB9SoW1rbohdkE9Z52MKac6AJzLHIsCSLTjGo/edit#gid=0"", ""Overlap!A2:A15""), A93)&gt;0)"),FALSE)</f>
        <v>0</v>
      </c>
      <c r="G93" s="5" t="str">
        <f t="shared" ca="1" si="0"/>
        <v xml:space="preserve"> </v>
      </c>
      <c r="H93" s="8" t="str">
        <f ca="1">IF(AND(C93,F93), COUNTIF(Overlap!A:A, A93), "-")</f>
        <v>-</v>
      </c>
      <c r="I93" s="6"/>
    </row>
    <row r="94" spans="1:9" x14ac:dyDescent="0.25">
      <c r="A94" s="5">
        <v>93</v>
      </c>
      <c r="B94" s="6" t="str">
        <f ca="1">IFERROR(__xludf.DUMMYFUNCTION("""COMPUTED_VALUE"""),"Farooq, S. U. (2019). Gap between academia and industry: a case of empirical evaluation of three software testing methods. International Journal of System Assurance Engineering and Management, 10(6), 1487-1504.")</f>
        <v>Farooq, S. U. (2019). Gap between academia and industry: a case of empirical evaluation of three software testing methods. International Journal of System Assurance Engineering and Management, 10(6), 1487-1504.</v>
      </c>
      <c r="C94" s="7" t="b">
        <f ca="1">IFERROR(__xludf.DUMMYFUNCTION("""COMPUTED_VALUE"""),FALSE)</f>
        <v>0</v>
      </c>
      <c r="D94" s="5" t="str">
        <f ca="1">IFERROR(__xludf.DUMMYFUNCTION("""COMPUTED_VALUE"""),"jfr")</f>
        <v>jfr</v>
      </c>
      <c r="E94" s="5" t="str">
        <f ca="1">IF(C94, COUNTIF(Extraction!A:A, A94), "-")</f>
        <v>-</v>
      </c>
      <c r="F94" s="7" t="b">
        <f ca="1">IFERROR(__xludf.DUMMYFUNCTION("(COUNTIF(IMPORTRANGE(""https://docs.google.com/spreadsheets/d/1XUJGjtfB9SoW1rbohdkE9Z52MKac6AJzLHIsCSLTjGo/edit#gid=0"", ""Overlap!A2:A15""), A94)&gt;0)"),FALSE)</f>
        <v>0</v>
      </c>
      <c r="G94" s="5" t="str">
        <f t="shared" ca="1" si="0"/>
        <v xml:space="preserve"> </v>
      </c>
      <c r="H94" s="8" t="str">
        <f ca="1">IF(AND(C94,F94), COUNTIF(Overlap!A:A, A94), "-")</f>
        <v>-</v>
      </c>
      <c r="I94" s="6"/>
    </row>
    <row r="95" spans="1:9" x14ac:dyDescent="0.25">
      <c r="A95" s="5">
        <v>94</v>
      </c>
      <c r="B95" s="6" t="str">
        <f ca="1">IFERROR(__xludf.DUMMYFUNCTION("""COMPUTED_VALUE"""),"Quesada-López, C., Madrigal-Sánchez, D., &amp; Jenkins, M. (2020). An empirical analysis of ifpug fpa and cosmic ffp measurement methods. In Information Technology and Systems: Proceedings of ICITS 2020 (pp. 265-274). Springer International Publishing.")</f>
        <v>Quesada-López, C., Madrigal-Sánchez, D., &amp; Jenkins, M. (2020). An empirical analysis of ifpug fpa and cosmic ffp measurement methods. In Information Technology and Systems: Proceedings of ICITS 2020 (pp. 265-274). Springer International Publishing.</v>
      </c>
      <c r="C95" s="7" t="b">
        <f ca="1">IFERROR(__xludf.DUMMYFUNCTION("""COMPUTED_VALUE"""),FALSE)</f>
        <v>0</v>
      </c>
      <c r="D95" s="5" t="str">
        <f ca="1">IFERROR(__xludf.DUMMYFUNCTION("""COMPUTED_VALUE"""),"jfr")</f>
        <v>jfr</v>
      </c>
      <c r="E95" s="5" t="str">
        <f ca="1">IF(C95, COUNTIF(Extraction!A:A, A95), "-")</f>
        <v>-</v>
      </c>
      <c r="F95" s="7" t="b">
        <f ca="1">IFERROR(__xludf.DUMMYFUNCTION("(COUNTIF(IMPORTRANGE(""https://docs.google.com/spreadsheets/d/1XUJGjtfB9SoW1rbohdkE9Z52MKac6AJzLHIsCSLTjGo/edit#gid=0"", ""Overlap!A2:A15""), A95)&gt;0)"),FALSE)</f>
        <v>0</v>
      </c>
      <c r="G95" s="5" t="str">
        <f t="shared" ca="1" si="0"/>
        <v xml:space="preserve"> </v>
      </c>
      <c r="H95" s="8" t="str">
        <f ca="1">IF(AND(C95,F95), COUNTIF(Overlap!A:A, A95), "-")</f>
        <v>-</v>
      </c>
      <c r="I95" s="6"/>
    </row>
    <row r="96" spans="1:9" x14ac:dyDescent="0.25">
      <c r="A96" s="5">
        <v>95</v>
      </c>
      <c r="B96" s="6" t="str">
        <f ca="1">IFERROR(__xludf.DUMMYFUNCTION("""COMPUTED_VALUE"""),"Santana, R., Martins, L., Virgínio, T., Soares, L., Costa, H., &amp; Machado, I. (2022). Refactoring Assertion Roulette and Duplicate Assert test smells: a controlled experiment. arXiv preprint arXiv:2207.05539.")</f>
        <v>Santana, R., Martins, L., Virgínio, T., Soares, L., Costa, H., &amp; Machado, I. (2022). Refactoring Assertion Roulette and Duplicate Assert test smells: a controlled experiment. arXiv preprint arXiv:2207.05539.</v>
      </c>
      <c r="C96" s="7" t="b">
        <f ca="1">IFERROR(__xludf.DUMMYFUNCTION("""COMPUTED_VALUE"""),TRUE)</f>
        <v>1</v>
      </c>
      <c r="D96" s="5" t="str">
        <f ca="1">IFERROR(__xludf.DUMMYFUNCTION("""COMPUTED_VALUE"""),"dfu")</f>
        <v>dfu</v>
      </c>
      <c r="E96" s="5">
        <f ca="1">IF(C96, COUNTIF(Extraction!A:A, A96), "-")</f>
        <v>0</v>
      </c>
      <c r="F96" s="7" t="b">
        <f ca="1">IFERROR(__xludf.DUMMYFUNCTION("(COUNTIF(IMPORTRANGE(""https://docs.google.com/spreadsheets/d/1XUJGjtfB9SoW1rbohdkE9Z52MKac6AJzLHIsCSLTjGo/edit#gid=0"", ""Overlap!A2:A15""), A96)&gt;0)"),FALSE)</f>
        <v>0</v>
      </c>
      <c r="G96" s="5" t="str">
        <f t="shared" ca="1" si="0"/>
        <v xml:space="preserve"> </v>
      </c>
      <c r="H96" s="8" t="str">
        <f ca="1">IF(AND(C96,F96), COUNTIF(Overlap!A:A, A96), "-")</f>
        <v>-</v>
      </c>
      <c r="I96" s="6"/>
    </row>
    <row r="97" spans="1:9" x14ac:dyDescent="0.25">
      <c r="A97" s="5">
        <v>96</v>
      </c>
      <c r="B97" s="6" t="str">
        <f ca="1">IFERROR(__xludf.DUMMYFUNCTION("""COMPUTED_VALUE"""),"De La Vara, J. L., Marín, B., Ayora, C., &amp; Giachetti, G. (2017). An experimental evaluation of the understanding of safety compliance needs with models. In Conceptual Modeling: 36th International Conference, ER 2017, Valencia, Spain, November 6–9, 2017, P"&amp;"roceedings 36 (pp. 239-247). Springer International Publishing.")</f>
        <v>De La Vara, J. L., Marín, B., Ayora, C., &amp; Giachetti, G. (2017). An experimental evaluation of the understanding of safety compliance needs with models. In Conceptual Modeling: 36th International Conference, ER 2017, Valencia, Spain, November 6–9, 2017, Proceedings 36 (pp. 239-247). Springer International Publishing.</v>
      </c>
      <c r="C97" s="7" t="b">
        <f ca="1">IFERROR(__xludf.DUMMYFUNCTION("""COMPUTED_VALUE"""),TRUE)</f>
        <v>1</v>
      </c>
      <c r="D97" s="5" t="str">
        <f ca="1">IFERROR(__xludf.DUMMYFUNCTION("""COMPUTED_VALUE"""),"jfr")</f>
        <v>jfr</v>
      </c>
      <c r="E97" s="5">
        <f ca="1">IF(C97, COUNTIF(Extraction!A:A, A97), "-")</f>
        <v>0</v>
      </c>
      <c r="F97" s="7" t="b">
        <f ca="1">IFERROR(__xludf.DUMMYFUNCTION("(COUNTIF(IMPORTRANGE(""https://docs.google.com/spreadsheets/d/1XUJGjtfB9SoW1rbohdkE9Z52MKac6AJzLHIsCSLTjGo/edit#gid=0"", ""Overlap!A2:A15""), A97)&gt;0)"),FALSE)</f>
        <v>0</v>
      </c>
      <c r="G97" s="5" t="str">
        <f t="shared" ca="1" si="0"/>
        <v xml:space="preserve"> </v>
      </c>
      <c r="H97" s="8" t="str">
        <f ca="1">IF(AND(C97,F97), COUNTIF(Overlap!A:A, A97), "-")</f>
        <v>-</v>
      </c>
      <c r="I97" s="6"/>
    </row>
    <row r="98" spans="1:9" x14ac:dyDescent="0.25">
      <c r="A98" s="5">
        <v>97</v>
      </c>
      <c r="B98" s="6" t="str">
        <f ca="1">IFERROR(__xludf.DUMMYFUNCTION("""COMPUTED_VALUE"""),"Oliveira, J., Macedo, H., Cacho, N., &amp; Romanovsky, A. (2018, October). Droideh: An exception handling mechanism for android applications. In 2018 IEEE 29th International Symposium on Software Reliability Engineering (ISSRE) (pp. 200-211). IEEE.")</f>
        <v>Oliveira, J., Macedo, H., Cacho, N., &amp; Romanovsky, A. (2018, October). Droideh: An exception handling mechanism for android applications. In 2018 IEEE 29th International Symposium on Software Reliability Engineering (ISSRE) (pp. 200-211). IEEE.</v>
      </c>
      <c r="C98" s="7" t="b">
        <f ca="1">IFERROR(__xludf.DUMMYFUNCTION("""COMPUTED_VALUE"""),TRUE)</f>
        <v>1</v>
      </c>
      <c r="D98" s="5" t="str">
        <f ca="1">IFERROR(__xludf.DUMMYFUNCTION("""COMPUTED_VALUE"""),"jfr")</f>
        <v>jfr</v>
      </c>
      <c r="E98" s="5">
        <f ca="1">IF(C98, COUNTIF(Extraction!A:A, A98), "-")</f>
        <v>0</v>
      </c>
      <c r="F98" s="7" t="b">
        <f ca="1">IFERROR(__xludf.DUMMYFUNCTION("(COUNTIF(IMPORTRANGE(""https://docs.google.com/spreadsheets/d/1XUJGjtfB9SoW1rbohdkE9Z52MKac6AJzLHIsCSLTjGo/edit#gid=0"", ""Overlap!A2:A15""), A98)&gt;0)"),FALSE)</f>
        <v>0</v>
      </c>
      <c r="G98" s="5" t="str">
        <f t="shared" ca="1" si="0"/>
        <v xml:space="preserve"> </v>
      </c>
      <c r="H98" s="8" t="str">
        <f ca="1">IF(AND(C98,F98), COUNTIF(Overlap!A:A, A98), "-")</f>
        <v>-</v>
      </c>
      <c r="I98" s="6"/>
    </row>
    <row r="99" spans="1:9" x14ac:dyDescent="0.25">
      <c r="A99" s="5">
        <v>98</v>
      </c>
      <c r="B99" s="6" t="str">
        <f ca="1">IFERROR(__xludf.DUMMYFUNCTION("""COMPUTED_VALUE"""),"Sivasothy, S. (2021, November). DSInfoSearch: supporting experimentation process of data scientists. In 2021 36th IEEE/ACM International Conference on Automated Software Engineering (ASE) (pp. 1033-1037). IEEE.")</f>
        <v>Sivasothy, S. (2021, November). DSInfoSearch: supporting experimentation process of data scientists. In 2021 36th IEEE/ACM International Conference on Automated Software Engineering (ASE) (pp. 1033-1037). IEEE.</v>
      </c>
      <c r="C99" s="7" t="b">
        <f ca="1">IFERROR(__xludf.DUMMYFUNCTION("""COMPUTED_VALUE"""),FALSE)</f>
        <v>0</v>
      </c>
      <c r="D99" s="5" t="str">
        <f ca="1">IFERROR(__xludf.DUMMYFUNCTION("""COMPUTED_VALUE"""),"jfr")</f>
        <v>jfr</v>
      </c>
      <c r="E99" s="5" t="str">
        <f ca="1">IF(C99, COUNTIF(Extraction!A:A, A99), "-")</f>
        <v>-</v>
      </c>
      <c r="F99" s="7" t="b">
        <f ca="1">IFERROR(__xludf.DUMMYFUNCTION("(COUNTIF(IMPORTRANGE(""https://docs.google.com/spreadsheets/d/1XUJGjtfB9SoW1rbohdkE9Z52MKac6AJzLHIsCSLTjGo/edit#gid=0"", ""Overlap!A2:A15""), A99)&gt;0)"),FALSE)</f>
        <v>0</v>
      </c>
      <c r="G99" s="5" t="str">
        <f t="shared" ca="1" si="0"/>
        <v xml:space="preserve"> </v>
      </c>
      <c r="H99" s="8" t="str">
        <f ca="1">IF(AND(C99,F99), COUNTIF(Overlap!A:A, A99), "-")</f>
        <v>-</v>
      </c>
      <c r="I99" s="6"/>
    </row>
    <row r="100" spans="1:9" x14ac:dyDescent="0.25">
      <c r="A100" s="5">
        <v>99</v>
      </c>
      <c r="B100" s="6" t="str">
        <f ca="1">IFERROR(__xludf.DUMMYFUNCTION("""COMPUTED_VALUE"""),"Kang, H. J., Wang, K., &amp; Kim, M. (2024, April). Scaling Code Pattern Inference with Interactive What-If Analysis. In Proceedings of the IEEE/ACM 46th International Conference on Software Engineering (pp. 1-12).")</f>
        <v>Kang, H. J., Wang, K., &amp; Kim, M. (2024, April). Scaling Code Pattern Inference with Interactive What-If Analysis. In Proceedings of the IEEE/ACM 46th International Conference on Software Engineering (pp. 1-12).</v>
      </c>
      <c r="C100" s="7" t="b">
        <f ca="1">IFERROR(__xludf.DUMMYFUNCTION("""COMPUTED_VALUE"""),TRUE)</f>
        <v>1</v>
      </c>
      <c r="D100" s="5" t="str">
        <f ca="1">IFERROR(__xludf.DUMMYFUNCTION("""COMPUTED_VALUE"""),"jfr")</f>
        <v>jfr</v>
      </c>
      <c r="E100" s="5">
        <f ca="1">IF(C100, COUNTIF(Extraction!A:A, A100), "-")</f>
        <v>0</v>
      </c>
      <c r="F100" s="7" t="b">
        <f ca="1">IFERROR(__xludf.DUMMYFUNCTION("(COUNTIF(IMPORTRANGE(""https://docs.google.com/spreadsheets/d/1XUJGjtfB9SoW1rbohdkE9Z52MKac6AJzLHIsCSLTjGo/edit#gid=0"", ""Overlap!A2:A15""), A100)&gt;0)"),FALSE)</f>
        <v>0</v>
      </c>
      <c r="G100" s="5" t="str">
        <f t="shared" ca="1" si="0"/>
        <v xml:space="preserve"> </v>
      </c>
      <c r="H100" s="8" t="str">
        <f ca="1">IF(AND(C100,F100), COUNTIF(Overlap!A:A, A100), "-")</f>
        <v>-</v>
      </c>
      <c r="I100" s="6"/>
    </row>
    <row r="101" spans="1:9" x14ac:dyDescent="0.25">
      <c r="A101" s="5">
        <v>100</v>
      </c>
      <c r="B101" s="6" t="str">
        <f ca="1">IFERROR(__xludf.DUMMYFUNCTION("""COMPUTED_VALUE"""),"Caulo, M., Francese, R., Scanniello, G., &amp; Spera, A. (2019). Does the migration of cross-platform apps towards the android platform matter? An approach and a user study. In Product-Focused Software Process Improvement: 20th International Conference, PROFE"&amp;"S 2019, Barcelona, Spain, November 27–29, 2019, Proceedings 20 (pp. 120-136). Springer International Publishing.")</f>
        <v>Caulo, M., Francese, R., Scanniello, G., &amp; Spera, A. (2019). Does the migration of cross-platform apps towards the android platform matter? An approach and a user study. In Product-Focused Software Process Improvement: 20th International Conference, PROFES 2019, Barcelona, Spain, November 27–29, 2019, Proceedings 20 (pp. 120-136). Springer International Publishing.</v>
      </c>
      <c r="C101" s="7" t="b">
        <f ca="1">IFERROR(__xludf.DUMMYFUNCTION("""COMPUTED_VALUE"""),TRUE)</f>
        <v>1</v>
      </c>
      <c r="D101" s="5" t="str">
        <f ca="1">IFERROR(__xludf.DUMMYFUNCTION("""COMPUTED_VALUE"""),"jfr")</f>
        <v>jfr</v>
      </c>
      <c r="E101" s="5">
        <f ca="1">IF(C101, COUNTIF(Extraction!A:A, A101), "-")</f>
        <v>0</v>
      </c>
      <c r="F101" s="7" t="b">
        <f ca="1">IFERROR(__xludf.DUMMYFUNCTION("(COUNTIF(IMPORTRANGE(""https://docs.google.com/spreadsheets/d/1XUJGjtfB9SoW1rbohdkE9Z52MKac6AJzLHIsCSLTjGo/edit#gid=0"", ""Overlap!A2:A15""), A101)&gt;0)"),FALSE)</f>
        <v>0</v>
      </c>
      <c r="G101" s="5" t="str">
        <f t="shared" ca="1" si="0"/>
        <v xml:space="preserve"> </v>
      </c>
      <c r="H101" s="8" t="str">
        <f ca="1">IF(AND(C101,F101), COUNTIF(Overlap!A:A, A101), "-")</f>
        <v>-</v>
      </c>
      <c r="I101" s="6"/>
    </row>
    <row r="102" spans="1:9" x14ac:dyDescent="0.25">
      <c r="A102" s="5">
        <v>101</v>
      </c>
      <c r="B102" s="6" t="str">
        <f ca="1">IFERROR(__xludf.DUMMYFUNCTION("""COMPUTED_VALUE"""),"Dieste, O., &amp; Juristo, N. (2021). A City upon a Hill: Casting Light on a Real Experimental Process. arXiv preprint arXiv:2108.12800.")</f>
        <v>Dieste, O., &amp; Juristo, N. (2021). A City upon a Hill: Casting Light on a Real Experimental Process. arXiv preprint arXiv:2108.12800.</v>
      </c>
      <c r="C102" s="7" t="b">
        <f ca="1">IFERROR(__xludf.DUMMYFUNCTION("""COMPUTED_VALUE"""),FALSE)</f>
        <v>0</v>
      </c>
      <c r="D102" s="5" t="str">
        <f ca="1">IFERROR(__xludf.DUMMYFUNCTION("""COMPUTED_VALUE"""),"jfr")</f>
        <v>jfr</v>
      </c>
      <c r="E102" s="5" t="str">
        <f ca="1">IF(C102, COUNTIF(Extraction!A:A, A102), "-")</f>
        <v>-</v>
      </c>
      <c r="F102" s="7" t="b">
        <f ca="1">IFERROR(__xludf.DUMMYFUNCTION("(COUNTIF(IMPORTRANGE(""https://docs.google.com/spreadsheets/d/1XUJGjtfB9SoW1rbohdkE9Z52MKac6AJzLHIsCSLTjGo/edit#gid=0"", ""Overlap!A2:A15""), A102)&gt;0)"),FALSE)</f>
        <v>0</v>
      </c>
      <c r="G102" s="5" t="str">
        <f t="shared" ca="1" si="0"/>
        <v xml:space="preserve"> </v>
      </c>
      <c r="H102" s="8" t="str">
        <f ca="1">IF(AND(C102,F102), COUNTIF(Overlap!A:A, A102), "-")</f>
        <v>-</v>
      </c>
      <c r="I102" s="6"/>
    </row>
    <row r="103" spans="1:9" x14ac:dyDescent="0.25">
      <c r="A103" s="5">
        <v>102</v>
      </c>
      <c r="B103" s="6" t="str">
        <f ca="1">IFERROR(__xludf.DUMMYFUNCTION("""COMPUTED_VALUE"""),"Romano, S., Scanniello, G., Fucci, D., Juristo, N., &amp; Turhan, B. (2018, May). The effect of noise on requirements comprehension. In Proceedings of the 40th International Conference on Software Engineering: Companion Proceeedings (pp. 308-309).")</f>
        <v>Romano, S., Scanniello, G., Fucci, D., Juristo, N., &amp; Turhan, B. (2018, May). The effect of noise on requirements comprehension. In Proceedings of the 40th International Conference on Software Engineering: Companion Proceeedings (pp. 308-309).</v>
      </c>
      <c r="C103" s="7" t="b">
        <f ca="1">IFERROR(__xludf.DUMMYFUNCTION("""COMPUTED_VALUE"""),FALSE)</f>
        <v>0</v>
      </c>
      <c r="D103" s="5" t="str">
        <f ca="1">IFERROR(__xludf.DUMMYFUNCTION("""COMPUTED_VALUE"""),"dfu")</f>
        <v>dfu</v>
      </c>
      <c r="E103" s="5" t="str">
        <f ca="1">IF(C103, COUNTIF(Extraction!A:A, A103), "-")</f>
        <v>-</v>
      </c>
      <c r="F103" s="7" t="b">
        <f ca="1">IFERROR(__xludf.DUMMYFUNCTION("(COUNTIF(IMPORTRANGE(""https://docs.google.com/spreadsheets/d/1XUJGjtfB9SoW1rbohdkE9Z52MKac6AJzLHIsCSLTjGo/edit#gid=0"", ""Overlap!A2:A15""), A103)&gt;0)"),FALSE)</f>
        <v>0</v>
      </c>
      <c r="G103" s="5" t="str">
        <f t="shared" ca="1" si="0"/>
        <v xml:space="preserve"> </v>
      </c>
      <c r="H103" s="8" t="str">
        <f ca="1">IF(AND(C103,F103), COUNTIF(Overlap!A:A, A103), "-")</f>
        <v>-</v>
      </c>
      <c r="I103" s="6"/>
    </row>
    <row r="104" spans="1:9" x14ac:dyDescent="0.25">
      <c r="A104" s="5">
        <v>103</v>
      </c>
      <c r="B104" s="6" t="str">
        <f ca="1">IFERROR(__xludf.DUMMYFUNCTION("""COMPUTED_VALUE"""),"Sotelo-Figueroa, M. A., del Rosario Baltazar-Flores, M., Carpio, J. M., &amp; Zamudio, V. (2010, November). A comparation between Bee Swarm Optimization and Greedy Algorithm for the Knapsack Problem with bee reallocation. In 2010 Ninth Mexican International C"&amp;"onference on Artificial Intelligence (pp. 22-27). IEEE.")</f>
        <v>Sotelo-Figueroa, M. A., del Rosario Baltazar-Flores, M., Carpio, J. M., &amp; Zamudio, V. (2010, November). A comparation between Bee Swarm Optimization and Greedy Algorithm for the Knapsack Problem with bee reallocation. In 2010 Ninth Mexican International Conference on Artificial Intelligence (pp. 22-27). IEEE.</v>
      </c>
      <c r="C104" s="7" t="b">
        <f ca="1">IFERROR(__xludf.DUMMYFUNCTION("""COMPUTED_VALUE"""),FALSE)</f>
        <v>0</v>
      </c>
      <c r="D104" s="5" t="str">
        <f ca="1">IFERROR(__xludf.DUMMYFUNCTION("""COMPUTED_VALUE"""),"jfr")</f>
        <v>jfr</v>
      </c>
      <c r="E104" s="5" t="str">
        <f ca="1">IF(C104, COUNTIF(Extraction!A:A, A104), "-")</f>
        <v>-</v>
      </c>
      <c r="F104" s="7" t="b">
        <f ca="1">IFERROR(__xludf.DUMMYFUNCTION("(COUNTIF(IMPORTRANGE(""https://docs.google.com/spreadsheets/d/1XUJGjtfB9SoW1rbohdkE9Z52MKac6AJzLHIsCSLTjGo/edit#gid=0"", ""Overlap!A2:A15""), A104)&gt;0)"),FALSE)</f>
        <v>0</v>
      </c>
      <c r="G104" s="5" t="str">
        <f t="shared" ca="1" si="0"/>
        <v xml:space="preserve"> </v>
      </c>
      <c r="H104" s="8" t="str">
        <f ca="1">IF(AND(C104,F104), COUNTIF(Overlap!A:A, A104), "-")</f>
        <v>-</v>
      </c>
      <c r="I104" s="6"/>
    </row>
    <row r="105" spans="1:9" x14ac:dyDescent="0.25">
      <c r="A105" s="5">
        <v>104</v>
      </c>
      <c r="B105" s="6" t="str">
        <f ca="1">IFERROR(__xludf.DUMMYFUNCTION("""COMPUTED_VALUE"""),"Wójcik, P. (2023). Towards empirical evidence for the impact of microservice API patterns on software quality: a controlled experiment (Master's thesis).")</f>
        <v>Wójcik, P. (2023). Towards empirical evidence for the impact of microservice API patterns on software quality: a controlled experiment (Master's thesis).</v>
      </c>
      <c r="C105" s="7" t="b">
        <f ca="1">IFERROR(__xludf.DUMMYFUNCTION("""COMPUTED_VALUE"""),FALSE)</f>
        <v>0</v>
      </c>
      <c r="D105" s="5" t="str">
        <f ca="1">IFERROR(__xludf.DUMMYFUNCTION("""COMPUTED_VALUE"""),"jfr")</f>
        <v>jfr</v>
      </c>
      <c r="E105" s="5" t="str">
        <f ca="1">IF(C105, COUNTIF(Extraction!A:A, A105), "-")</f>
        <v>-</v>
      </c>
      <c r="F105" s="7" t="b">
        <f ca="1">IFERROR(__xludf.DUMMYFUNCTION("(COUNTIF(IMPORTRANGE(""https://docs.google.com/spreadsheets/d/1XUJGjtfB9SoW1rbohdkE9Z52MKac6AJzLHIsCSLTjGo/edit#gid=0"", ""Overlap!A2:A15""), A105)&gt;0)"),TRUE)</f>
        <v>1</v>
      </c>
      <c r="G105" s="5" t="str">
        <f t="shared" ca="1" si="0"/>
        <v xml:space="preserve"> </v>
      </c>
      <c r="H105" s="8" t="str">
        <f ca="1">IF(AND(C105,F105), COUNTIF(Overlap!A:A, A105), "-")</f>
        <v>-</v>
      </c>
      <c r="I105" s="6"/>
    </row>
    <row r="106" spans="1:9" x14ac:dyDescent="0.25">
      <c r="A106" s="5">
        <v>105</v>
      </c>
      <c r="B106" s="6" t="str">
        <f ca="1">IFERROR(__xludf.DUMMYFUNCTION("""COMPUTED_VALUE"""),"Gomes, E., Guerra, E., Lima, P., &amp; Meirelles, P. (2023). An Approach Based on Metadata to Implement Convention over Configuration Decoupled from Framework Logic.")</f>
        <v>Gomes, E., Guerra, E., Lima, P., &amp; Meirelles, P. (2023). An Approach Based on Metadata to Implement Convention over Configuration Decoupled from Framework Logic.</v>
      </c>
      <c r="C106" s="7" t="b">
        <f ca="1">IFERROR(__xludf.DUMMYFUNCTION("""COMPUTED_VALUE"""),FALSE)</f>
        <v>0</v>
      </c>
      <c r="D106" s="5" t="str">
        <f ca="1">IFERROR(__xludf.DUMMYFUNCTION("""COMPUTED_VALUE"""),"jfr")</f>
        <v>jfr</v>
      </c>
      <c r="E106" s="5" t="str">
        <f ca="1">IF(C106, COUNTIF(Extraction!A:A, A106), "-")</f>
        <v>-</v>
      </c>
      <c r="F106" s="7" t="b">
        <f ca="1">IFERROR(__xludf.DUMMYFUNCTION("(COUNTIF(IMPORTRANGE(""https://docs.google.com/spreadsheets/d/1XUJGjtfB9SoW1rbohdkE9Z52MKac6AJzLHIsCSLTjGo/edit#gid=0"", ""Overlap!A2:A15""), A106)&gt;0)"),FALSE)</f>
        <v>0</v>
      </c>
      <c r="G106" s="5" t="str">
        <f t="shared" ca="1" si="0"/>
        <v xml:space="preserve"> </v>
      </c>
      <c r="H106" s="8" t="str">
        <f ca="1">IF(AND(C106,F106), COUNTIF(Overlap!A:A, A106), "-")</f>
        <v>-</v>
      </c>
      <c r="I106" s="6"/>
    </row>
    <row r="107" spans="1:9" x14ac:dyDescent="0.25">
      <c r="A107" s="5">
        <v>106</v>
      </c>
      <c r="B107" s="6" t="str">
        <f ca="1">IFERROR(__xludf.DUMMYFUNCTION("""COMPUTED_VALUE"""),"Marchezan de Paula, L. A. (2023). Improving Consistency Maintenance for Collaborative Software Systems Engineering/eingereicht von Luciano Augusto Marchezan de Paula.")</f>
        <v>Marchezan de Paula, L. A. (2023). Improving Consistency Maintenance for Collaborative Software Systems Engineering/eingereicht von Luciano Augusto Marchezan de Paula.</v>
      </c>
      <c r="C107" s="7" t="b">
        <f ca="1">IFERROR(__xludf.DUMMYFUNCTION("""COMPUTED_VALUE"""),FALSE)</f>
        <v>0</v>
      </c>
      <c r="D107" s="5" t="str">
        <f ca="1">IFERROR(__xludf.DUMMYFUNCTION("""COMPUTED_VALUE"""),"jfr")</f>
        <v>jfr</v>
      </c>
      <c r="E107" s="5" t="str">
        <f ca="1">IF(C107, COUNTIF(Extraction!A:A, A107), "-")</f>
        <v>-</v>
      </c>
      <c r="F107" s="7" t="b">
        <f ca="1">IFERROR(__xludf.DUMMYFUNCTION("(COUNTIF(IMPORTRANGE(""https://docs.google.com/spreadsheets/d/1XUJGjtfB9SoW1rbohdkE9Z52MKac6AJzLHIsCSLTjGo/edit#gid=0"", ""Overlap!A2:A15""), A107)&gt;0)"),FALSE)</f>
        <v>0</v>
      </c>
      <c r="G107" s="5" t="str">
        <f t="shared" ca="1" si="0"/>
        <v xml:space="preserve"> </v>
      </c>
      <c r="H107" s="8" t="str">
        <f ca="1">IF(AND(C107,F107), COUNTIF(Overlap!A:A, A107), "-")</f>
        <v>-</v>
      </c>
      <c r="I107" s="6"/>
    </row>
    <row r="108" spans="1:9" x14ac:dyDescent="0.25">
      <c r="A108" s="5">
        <v>107</v>
      </c>
      <c r="B108" s="6" t="str">
        <f ca="1">IFERROR(__xludf.DUMMYFUNCTION("""COMPUTED_VALUE"""),"Ramač, R., Karac, I., Turhan, B., Juristo, N., &amp; Mandić, V. (2017). Lessons learned from a partial replication of an experiment in the context of a software engineering course. In International Scientific Conference on Industrial Systems 2017 (pp. 198-203"&amp;"). University of Novi Sad.")</f>
        <v>Ramač, R., Karac, I., Turhan, B., Juristo, N., &amp; Mandić, V. (2017). Lessons learned from a partial replication of an experiment in the context of a software engineering course. In International Scientific Conference on Industrial Systems 2017 (pp. 198-203). University of Novi Sad.</v>
      </c>
      <c r="C108" s="7" t="b">
        <f ca="1">IFERROR(__xludf.DUMMYFUNCTION("""COMPUTED_VALUE"""),TRUE)</f>
        <v>1</v>
      </c>
      <c r="D108" s="5" t="str">
        <f ca="1">IFERROR(__xludf.DUMMYFUNCTION("""COMPUTED_VALUE"""),"jfr")</f>
        <v>jfr</v>
      </c>
      <c r="E108" s="5">
        <f ca="1">IF(C108, COUNTIF(Extraction!A:A, A108), "-")</f>
        <v>0</v>
      </c>
      <c r="F108" s="7" t="b">
        <f ca="1">IFERROR(__xludf.DUMMYFUNCTION("(COUNTIF(IMPORTRANGE(""https://docs.google.com/spreadsheets/d/1XUJGjtfB9SoW1rbohdkE9Z52MKac6AJzLHIsCSLTjGo/edit#gid=0"", ""Overlap!A2:A15""), A108)&gt;0)"),FALSE)</f>
        <v>0</v>
      </c>
      <c r="G108" s="5" t="str">
        <f t="shared" ca="1" si="0"/>
        <v xml:space="preserve"> </v>
      </c>
      <c r="H108" s="8" t="str">
        <f ca="1">IF(AND(C108,F108), COUNTIF(Overlap!A:A, A108), "-")</f>
        <v>-</v>
      </c>
      <c r="I108" s="6"/>
    </row>
    <row r="109" spans="1:9" x14ac:dyDescent="0.25">
      <c r="A109" s="5">
        <v>108</v>
      </c>
      <c r="B109" s="6" t="str">
        <f ca="1">IFERROR(__xludf.DUMMYFUNCTION("""COMPUTED_VALUE"""),"Reyes, R. P., Dieste, O., &amp; Juristo, N. (2020, April). Publication bias: A detailed analysis of experiments published in ESEM. In Proceedings of the 24th International Conference on Evaluation and Assessment in Software Engineering (pp. 130-139).")</f>
        <v>Reyes, R. P., Dieste, O., &amp; Juristo, N. (2020, April). Publication bias: A detailed analysis of experiments published in ESEM. In Proceedings of the 24th International Conference on Evaluation and Assessment in Software Engineering (pp. 130-139).</v>
      </c>
      <c r="C109" s="7" t="b">
        <f ca="1">IFERROR(__xludf.DUMMYFUNCTION("""COMPUTED_VALUE"""),FALSE)</f>
        <v>0</v>
      </c>
      <c r="D109" s="5" t="str">
        <f ca="1">IFERROR(__xludf.DUMMYFUNCTION("""COMPUTED_VALUE"""),"jfr")</f>
        <v>jfr</v>
      </c>
      <c r="E109" s="5" t="str">
        <f ca="1">IF(C109, COUNTIF(Extraction!A:A, A109), "-")</f>
        <v>-</v>
      </c>
      <c r="F109" s="7" t="b">
        <f ca="1">IFERROR(__xludf.DUMMYFUNCTION("(COUNTIF(IMPORTRANGE(""https://docs.google.com/spreadsheets/d/1XUJGjtfB9SoW1rbohdkE9Z52MKac6AJzLHIsCSLTjGo/edit#gid=0"", ""Overlap!A2:A15""), A109)&gt;0)"),FALSE)</f>
        <v>0</v>
      </c>
      <c r="G109" s="5" t="str">
        <f t="shared" ca="1" si="0"/>
        <v xml:space="preserve"> </v>
      </c>
      <c r="H109" s="8" t="str">
        <f ca="1">IF(AND(C109,F109), COUNTIF(Overlap!A:A, A109), "-")</f>
        <v>-</v>
      </c>
      <c r="I109" s="6"/>
    </row>
    <row r="110" spans="1:9" x14ac:dyDescent="0.25">
      <c r="A110" s="5">
        <v>109</v>
      </c>
      <c r="B110" s="6" t="str">
        <f ca="1">IFERROR(__xludf.DUMMYFUNCTION("""COMPUTED_VALUE"""),"Iñiguez-Jarrín, C., Panach, J. I., &amp; López, O. P. (2020). Improvement of usability in user interfaces for massive data analysis: an empirical study. Multimedia Tools and Applications, 79, 12257-12288.")</f>
        <v>Iñiguez-Jarrín, C., Panach, J. I., &amp; López, O. P. (2020). Improvement of usability in user interfaces for massive data analysis: an empirical study. Multimedia Tools and Applications, 79, 12257-12288.</v>
      </c>
      <c r="C110" s="7" t="b">
        <f ca="1">IFERROR(__xludf.DUMMYFUNCTION("""COMPUTED_VALUE"""),TRUE)</f>
        <v>1</v>
      </c>
      <c r="D110" s="5" t="str">
        <f ca="1">IFERROR(__xludf.DUMMYFUNCTION("""COMPUTED_VALUE"""),"jfr")</f>
        <v>jfr</v>
      </c>
      <c r="E110" s="5">
        <f ca="1">IF(C110, COUNTIF(Extraction!A:A, A110), "-")</f>
        <v>0</v>
      </c>
      <c r="F110" s="7" t="b">
        <f ca="1">IFERROR(__xludf.DUMMYFUNCTION("(COUNTIF(IMPORTRANGE(""https://docs.google.com/spreadsheets/d/1XUJGjtfB9SoW1rbohdkE9Z52MKac6AJzLHIsCSLTjGo/edit#gid=0"", ""Overlap!A2:A15""), A110)&gt;0)"),FALSE)</f>
        <v>0</v>
      </c>
      <c r="G110" s="5" t="str">
        <f t="shared" ca="1" si="0"/>
        <v xml:space="preserve"> </v>
      </c>
      <c r="H110" s="8" t="str">
        <f ca="1">IF(AND(C110,F110), COUNTIF(Overlap!A:A, A110), "-")</f>
        <v>-</v>
      </c>
      <c r="I110" s="6"/>
    </row>
    <row r="111" spans="1:9" x14ac:dyDescent="0.25">
      <c r="A111" s="5">
        <v>110</v>
      </c>
      <c r="B111" s="6" t="str">
        <f ca="1">IFERROR(__xludf.DUMMYFUNCTION("""COMPUTED_VALUE"""),"Ch, R. P. R., Dieste, O., &amp; Juristo, N. (2020). Publication Bias: A Detailed Analysis of Experiments Published in ESEM.")</f>
        <v>Ch, R. P. R., Dieste, O., &amp; Juristo, N. (2020). Publication Bias: A Detailed Analysis of Experiments Published in ESEM.</v>
      </c>
      <c r="C111" s="7" t="b">
        <f ca="1">IFERROR(__xludf.DUMMYFUNCTION("""COMPUTED_VALUE"""),FALSE)</f>
        <v>0</v>
      </c>
      <c r="D111" s="5" t="str">
        <f ca="1">IFERROR(__xludf.DUMMYFUNCTION("""COMPUTED_VALUE"""),"jfr")</f>
        <v>jfr</v>
      </c>
      <c r="E111" s="5" t="str">
        <f ca="1">IF(C111, COUNTIF(Extraction!A:A, A111), "-")</f>
        <v>-</v>
      </c>
      <c r="F111" s="7" t="b">
        <f ca="1">IFERROR(__xludf.DUMMYFUNCTION("(COUNTIF(IMPORTRANGE(""https://docs.google.com/spreadsheets/d/1XUJGjtfB9SoW1rbohdkE9Z52MKac6AJzLHIsCSLTjGo/edit#gid=0"", ""Overlap!A2:A15""), A111)&gt;0)"),FALSE)</f>
        <v>0</v>
      </c>
      <c r="G111" s="5" t="str">
        <f t="shared" ca="1" si="0"/>
        <v xml:space="preserve"> </v>
      </c>
      <c r="H111" s="8" t="str">
        <f ca="1">IF(AND(C111,F111), COUNTIF(Overlap!A:A, A111), "-")</f>
        <v>-</v>
      </c>
      <c r="I111" s="6"/>
    </row>
    <row r="112" spans="1:9" x14ac:dyDescent="0.25">
      <c r="A112" s="5">
        <v>111</v>
      </c>
      <c r="B112" s="6" t="str">
        <f ca="1">IFERROR(__xludf.DUMMYFUNCTION("""COMPUTED_VALUE"""),"Marchezan, L. (2023). Improving Consistency Maintenance for Collaborative Software Systems Engineering (Doctoral dissertation, JOHANNES KEPLER UNIVERSITY LINZ).")</f>
        <v>Marchezan, L. (2023). Improving Consistency Maintenance for Collaborative Software Systems Engineering (Doctoral dissertation, JOHANNES KEPLER UNIVERSITY LINZ).</v>
      </c>
      <c r="C112" s="7" t="b">
        <f ca="1">IFERROR(__xludf.DUMMYFUNCTION("""COMPUTED_VALUE"""),FALSE)</f>
        <v>0</v>
      </c>
      <c r="D112" s="5" t="str">
        <f ca="1">IFERROR(__xludf.DUMMYFUNCTION("""COMPUTED_VALUE"""),"jfr")</f>
        <v>jfr</v>
      </c>
      <c r="E112" s="5" t="str">
        <f ca="1">IF(C112, COUNTIF(Extraction!A:A, A112), "-")</f>
        <v>-</v>
      </c>
      <c r="F112" s="7" t="b">
        <f ca="1">IFERROR(__xludf.DUMMYFUNCTION("(COUNTIF(IMPORTRANGE(""https://docs.google.com/spreadsheets/d/1XUJGjtfB9SoW1rbohdkE9Z52MKac6AJzLHIsCSLTjGo/edit#gid=0"", ""Overlap!A2:A15""), A112)&gt;0)"),FALSE)</f>
        <v>0</v>
      </c>
      <c r="G112" s="5" t="str">
        <f t="shared" ca="1" si="0"/>
        <v xml:space="preserve"> </v>
      </c>
      <c r="H112" s="8" t="str">
        <f ca="1">IF(AND(C112,F112), COUNTIF(Overlap!A:A, A112), "-")</f>
        <v>-</v>
      </c>
      <c r="I112" s="6"/>
    </row>
    <row r="113" spans="1:9" x14ac:dyDescent="0.25">
      <c r="A113" s="5">
        <v>112</v>
      </c>
      <c r="B113" s="6" t="str">
        <f ca="1">IFERROR(__xludf.DUMMYFUNCTION("""COMPUTED_VALUE"""),"Romano, S., Scanniello, G., Baldassarre, M. T., &amp; Fucci, D. (2020, August). On the Effect of Noise on Software Engineers’ Performance: Results from Two Replicated Experiments. In 2020 46th Euromicro Conference on Software Engineering and Advanced Applicat"&amp;"ions (SEAA) (pp. 334-341). IEEE.")</f>
        <v>Romano, S., Scanniello, G., Baldassarre, M. T., &amp; Fucci, D. (2020, August). On the Effect of Noise on Software Engineers’ Performance: Results from Two Replicated Experiments. In 2020 46th Euromicro Conference on Software Engineering and Advanced Applications (SEAA) (pp. 334-341). IEEE.</v>
      </c>
      <c r="C113" s="7" t="b">
        <f ca="1">IFERROR(__xludf.DUMMYFUNCTION("""COMPUTED_VALUE"""),TRUE)</f>
        <v>1</v>
      </c>
      <c r="D113" s="5" t="str">
        <f ca="1">IFERROR(__xludf.DUMMYFUNCTION("""COMPUTED_VALUE"""),"dfu")</f>
        <v>dfu</v>
      </c>
      <c r="E113" s="5">
        <f ca="1">IF(C113, COUNTIF(Extraction!A:A, A113), "-")</f>
        <v>0</v>
      </c>
      <c r="F113" s="7" t="b">
        <f ca="1">IFERROR(__xludf.DUMMYFUNCTION("(COUNTIF(IMPORTRANGE(""https://docs.google.com/spreadsheets/d/1XUJGjtfB9SoW1rbohdkE9Z52MKac6AJzLHIsCSLTjGo/edit#gid=0"", ""Overlap!A2:A15""), A113)&gt;0)"),FALSE)</f>
        <v>0</v>
      </c>
      <c r="G113" s="5" t="str">
        <f t="shared" ca="1" si="0"/>
        <v xml:space="preserve"> </v>
      </c>
      <c r="H113" s="8" t="str">
        <f ca="1">IF(AND(C113,F113), COUNTIF(Overlap!A:A, A113), "-")</f>
        <v>-</v>
      </c>
      <c r="I113" s="6"/>
    </row>
    <row r="114" spans="1:9" x14ac:dyDescent="0.25">
      <c r="A114" s="5">
        <v>113</v>
      </c>
      <c r="B114" s="6" t="str">
        <f ca="1">IFERROR(__xludf.DUMMYFUNCTION("""COMPUTED_VALUE"""),"Geraldino, G. C. L., da Silva, R. G., &amp; Santander, V. F. A. (2020). Avaliando o processo de derivação de casos de uso a partir de i* e BPMN e suporte computacional. In CIbSE (pp. 250-263).")</f>
        <v>Geraldino, G. C. L., da Silva, R. G., &amp; Santander, V. F. A. (2020). Avaliando o processo de derivação de casos de uso a partir de i* e BPMN e suporte computacional. In CIbSE (pp. 250-263).</v>
      </c>
      <c r="C114" s="7" t="b">
        <f ca="1">IFERROR(__xludf.DUMMYFUNCTION("""COMPUTED_VALUE"""),FALSE)</f>
        <v>0</v>
      </c>
      <c r="D114" s="5" t="str">
        <f ca="1">IFERROR(__xludf.DUMMYFUNCTION("""COMPUTED_VALUE"""),"jfr")</f>
        <v>jfr</v>
      </c>
      <c r="E114" s="5" t="str">
        <f ca="1">IF(C114, COUNTIF(Extraction!A:A, A114), "-")</f>
        <v>-</v>
      </c>
      <c r="F114" s="7" t="b">
        <f ca="1">IFERROR(__xludf.DUMMYFUNCTION("(COUNTIF(IMPORTRANGE(""https://docs.google.com/spreadsheets/d/1XUJGjtfB9SoW1rbohdkE9Z52MKac6AJzLHIsCSLTjGo/edit#gid=0"", ""Overlap!A2:A15""), A114)&gt;0)"),FALSE)</f>
        <v>0</v>
      </c>
      <c r="G114" s="5" t="str">
        <f t="shared" ca="1" si="0"/>
        <v xml:space="preserve"> </v>
      </c>
      <c r="H114" s="8" t="str">
        <f ca="1">IF(AND(C114,F114), COUNTIF(Overlap!A:A, A114), "-")</f>
        <v>-</v>
      </c>
      <c r="I114" s="6"/>
    </row>
    <row r="115" spans="1:9" x14ac:dyDescent="0.25">
      <c r="A115" s="5">
        <v>114</v>
      </c>
      <c r="B115" s="6" t="str">
        <f ca="1">IFERROR(__xludf.DUMMYFUNCTION("""COMPUTED_VALUE"""),"Albuquerque, D. W. (2023). Avaliação Experimental da Detecção Interativa de Anomalias de Código.")</f>
        <v>Albuquerque, D. W. (2023). Avaliação Experimental da Detecção Interativa de Anomalias de Código.</v>
      </c>
      <c r="C115" s="7" t="b">
        <f ca="1">IFERROR(__xludf.DUMMYFUNCTION("""COMPUTED_VALUE"""),FALSE)</f>
        <v>0</v>
      </c>
      <c r="D115" s="5" t="str">
        <f ca="1">IFERROR(__xludf.DUMMYFUNCTION("""COMPUTED_VALUE"""),"jfr")</f>
        <v>jfr</v>
      </c>
      <c r="E115" s="5" t="str">
        <f ca="1">IF(C115, COUNTIF(Extraction!A:A, A115), "-")</f>
        <v>-</v>
      </c>
      <c r="F115" s="7" t="b">
        <f ca="1">IFERROR(__xludf.DUMMYFUNCTION("(COUNTIF(IMPORTRANGE(""https://docs.google.com/spreadsheets/d/1XUJGjtfB9SoW1rbohdkE9Z52MKac6AJzLHIsCSLTjGo/edit#gid=0"", ""Overlap!A2:A15""), A115)&gt;0)"),FALSE)</f>
        <v>0</v>
      </c>
      <c r="G115" s="5" t="str">
        <f t="shared" ca="1" si="0"/>
        <v xml:space="preserve"> </v>
      </c>
      <c r="H115" s="8" t="str">
        <f ca="1">IF(AND(C115,F115), COUNTIF(Overlap!A:A, A115), "-")</f>
        <v>-</v>
      </c>
      <c r="I115" s="6"/>
    </row>
    <row r="116" spans="1:9" x14ac:dyDescent="0.25">
      <c r="A116" s="5">
        <v>115</v>
      </c>
      <c r="B116" s="6" t="str">
        <f ca="1">IFERROR(__xludf.DUMMYFUNCTION("""COMPUTED_VALUE"""),"Fabia Valdatta, P. (2023). Comprensión de modelos de procesos por expertos de dominio.")</f>
        <v>Fabia Valdatta, P. (2023). Comprensión de modelos de procesos por expertos de dominio.</v>
      </c>
      <c r="C116" s="7" t="b">
        <f ca="1">IFERROR(__xludf.DUMMYFUNCTION("""COMPUTED_VALUE"""),FALSE)</f>
        <v>0</v>
      </c>
      <c r="D116" s="5" t="str">
        <f ca="1">IFERROR(__xludf.DUMMYFUNCTION("""COMPUTED_VALUE"""),"jfr")</f>
        <v>jfr</v>
      </c>
      <c r="E116" s="5" t="str">
        <f ca="1">IF(C116, COUNTIF(Extraction!A:A, A116), "-")</f>
        <v>-</v>
      </c>
      <c r="F116" s="7" t="b">
        <f ca="1">IFERROR(__xludf.DUMMYFUNCTION("(COUNTIF(IMPORTRANGE(""https://docs.google.com/spreadsheets/d/1XUJGjtfB9SoW1rbohdkE9Z52MKac6AJzLHIsCSLTjGo/edit#gid=0"", ""Overlap!A2:A15""), A116)&gt;0)"),FALSE)</f>
        <v>0</v>
      </c>
      <c r="G116" s="5" t="str">
        <f t="shared" ca="1" si="0"/>
        <v xml:space="preserve"> </v>
      </c>
      <c r="H116" s="8" t="str">
        <f ca="1">IF(AND(C116,F116), COUNTIF(Overlap!A:A, A116), "-")</f>
        <v>-</v>
      </c>
      <c r="I116" s="6"/>
    </row>
    <row r="117" spans="1:9" x14ac:dyDescent="0.25">
      <c r="A117" s="5">
        <v>116</v>
      </c>
      <c r="B117" s="6" t="str">
        <f ca="1">IFERROR(__xludf.DUMMYFUNCTION("""COMPUTED_VALUE"""),"Ren, R., Castro, J. W., &amp; Acuña, S. T. (2021). A family of experiments for evaluating the usability of a collaborative modelling chatbot. In SEKE (pp. 275-280).")</f>
        <v>Ren, R., Castro, J. W., &amp; Acuña, S. T. (2021). A family of experiments for evaluating the usability of a collaborative modelling chatbot. In SEKE (pp. 275-280).</v>
      </c>
      <c r="C117" s="7" t="b">
        <f ca="1">IFERROR(__xludf.DUMMYFUNCTION("""COMPUTED_VALUE"""),TRUE)</f>
        <v>1</v>
      </c>
      <c r="D117" s="5" t="str">
        <f ca="1">IFERROR(__xludf.DUMMYFUNCTION("""COMPUTED_VALUE"""),"jfr")</f>
        <v>jfr</v>
      </c>
      <c r="E117" s="5">
        <f ca="1">IF(C117, COUNTIF(Extraction!A:A, A117), "-")</f>
        <v>3</v>
      </c>
      <c r="F117" s="7" t="b">
        <f ca="1">IFERROR(__xludf.DUMMYFUNCTION("(COUNTIF(IMPORTRANGE(""https://docs.google.com/spreadsheets/d/1XUJGjtfB9SoW1rbohdkE9Z52MKac6AJzLHIsCSLTjGo/edit#gid=0"", ""Overlap!A2:A15""), A117)&gt;0)"),TRUE)</f>
        <v>1</v>
      </c>
      <c r="G117" s="5" t="str">
        <f t="shared" ca="1" si="0"/>
        <v>dfu</v>
      </c>
      <c r="H117" s="8">
        <f ca="1">IF(AND(C117,F117), COUNTIF(Overlap!A:A, A117), "-")</f>
        <v>1</v>
      </c>
      <c r="I117" s="6"/>
    </row>
    <row r="118" spans="1:9" x14ac:dyDescent="0.25">
      <c r="A118" s="5">
        <v>117</v>
      </c>
      <c r="B118" s="6" t="str">
        <f ca="1">IFERROR(__xludf.DUMMYFUNCTION("""COMPUTED_VALUE"""),"Caivano, D., Fernández-Ropero, M., Pérez-Castillo, R., Piattini, M., &amp; Scalera, M. (2018). Artifact-based vs human-perceived understandability and modifiability of refactored business processes: An experiment. In Journal of Systems and Software.")</f>
        <v>Caivano, D., Fernández-Ropero, M., Pérez-Castillo, R., Piattini, M., &amp; Scalera, M. (2018). Artifact-based vs human-perceived understandability and modifiability of refactored business processes: An experiment. In Journal of Systems and Software.</v>
      </c>
      <c r="C118" s="7" t="b">
        <f ca="1">IFERROR(__xludf.DUMMYFUNCTION("""COMPUTED_VALUE"""),FALSE)</f>
        <v>0</v>
      </c>
      <c r="D118" s="5" t="str">
        <f ca="1">IFERROR(__xludf.DUMMYFUNCTION("""COMPUTED_VALUE"""),"jfr")</f>
        <v>jfr</v>
      </c>
      <c r="E118" s="5" t="str">
        <f ca="1">IF(C118, COUNTIF(Extraction!A:A, A118), "-")</f>
        <v>-</v>
      </c>
      <c r="F118" s="7" t="b">
        <f ca="1">IFERROR(__xludf.DUMMYFUNCTION("(COUNTIF(IMPORTRANGE(""https://docs.google.com/spreadsheets/d/1XUJGjtfB9SoW1rbohdkE9Z52MKac6AJzLHIsCSLTjGo/edit#gid=0"", ""Overlap!A2:A15""), A118)&gt;0)"),FALSE)</f>
        <v>0</v>
      </c>
      <c r="G118" s="5" t="str">
        <f t="shared" ca="1" si="0"/>
        <v xml:space="preserve"> </v>
      </c>
      <c r="H118" s="8" t="str">
        <f ca="1">IF(AND(C118,F118), COUNTIF(Overlap!A:A, A118), "-")</f>
        <v>-</v>
      </c>
      <c r="I118" s="6"/>
    </row>
    <row r="119" spans="1:9" x14ac:dyDescent="0.25">
      <c r="A119" s="5">
        <v>118</v>
      </c>
      <c r="B119" s="6" t="str">
        <f ca="1">IFERROR(__xludf.DUMMYFUNCTION("""COMPUTED_VALUE"""),"Cruz Gutiérrez, N. A. Analysis of crossover designs with repeated measurements using generalized estimating equations (Doctoral dissertation, Universidad Nacional de Colombia).")</f>
        <v>Cruz Gutiérrez, N. A. Analysis of crossover designs with repeated measurements using generalized estimating equations (Doctoral dissertation, Universidad Nacional de Colombia).</v>
      </c>
      <c r="C119" s="7" t="b">
        <f ca="1">IFERROR(__xludf.DUMMYFUNCTION("""COMPUTED_VALUE"""),FALSE)</f>
        <v>0</v>
      </c>
      <c r="D119" s="5" t="str">
        <f ca="1">IFERROR(__xludf.DUMMYFUNCTION("""COMPUTED_VALUE"""),"jfr")</f>
        <v>jfr</v>
      </c>
      <c r="E119" s="5" t="str">
        <f ca="1">IF(C119, COUNTIF(Extraction!A:A, A119), "-")</f>
        <v>-</v>
      </c>
      <c r="F119" s="7" t="b">
        <f ca="1">IFERROR(__xludf.DUMMYFUNCTION("(COUNTIF(IMPORTRANGE(""https://docs.google.com/spreadsheets/d/1XUJGjtfB9SoW1rbohdkE9Z52MKac6AJzLHIsCSLTjGo/edit#gid=0"", ""Overlap!A2:A15""), A119)&gt;0)"),FALSE)</f>
        <v>0</v>
      </c>
      <c r="G119" s="5" t="str">
        <f t="shared" ca="1" si="0"/>
        <v xml:space="preserve"> </v>
      </c>
      <c r="H119" s="8" t="str">
        <f ca="1">IF(AND(C119,F119), COUNTIF(Overlap!A:A, A119), "-")</f>
        <v>-</v>
      </c>
      <c r="I119" s="6"/>
    </row>
    <row r="120" spans="1:9" x14ac:dyDescent="0.25">
      <c r="A120" s="5">
        <v>119</v>
      </c>
      <c r="B120" s="6" t="str">
        <f ca="1">IFERROR(__xludf.DUMMYFUNCTION("""COMPUTED_VALUE"""),"Francese, R., Risi, M., &amp; Tortora, G. (2020, September). miniJava: Automatic Miniaturization of Java Applications. In Proceedings of the International Conference on Advanced Visual Interfaces (pp. 1-8).")</f>
        <v>Francese, R., Risi, M., &amp; Tortora, G. (2020, September). miniJava: Automatic Miniaturization of Java Applications. In Proceedings of the International Conference on Advanced Visual Interfaces (pp. 1-8).</v>
      </c>
      <c r="C120" s="7" t="b">
        <f ca="1">IFERROR(__xludf.DUMMYFUNCTION("""COMPUTED_VALUE"""),TRUE)</f>
        <v>1</v>
      </c>
      <c r="D120" s="5" t="str">
        <f ca="1">IFERROR(__xludf.DUMMYFUNCTION("""COMPUTED_VALUE"""),"dfu")</f>
        <v>dfu</v>
      </c>
      <c r="E120" s="5">
        <f ca="1">IF(C120, COUNTIF(Extraction!A:A, A120), "-")</f>
        <v>0</v>
      </c>
      <c r="F120" s="7" t="b">
        <f ca="1">IFERROR(__xludf.DUMMYFUNCTION("(COUNTIF(IMPORTRANGE(""https://docs.google.com/spreadsheets/d/1XUJGjtfB9SoW1rbohdkE9Z52MKac6AJzLHIsCSLTjGo/edit#gid=0"", ""Overlap!A2:A15""), A120)&gt;0)"),FALSE)</f>
        <v>0</v>
      </c>
      <c r="G120" s="5" t="str">
        <f t="shared" ca="1" si="0"/>
        <v xml:space="preserve"> </v>
      </c>
      <c r="H120" s="8" t="str">
        <f ca="1">IF(AND(C120,F120), COUNTIF(Overlap!A:A, A120), "-")</f>
        <v>-</v>
      </c>
      <c r="I120" s="6"/>
    </row>
    <row r="121" spans="1:9" x14ac:dyDescent="0.25">
      <c r="A121" s="5">
        <v>120</v>
      </c>
      <c r="B121" s="6" t="str">
        <f ca="1">IFERROR(__xludf.DUMMYFUNCTION("""COMPUTED_VALUE"""),"BAYET, A. THESIS/THÈSE.")</f>
        <v>BAYET, A. THESIS/THÈSE.</v>
      </c>
      <c r="C121" s="7" t="b">
        <f ca="1">IFERROR(__xludf.DUMMYFUNCTION("""COMPUTED_VALUE"""),FALSE)</f>
        <v>0</v>
      </c>
      <c r="D121" s="5" t="str">
        <f ca="1">IFERROR(__xludf.DUMMYFUNCTION("""COMPUTED_VALUE"""),"jfr")</f>
        <v>jfr</v>
      </c>
      <c r="E121" s="5" t="str">
        <f ca="1">IF(C121, COUNTIF(Extraction!A:A, A121), "-")</f>
        <v>-</v>
      </c>
      <c r="F121" s="7" t="b">
        <f ca="1">IFERROR(__xludf.DUMMYFUNCTION("(COUNTIF(IMPORTRANGE(""https://docs.google.com/spreadsheets/d/1XUJGjtfB9SoW1rbohdkE9Z52MKac6AJzLHIsCSLTjGo/edit#gid=0"", ""Overlap!A2:A15""), A121)&gt;0)"),FALSE)</f>
        <v>0</v>
      </c>
      <c r="G121" s="5" t="str">
        <f t="shared" ca="1" si="0"/>
        <v xml:space="preserve"> </v>
      </c>
      <c r="H121" s="8" t="str">
        <f ca="1">IF(AND(C121,F121), COUNTIF(Overlap!A:A, A121), "-")</f>
        <v>-</v>
      </c>
      <c r="I121" s="6"/>
    </row>
    <row r="122" spans="1:9" x14ac:dyDescent="0.25">
      <c r="A122" s="5">
        <v>121</v>
      </c>
      <c r="B122" s="6" t="str">
        <f ca="1">IFERROR(__xludf.DUMMYFUNCTION("""COMPUTED_VALUE"""),"GRABSI, A. THESIS/THÈSE.")</f>
        <v>GRABSI, A. THESIS/THÈSE.</v>
      </c>
      <c r="C122" s="7" t="b">
        <f ca="1">IFERROR(__xludf.DUMMYFUNCTION("""COMPUTED_VALUE"""),FALSE)</f>
        <v>0</v>
      </c>
      <c r="D122" s="5" t="str">
        <f ca="1">IFERROR(__xludf.DUMMYFUNCTION("""COMPUTED_VALUE"""),"jfr")</f>
        <v>jfr</v>
      </c>
      <c r="E122" s="5" t="str">
        <f ca="1">IF(C122, COUNTIF(Extraction!A:A, A122), "-")</f>
        <v>-</v>
      </c>
      <c r="F122" s="7" t="b">
        <f ca="1">IFERROR(__xludf.DUMMYFUNCTION("(COUNTIF(IMPORTRANGE(""https://docs.google.com/spreadsheets/d/1XUJGjtfB9SoW1rbohdkE9Z52MKac6AJzLHIsCSLTjGo/edit#gid=0"", ""Overlap!A2:A15""), A122)&gt;0)"),FALSE)</f>
        <v>0</v>
      </c>
      <c r="G122" s="5" t="str">
        <f t="shared" ca="1" si="0"/>
        <v xml:space="preserve"> </v>
      </c>
      <c r="H122" s="8" t="str">
        <f ca="1">IF(AND(C122,F122), COUNTIF(Overlap!A:A, A122), "-")</f>
        <v>-</v>
      </c>
      <c r="I122" s="6"/>
    </row>
    <row r="123" spans="1:9" x14ac:dyDescent="0.25">
      <c r="A123" s="5">
        <v>122</v>
      </c>
      <c r="B123" s="6" t="str">
        <f ca="1">IFERROR(__xludf.DUMMYFUNCTION("""COMPUTED_VALUE"""),"de Roberto, P., De Lucia, A., &amp; Tortora, G. from Petroglyphs to CoDe Graphs.")</f>
        <v>de Roberto, P., De Lucia, A., &amp; Tortora, G. from Petroglyphs to CoDe Graphs.</v>
      </c>
      <c r="C123" s="7" t="b">
        <f ca="1">IFERROR(__xludf.DUMMYFUNCTION("""COMPUTED_VALUE"""),FALSE)</f>
        <v>0</v>
      </c>
      <c r="D123" s="5" t="str">
        <f ca="1">IFERROR(__xludf.DUMMYFUNCTION("""COMPUTED_VALUE"""),"jfr")</f>
        <v>jfr</v>
      </c>
      <c r="E123" s="5" t="str">
        <f ca="1">IF(C123, COUNTIF(Extraction!A:A, A123), "-")</f>
        <v>-</v>
      </c>
      <c r="F123" s="7" t="b">
        <f ca="1">IFERROR(__xludf.DUMMYFUNCTION("(COUNTIF(IMPORTRANGE(""https://docs.google.com/spreadsheets/d/1XUJGjtfB9SoW1rbohdkE9Z52MKac6AJzLHIsCSLTjGo/edit#gid=0"", ""Overlap!A2:A15""), A123)&gt;0)"),FALSE)</f>
        <v>0</v>
      </c>
      <c r="G123" s="5" t="str">
        <f t="shared" ca="1" si="0"/>
        <v xml:space="preserve"> </v>
      </c>
      <c r="H123" s="8" t="str">
        <f ca="1">IF(AND(C123,F123), COUNTIF(Overlap!A:A, A123), "-")</f>
        <v>-</v>
      </c>
      <c r="I123" s="6"/>
    </row>
    <row r="124" spans="1:9" x14ac:dyDescent="0.25">
      <c r="A124" s="5">
        <v>123</v>
      </c>
      <c r="B124" s="6" t="str">
        <f ca="1">IFERROR(__xludf.DUMMYFUNCTION("""COMPUTED_VALUE"""),"Moran, M. J. (2017). On Comparative Algorithmic Pathfinding in Complex Networks for Resource-Constrained Software Agents (Doctoral dissertation, Walden University).")</f>
        <v>Moran, M. J. (2017). On Comparative Algorithmic Pathfinding in Complex Networks for Resource-Constrained Software Agents (Doctoral dissertation, Walden University).</v>
      </c>
      <c r="C124" s="7" t="b">
        <f ca="1">IFERROR(__xludf.DUMMYFUNCTION("""COMPUTED_VALUE"""),FALSE)</f>
        <v>0</v>
      </c>
      <c r="D124" s="5" t="str">
        <f ca="1">IFERROR(__xludf.DUMMYFUNCTION("""COMPUTED_VALUE"""),"jfr")</f>
        <v>jfr</v>
      </c>
      <c r="E124" s="5" t="str">
        <f ca="1">IF(C124, COUNTIF(Extraction!A:A, A124), "-")</f>
        <v>-</v>
      </c>
      <c r="F124" s="7" t="b">
        <f ca="1">IFERROR(__xludf.DUMMYFUNCTION("(COUNTIF(IMPORTRANGE(""https://docs.google.com/spreadsheets/d/1XUJGjtfB9SoW1rbohdkE9Z52MKac6AJzLHIsCSLTjGo/edit#gid=0"", ""Overlap!A2:A15""), A124)&gt;0)"),FALSE)</f>
        <v>0</v>
      </c>
      <c r="G124" s="5" t="str">
        <f t="shared" ca="1" si="0"/>
        <v xml:space="preserve"> </v>
      </c>
      <c r="H124" s="8" t="str">
        <f ca="1">IF(AND(C124,F124), COUNTIF(Overlap!A:A, A124), "-")</f>
        <v>-</v>
      </c>
      <c r="I124" s="6"/>
    </row>
    <row r="125" spans="1:9" x14ac:dyDescent="0.25">
      <c r="A125" s="5">
        <v>124</v>
      </c>
      <c r="B125" s="6" t="str">
        <f ca="1">IFERROR(__xludf.DUMMYFUNCTION("""COMPUTED_VALUE"""),"Oliveira, J. D. A. (2021). Engineering efficient exception handling for android applications.")</f>
        <v>Oliveira, J. D. A. (2021). Engineering efficient exception handling for android applications.</v>
      </c>
      <c r="C125" s="7" t="b">
        <f ca="1">IFERROR(__xludf.DUMMYFUNCTION("""COMPUTED_VALUE"""),FALSE)</f>
        <v>0</v>
      </c>
      <c r="D125" s="5" t="str">
        <f ca="1">IFERROR(__xludf.DUMMYFUNCTION("""COMPUTED_VALUE"""),"jfr")</f>
        <v>jfr</v>
      </c>
      <c r="E125" s="5" t="str">
        <f ca="1">IF(C125, COUNTIF(Extraction!A:A, A125), "-")</f>
        <v>-</v>
      </c>
      <c r="F125" s="7" t="b">
        <f ca="1">IFERROR(__xludf.DUMMYFUNCTION("(COUNTIF(IMPORTRANGE(""https://docs.google.com/spreadsheets/d/1XUJGjtfB9SoW1rbohdkE9Z52MKac6AJzLHIsCSLTjGo/edit#gid=0"", ""Overlap!A2:A15""), A125)&gt;0)"),FALSE)</f>
        <v>0</v>
      </c>
      <c r="G125" s="5" t="str">
        <f t="shared" ca="1" si="0"/>
        <v xml:space="preserve"> </v>
      </c>
      <c r="H125" s="8" t="str">
        <f ca="1">IF(AND(C125,F125), COUNTIF(Overlap!A:A, A125), "-")</f>
        <v>-</v>
      </c>
      <c r="I125" s="6"/>
    </row>
    <row r="126" spans="1:9" x14ac:dyDescent="0.25">
      <c r="A126" s="5">
        <v>125</v>
      </c>
      <c r="B126" s="6" t="str">
        <f ca="1">IFERROR(__xludf.DUMMYFUNCTION("""COMPUTED_VALUE"""),"Raura, G., Pons, C. F., Fonseca, E. R., &amp; Dieste, O. (2022). ¿ Qué factores personales afectan a la calidad y productividad de TDD? Un experimento con profesionales. Electronic Journal of SADIO, 21.")</f>
        <v>Raura, G., Pons, C. F., Fonseca, E. R., &amp; Dieste, O. (2022). ¿ Qué factores personales afectan a la calidad y productividad de TDD? Un experimento con profesionales. Electronic Journal of SADIO, 21.</v>
      </c>
      <c r="C126" s="7" t="b">
        <f ca="1">IFERROR(__xludf.DUMMYFUNCTION("""COMPUTED_VALUE"""),FALSE)</f>
        <v>0</v>
      </c>
      <c r="D126" s="5" t="str">
        <f ca="1">IFERROR(__xludf.DUMMYFUNCTION("""COMPUTED_VALUE"""),"jfr")</f>
        <v>jfr</v>
      </c>
      <c r="E126" s="5" t="str">
        <f ca="1">IF(C126, COUNTIF(Extraction!A:A, A126), "-")</f>
        <v>-</v>
      </c>
      <c r="F126" s="7" t="b">
        <f ca="1">IFERROR(__xludf.DUMMYFUNCTION("(COUNTIF(IMPORTRANGE(""https://docs.google.com/spreadsheets/d/1XUJGjtfB9SoW1rbohdkE9Z52MKac6AJzLHIsCSLTjGo/edit#gid=0"", ""Overlap!A2:A15""), A126)&gt;0)"),FALSE)</f>
        <v>0</v>
      </c>
      <c r="G126" s="5" t="str">
        <f t="shared" ca="1" si="0"/>
        <v xml:space="preserve"> </v>
      </c>
      <c r="H126" s="8" t="str">
        <f ca="1">IF(AND(C126,F126), COUNTIF(Overlap!A:A, A126), "-")</f>
        <v>-</v>
      </c>
      <c r="I126" s="6"/>
    </row>
    <row r="127" spans="1:9" x14ac:dyDescent="0.25">
      <c r="A127" s="5">
        <v>126</v>
      </c>
      <c r="B127" s="6" t="str">
        <f ca="1">IFERROR(__xludf.DUMMYFUNCTION("""COMPUTED_VALUE"""),"Fonseca, E. R., &amp; Dieste, O. ¿ Qué factores personales afectan a la calidad y productividad de TDD? Un experimento con profesionales.")</f>
        <v>Fonseca, E. R., &amp; Dieste, O. ¿ Qué factores personales afectan a la calidad y productividad de TDD? Un experimento con profesionales.</v>
      </c>
      <c r="C127" s="7" t="b">
        <f ca="1">IFERROR(__xludf.DUMMYFUNCTION("""COMPUTED_VALUE"""),FALSE)</f>
        <v>0</v>
      </c>
      <c r="D127" s="5" t="str">
        <f ca="1">IFERROR(__xludf.DUMMYFUNCTION("""COMPUTED_VALUE"""),"jfr")</f>
        <v>jfr</v>
      </c>
      <c r="E127" s="5" t="str">
        <f ca="1">IF(C127, COUNTIF(Extraction!A:A, A127), "-")</f>
        <v>-</v>
      </c>
      <c r="F127" s="7" t="b">
        <f ca="1">IFERROR(__xludf.DUMMYFUNCTION("(COUNTIF(IMPORTRANGE(""https://docs.google.com/spreadsheets/d/1XUJGjtfB9SoW1rbohdkE9Z52MKac6AJzLHIsCSLTjGo/edit#gid=0"", ""Overlap!A2:A15""), A127)&gt;0)"),FALSE)</f>
        <v>0</v>
      </c>
      <c r="G127" s="5" t="str">
        <f t="shared" ca="1" si="0"/>
        <v xml:space="preserve"> </v>
      </c>
      <c r="H127" s="8" t="str">
        <f ca="1">IF(AND(C127,F127), COUNTIF(Overlap!A:A, A127), "-")</f>
        <v>-</v>
      </c>
      <c r="I127" s="6"/>
    </row>
    <row r="128" spans="1:9" x14ac:dyDescent="0.25">
      <c r="A128" s="5">
        <v>127</v>
      </c>
      <c r="B128" s="6" t="str">
        <f ca="1">IFERROR(__xludf.DUMMYFUNCTION("""COMPUTED_VALUE"""),"de Almeida, A. C. G. (2019). Quality Evaluation of Requirements Models: The Case of Goal Models and Scenarios (Doctoral dissertation, Universidade NOVA de Lisboa (Portugal)).")</f>
        <v>de Almeida, A. C. G. (2019). Quality Evaluation of Requirements Models: The Case of Goal Models and Scenarios (Doctoral dissertation, Universidade NOVA de Lisboa (Portugal)).</v>
      </c>
      <c r="C128" s="7" t="b">
        <f ca="1">IFERROR(__xludf.DUMMYFUNCTION("""COMPUTED_VALUE"""),FALSE)</f>
        <v>0</v>
      </c>
      <c r="D128" s="5" t="str">
        <f ca="1">IFERROR(__xludf.DUMMYFUNCTION("""COMPUTED_VALUE"""),"jfr")</f>
        <v>jfr</v>
      </c>
      <c r="E128" s="5" t="str">
        <f ca="1">IF(C128, COUNTIF(Extraction!A:A, A128), "-")</f>
        <v>-</v>
      </c>
      <c r="F128" s="7" t="b">
        <f ca="1">IFERROR(__xludf.DUMMYFUNCTION("(COUNTIF(IMPORTRANGE(""https://docs.google.com/spreadsheets/d/1XUJGjtfB9SoW1rbohdkE9Z52MKac6AJzLHIsCSLTjGo/edit#gid=0"", ""Overlap!A2:A15""), A128)&gt;0)"),FALSE)</f>
        <v>0</v>
      </c>
      <c r="G128" s="5" t="str">
        <f t="shared" ca="1" si="0"/>
        <v xml:space="preserve"> </v>
      </c>
      <c r="H128" s="8" t="str">
        <f ca="1">IF(AND(C128,F128), COUNTIF(Overlap!A:A, A128), "-")</f>
        <v>-</v>
      </c>
      <c r="I128" s="6"/>
    </row>
    <row r="129" spans="1:9" x14ac:dyDescent="0.25">
      <c r="A129" s="5">
        <v>128</v>
      </c>
      <c r="B129" s="6" t="str">
        <f ca="1">IFERROR(__xludf.DUMMYFUNCTION("""COMPUTED_VALUE"""),"Sandobalín Guamán, J. C. (2020). MoCIP: Un enfoque dirigido por modelos para el aprovisionamiento de infraestructura en la nube (Doctoral dissertation, Universitat Politècnica de València).")</f>
        <v>Sandobalín Guamán, J. C. (2020). MoCIP: Un enfoque dirigido por modelos para el aprovisionamiento de infraestructura en la nube (Doctoral dissertation, Universitat Politècnica de València).</v>
      </c>
      <c r="C129" s="7" t="b">
        <f ca="1">IFERROR(__xludf.DUMMYFUNCTION("""COMPUTED_VALUE"""),FALSE)</f>
        <v>0</v>
      </c>
      <c r="D129" s="5" t="str">
        <f ca="1">IFERROR(__xludf.DUMMYFUNCTION("""COMPUTED_VALUE"""),"jfr")</f>
        <v>jfr</v>
      </c>
      <c r="E129" s="5" t="str">
        <f ca="1">IF(C129, COUNTIF(Extraction!A:A, A129), "-")</f>
        <v>-</v>
      </c>
      <c r="F129" s="7" t="b">
        <f ca="1">IFERROR(__xludf.DUMMYFUNCTION("(COUNTIF(IMPORTRANGE(""https://docs.google.com/spreadsheets/d/1XUJGjtfB9SoW1rbohdkE9Z52MKac6AJzLHIsCSLTjGo/edit#gid=0"", ""Overlap!A2:A15""), A129)&gt;0)"),FALSE)</f>
        <v>0</v>
      </c>
      <c r="G129" s="5" t="str">
        <f t="shared" ca="1" si="0"/>
        <v xml:space="preserve"> </v>
      </c>
      <c r="H129" s="8" t="str">
        <f ca="1">IF(AND(C129,F129), COUNTIF(Overlap!A:A, A129), "-")</f>
        <v>-</v>
      </c>
      <c r="I129" s="6"/>
    </row>
    <row r="130" spans="1:9" x14ac:dyDescent="0.25">
      <c r="A130" s="5">
        <v>129</v>
      </c>
      <c r="B130" s="6" t="str">
        <f ca="1">IFERROR(__xludf.DUMMYFUNCTION("""COMPUTED_VALUE"""),"Íñiguez Jarrín, C. E. (2020). GenomIUm: Un Método Basado en Patrones para el Diseño de Interfaces de Usuario de Acceso a Datos Genómicos (Doctoral dissertation, Universitat Politècnica de València).")</f>
        <v>Íñiguez Jarrín, C. E. (2020). GenomIUm: Un Método Basado en Patrones para el Diseño de Interfaces de Usuario de Acceso a Datos Genómicos (Doctoral dissertation, Universitat Politècnica de València).</v>
      </c>
      <c r="C130" s="7" t="b">
        <f ca="1">IFERROR(__xludf.DUMMYFUNCTION("""COMPUTED_VALUE"""),FALSE)</f>
        <v>0</v>
      </c>
      <c r="D130" s="5" t="str">
        <f ca="1">IFERROR(__xludf.DUMMYFUNCTION("""COMPUTED_VALUE"""),"jfr")</f>
        <v>jfr</v>
      </c>
      <c r="E130" s="5" t="str">
        <f ca="1">IF(C130, COUNTIF(Extraction!A:A, A130), "-")</f>
        <v>-</v>
      </c>
      <c r="F130" s="7" t="b">
        <f ca="1">IFERROR(__xludf.DUMMYFUNCTION("(COUNTIF(IMPORTRANGE(""https://docs.google.com/spreadsheets/d/1XUJGjtfB9SoW1rbohdkE9Z52MKac6AJzLHIsCSLTjGo/edit#gid=0"", ""Overlap!A2:A15""), A130)&gt;0)"),FALSE)</f>
        <v>0</v>
      </c>
      <c r="G130" s="5" t="str">
        <f t="shared" ca="1" si="0"/>
        <v xml:space="preserve"> </v>
      </c>
      <c r="H130" s="8" t="str">
        <f ca="1">IF(AND(C130,F130), COUNTIF(Overlap!A:A, A130), "-")</f>
        <v>-</v>
      </c>
      <c r="I130" s="6"/>
    </row>
    <row r="131" spans="1:9" x14ac:dyDescent="0.25">
      <c r="A131" s="5">
        <v>130</v>
      </c>
      <c r="B131" s="6" t="str">
        <f ca="1">IFERROR(__xludf.DUMMYFUNCTION("""COMPUTED_VALUE"""),"Juristo, N. (2018). Statistical Errors in Software Engineering Experiments: A Preliminary Literature Review.")</f>
        <v>Juristo, N. (2018). Statistical Errors in Software Engineering Experiments: A Preliminary Literature Review.</v>
      </c>
      <c r="C131" s="7" t="b">
        <f ca="1">IFERROR(__xludf.DUMMYFUNCTION("""COMPUTED_VALUE"""),FALSE)</f>
        <v>0</v>
      </c>
      <c r="D131" s="5" t="str">
        <f ca="1">IFERROR(__xludf.DUMMYFUNCTION("""COMPUTED_VALUE"""),"jfr")</f>
        <v>jfr</v>
      </c>
      <c r="E131" s="5" t="str">
        <f ca="1">IF(C131, COUNTIF(Extraction!A:A, A131), "-")</f>
        <v>-</v>
      </c>
      <c r="F131" s="7" t="b">
        <f ca="1">IFERROR(__xludf.DUMMYFUNCTION("(COUNTIF(IMPORTRANGE(""https://docs.google.com/spreadsheets/d/1XUJGjtfB9SoW1rbohdkE9Z52MKac6AJzLHIsCSLTjGo/edit#gid=0"", ""Overlap!A2:A15""), A131)&gt;0)"),FALSE)</f>
        <v>0</v>
      </c>
      <c r="G131" s="5" t="str">
        <f t="shared" ca="1" si="0"/>
        <v xml:space="preserve"> </v>
      </c>
      <c r="H131" s="8" t="str">
        <f ca="1">IF(AND(C131,F131), COUNTIF(Overlap!A:A, A131), "-")</f>
        <v>-</v>
      </c>
      <c r="I131" s="6"/>
    </row>
    <row r="132" spans="1:9" x14ac:dyDescent="0.25">
      <c r="A132" s="5">
        <v>131</v>
      </c>
      <c r="B132" s="6" t="str">
        <f ca="1">IFERROR(__xludf.DUMMYFUNCTION("""COMPUTED_VALUE"""),"De Roberto, P. (2018). Information visualization: from petroglyphs to CoDe Graphs.")</f>
        <v>De Roberto, P. (2018). Information visualization: from petroglyphs to CoDe Graphs.</v>
      </c>
      <c r="C132" s="7" t="b">
        <f ca="1">IFERROR(__xludf.DUMMYFUNCTION("""COMPUTED_VALUE"""),FALSE)</f>
        <v>0</v>
      </c>
      <c r="D132" s="5" t="str">
        <f ca="1">IFERROR(__xludf.DUMMYFUNCTION("""COMPUTED_VALUE"""),"jfr")</f>
        <v>jfr</v>
      </c>
      <c r="E132" s="5" t="str">
        <f ca="1">IF(C132, COUNTIF(Extraction!A:A, A132), "-")</f>
        <v>-</v>
      </c>
      <c r="F132" s="7" t="b">
        <f ca="1">IFERROR(__xludf.DUMMYFUNCTION("(COUNTIF(IMPORTRANGE(""https://docs.google.com/spreadsheets/d/1XUJGjtfB9SoW1rbohdkE9Z52MKac6AJzLHIsCSLTjGo/edit#gid=0"", ""Overlap!A2:A15""), A132)&gt;0)"),FALSE)</f>
        <v>0</v>
      </c>
      <c r="G132" s="5" t="str">
        <f t="shared" ca="1" si="0"/>
        <v xml:space="preserve"> </v>
      </c>
      <c r="H132" s="8" t="str">
        <f ca="1">IF(AND(C132,F132), COUNTIF(Overlap!A:A, A132), "-")</f>
        <v>-</v>
      </c>
      <c r="I132" s="6"/>
    </row>
    <row r="133" spans="1:9" x14ac:dyDescent="0.25">
      <c r="A133" s="5">
        <v>132</v>
      </c>
      <c r="B133" s="6" t="str">
        <f ca="1">IFERROR(__xludf.DUMMYFUNCTION("""COMPUTED_VALUE"""),"Messe, N. Z. (2021). Security by Design: An asset-based approach to bridge the gap between architects and security experts (Doctoral dissertation, Université de Bretagne Sud).")</f>
        <v>Messe, N. Z. (2021). Security by Design: An asset-based approach to bridge the gap between architects and security experts (Doctoral dissertation, Université de Bretagne Sud).</v>
      </c>
      <c r="C133" s="7" t="b">
        <f ca="1">IFERROR(__xludf.DUMMYFUNCTION("""COMPUTED_VALUE"""),FALSE)</f>
        <v>0</v>
      </c>
      <c r="D133" s="5" t="str">
        <f ca="1">IFERROR(__xludf.DUMMYFUNCTION("""COMPUTED_VALUE"""),"jfr")</f>
        <v>jfr</v>
      </c>
      <c r="E133" s="5" t="str">
        <f ca="1">IF(C133, COUNTIF(Extraction!A:A, A133), "-")</f>
        <v>-</v>
      </c>
      <c r="F133" s="7" t="b">
        <f ca="1">IFERROR(__xludf.DUMMYFUNCTION("(COUNTIF(IMPORTRANGE(""https://docs.google.com/spreadsheets/d/1XUJGjtfB9SoW1rbohdkE9Z52MKac6AJzLHIsCSLTjGo/edit#gid=0"", ""Overlap!A2:A15""), A133)&gt;0)"),FALSE)</f>
        <v>0</v>
      </c>
      <c r="G133" s="5" t="str">
        <f t="shared" ca="1" si="0"/>
        <v xml:space="preserve"> </v>
      </c>
      <c r="H133" s="8" t="str">
        <f ca="1">IF(AND(C133,F133), COUNTIF(Overlap!A:A, A133), "-")</f>
        <v>-</v>
      </c>
      <c r="I133" s="6"/>
    </row>
    <row r="134" spans="1:9" x14ac:dyDescent="0.25">
      <c r="A134" s="5">
        <v>133</v>
      </c>
      <c r="B134" s="6" t="str">
        <f ca="1">IFERROR(__xludf.DUMMYFUNCTION("""COMPUTED_VALUE"""),"Vara González, J. L. D. L., Marín, B., Ayora, C., &amp; Giachetti, G. (2017). An experimental evaluation of the understanding of safety compliance needs with models.")</f>
        <v>Vara González, J. L. D. L., Marín, B., Ayora, C., &amp; Giachetti, G. (2017). An experimental evaluation of the understanding of safety compliance needs with models.</v>
      </c>
      <c r="C134" s="7" t="b">
        <f ca="1">IFERROR(__xludf.DUMMYFUNCTION("""COMPUTED_VALUE"""),FALSE)</f>
        <v>0</v>
      </c>
      <c r="D134" s="5" t="str">
        <f ca="1">IFERROR(__xludf.DUMMYFUNCTION("""COMPUTED_VALUE"""),"jfr")</f>
        <v>jfr</v>
      </c>
      <c r="E134" s="5" t="str">
        <f ca="1">IF(C134, COUNTIF(Extraction!A:A, A134), "-")</f>
        <v>-</v>
      </c>
      <c r="F134" s="7" t="b">
        <f ca="1">IFERROR(__xludf.DUMMYFUNCTION("(COUNTIF(IMPORTRANGE(""https://docs.google.com/spreadsheets/d/1XUJGjtfB9SoW1rbohdkE9Z52MKac6AJzLHIsCSLTjGo/edit#gid=0"", ""Overlap!A2:A15""), A134)&gt;0)"),FALSE)</f>
        <v>0</v>
      </c>
      <c r="G134" s="5" t="str">
        <f t="shared" ca="1" si="0"/>
        <v xml:space="preserve"> </v>
      </c>
      <c r="H134" s="8" t="str">
        <f ca="1">IF(AND(C134,F134), COUNTIF(Overlap!A:A, A134), "-")</f>
        <v>-</v>
      </c>
      <c r="I134" s="6"/>
    </row>
    <row r="135" spans="1:9" x14ac:dyDescent="0.25">
      <c r="A135" s="5">
        <v>134</v>
      </c>
      <c r="B135" s="6" t="str">
        <f ca="1">IFERROR(__xludf.DUMMYFUNCTION("""COMPUTED_VALUE"""),"Romano, S., Scanniello, G., Fucci, D., Juristo, N., &amp; Turhan, B. (2016). The E ect of Noise on Requirements Comprehension.")</f>
        <v>Romano, S., Scanniello, G., Fucci, D., Juristo, N., &amp; Turhan, B. (2016). The E ect of Noise on Requirements Comprehension.</v>
      </c>
      <c r="C135" s="7" t="b">
        <f ca="1">IFERROR(__xludf.DUMMYFUNCTION("""COMPUTED_VALUE"""),FALSE)</f>
        <v>0</v>
      </c>
      <c r="D135" s="5" t="str">
        <f ca="1">IFERROR(__xludf.DUMMYFUNCTION("""COMPUTED_VALUE"""),"dfu")</f>
        <v>dfu</v>
      </c>
      <c r="E135" s="5" t="str">
        <f ca="1">IF(C135, COUNTIF(Extraction!A:A, A135), "-")</f>
        <v>-</v>
      </c>
      <c r="F135" s="7" t="b">
        <f ca="1">IFERROR(__xludf.DUMMYFUNCTION("(COUNTIF(IMPORTRANGE(""https://docs.google.com/spreadsheets/d/1XUJGjtfB9SoW1rbohdkE9Z52MKac6AJzLHIsCSLTjGo/edit#gid=0"", ""Overlap!A2:A15""), A135)&gt;0)"),FALSE)</f>
        <v>0</v>
      </c>
      <c r="G135" s="5" t="str">
        <f t="shared" ca="1" si="0"/>
        <v xml:space="preserve"> </v>
      </c>
      <c r="H135" s="8" t="str">
        <f ca="1">IF(AND(C135,F135), COUNTIF(Overlap!A:A, A135), "-")</f>
        <v>-</v>
      </c>
      <c r="I135" s="6"/>
    </row>
    <row r="136" spans="1:9" x14ac:dyDescent="0.25">
      <c r="A136" s="5">
        <v>135</v>
      </c>
      <c r="B136" s="6" t="str">
        <f ca="1">IFERROR(__xludf.DUMMYFUNCTION("""COMPUTED_VALUE"""),"Romano, S. (2018). Dead code: Study and detection (Doctoral dissertation, Ph. D. dissertation, University of Salento and University of Basilicata, 2018.[Online]. Available: http://www2. unibas. it/sromano/downloads/thesis. pdf).")</f>
        <v>Romano, S. (2018). Dead code: Study and detection (Doctoral dissertation, Ph. D. dissertation, University of Salento and University of Basilicata, 2018.[Online]. Available: http://www2. unibas. it/sromano/downloads/thesis. pdf).</v>
      </c>
      <c r="C136" s="7" t="b">
        <f ca="1">IFERROR(__xludf.DUMMYFUNCTION("""COMPUTED_VALUE"""),FALSE)</f>
        <v>0</v>
      </c>
      <c r="D136" s="5" t="str">
        <f ca="1">IFERROR(__xludf.DUMMYFUNCTION("""COMPUTED_VALUE"""),"jfr")</f>
        <v>jfr</v>
      </c>
      <c r="E136" s="5" t="str">
        <f ca="1">IF(C136, COUNTIF(Extraction!A:A, A136), "-")</f>
        <v>-</v>
      </c>
      <c r="F136" s="7" t="b">
        <f ca="1">IFERROR(__xludf.DUMMYFUNCTION("(COUNTIF(IMPORTRANGE(""https://docs.google.com/spreadsheets/d/1XUJGjtfB9SoW1rbohdkE9Z52MKac6AJzLHIsCSLTjGo/edit#gid=0"", ""Overlap!A2:A15""), A136)&gt;0)"),FALSE)</f>
        <v>0</v>
      </c>
      <c r="G136" s="5" t="str">
        <f t="shared" ca="1" si="0"/>
        <v xml:space="preserve"> </v>
      </c>
      <c r="H136" s="8" t="str">
        <f ca="1">IF(AND(C136,F136), COUNTIF(Overlap!A:A, A136), "-")</f>
        <v>-</v>
      </c>
      <c r="I136" s="6"/>
    </row>
    <row r="137" spans="1:9" x14ac:dyDescent="0.25">
      <c r="A137" s="5">
        <v>136</v>
      </c>
      <c r="B137" s="6" t="str">
        <f ca="1">IFERROR(__xludf.DUMMYFUNCTION("""COMPUTED_VALUE"""),"Nowak, A., &amp; Schünemann, H. J. Toward Evidence-Based Software Engineering.")</f>
        <v>Nowak, A., &amp; Schünemann, H. J. Toward Evidence-Based Software Engineering.</v>
      </c>
      <c r="C137" s="7" t="b">
        <f ca="1">IFERROR(__xludf.DUMMYFUNCTION("""COMPUTED_VALUE"""),FALSE)</f>
        <v>0</v>
      </c>
      <c r="D137" s="5" t="str">
        <f ca="1">IFERROR(__xludf.DUMMYFUNCTION("""COMPUTED_VALUE"""),"jfr")</f>
        <v>jfr</v>
      </c>
      <c r="E137" s="5" t="str">
        <f ca="1">IF(C137, COUNTIF(Extraction!A:A, A137), "-")</f>
        <v>-</v>
      </c>
      <c r="F137" s="7" t="b">
        <f ca="1">IFERROR(__xludf.DUMMYFUNCTION("(COUNTIF(IMPORTRANGE(""https://docs.google.com/spreadsheets/d/1XUJGjtfB9SoW1rbohdkE9Z52MKac6AJzLHIsCSLTjGo/edit#gid=0"", ""Overlap!A2:A15""), A137)&gt;0)"),FALSE)</f>
        <v>0</v>
      </c>
      <c r="G137" s="5" t="str">
        <f t="shared" ca="1" si="0"/>
        <v xml:space="preserve"> </v>
      </c>
      <c r="H137" s="8" t="str">
        <f ca="1">IF(AND(C137,F137), COUNTIF(Overlap!A:A, A137), "-")</f>
        <v>-</v>
      </c>
      <c r="I137" s="6"/>
    </row>
  </sheetData>
  <autoFilter ref="F1:F137" xr:uid="{00000000-0009-0000-0000-000000000000}"/>
  <conditionalFormatting sqref="A2:A137">
    <cfRule type="expression" dxfId="6" priority="5">
      <formula>NOT(C2)</formula>
    </cfRule>
  </conditionalFormatting>
  <conditionalFormatting sqref="B2:B137">
    <cfRule type="expression" dxfId="5" priority="4">
      <formula>NOT(C2)</formula>
    </cfRule>
  </conditionalFormatting>
  <conditionalFormatting sqref="E2:E137 H2:H137">
    <cfRule type="cellIs" dxfId="4" priority="1" operator="equal">
      <formula>"-"</formula>
    </cfRule>
    <cfRule type="cellIs" dxfId="3" priority="2" operator="equal">
      <formula>0</formula>
    </cfRule>
    <cfRule type="cellIs" dxfId="2" priority="3" operator="greaterThan">
      <formula>0</formula>
    </cfRule>
  </conditionalFormatting>
  <conditionalFormatting sqref="F2:F137">
    <cfRule type="expression" dxfId="1" priority="6">
      <formula>NOT(C2)</formula>
    </cfRule>
    <cfRule type="expression" dxfId="0" priority="7">
      <formula>AND(C2,F2)</formula>
    </cfRule>
  </conditionalFormatting>
  <dataValidations count="2">
    <dataValidation type="list" allowBlank="1" showErrorMessage="1" sqref="G2:G137" xr:uid="{00000000-0002-0000-0000-000000000000}">
      <formula1>"dfu,jfr, "</formula1>
    </dataValidation>
    <dataValidation type="list" allowBlank="1" showErrorMessage="1" sqref="D2:D137" xr:uid="{00000000-0002-0000-0000-000001000000}">
      <formula1>"dfu,jfr"</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S155"/>
  <sheetViews>
    <sheetView workbookViewId="0">
      <pane xSplit="2" ySplit="3" topLeftCell="C4" activePane="bottomRight" state="frozen"/>
      <selection pane="topRight" activeCell="C1" sqref="C1"/>
      <selection pane="bottomLeft" activeCell="A4" sqref="A4"/>
      <selection pane="bottomRight" activeCell="L31" sqref="L31"/>
    </sheetView>
  </sheetViews>
  <sheetFormatPr defaultColWidth="12.6640625" defaultRowHeight="15.75" customHeight="1" x14ac:dyDescent="0.25"/>
  <cols>
    <col min="1" max="2" width="8.88671875" customWidth="1"/>
    <col min="3" max="6" width="25.109375" customWidth="1"/>
    <col min="7" max="7" width="8.88671875" customWidth="1"/>
    <col min="8" max="8" width="16.33203125" customWidth="1"/>
    <col min="10" max="10" width="20.109375" customWidth="1"/>
    <col min="11" max="14" width="16.33203125" customWidth="1"/>
    <col min="15" max="15" width="17.6640625" customWidth="1"/>
    <col min="16" max="16" width="25.109375" customWidth="1"/>
    <col min="17" max="17" width="17.6640625" customWidth="1"/>
    <col min="18" max="18" width="25.109375" customWidth="1"/>
    <col min="19" max="19" width="50.109375" customWidth="1"/>
  </cols>
  <sheetData>
    <row r="1" spans="1:19" x14ac:dyDescent="0.25">
      <c r="A1" s="1" t="s">
        <v>9</v>
      </c>
      <c r="B1" s="4" t="s">
        <v>10</v>
      </c>
      <c r="C1" s="37" t="s">
        <v>11</v>
      </c>
      <c r="D1" s="38"/>
      <c r="E1" s="38"/>
      <c r="F1" s="38"/>
      <c r="G1" s="39" t="s">
        <v>12</v>
      </c>
      <c r="H1" s="38"/>
      <c r="I1" s="37" t="s">
        <v>13</v>
      </c>
      <c r="J1" s="38"/>
      <c r="K1" s="38"/>
      <c r="L1" s="38"/>
      <c r="M1" s="38"/>
      <c r="N1" s="38"/>
      <c r="O1" s="37" t="s">
        <v>14</v>
      </c>
      <c r="P1" s="38"/>
      <c r="Q1" s="38"/>
      <c r="R1" s="38"/>
      <c r="S1" s="2" t="s">
        <v>15</v>
      </c>
    </row>
    <row r="2" spans="1:19" x14ac:dyDescent="0.25">
      <c r="A2" s="1"/>
      <c r="B2" s="4"/>
      <c r="C2" s="37" t="s">
        <v>16</v>
      </c>
      <c r="D2" s="38"/>
      <c r="E2" s="39" t="s">
        <v>17</v>
      </c>
      <c r="F2" s="38"/>
      <c r="G2" s="40" t="s">
        <v>18</v>
      </c>
      <c r="H2" s="4" t="s">
        <v>19</v>
      </c>
      <c r="I2" s="1" t="s">
        <v>20</v>
      </c>
      <c r="J2" s="9" t="s">
        <v>21</v>
      </c>
      <c r="K2" s="37" t="s">
        <v>22</v>
      </c>
      <c r="L2" s="38"/>
      <c r="M2" s="38"/>
      <c r="N2" s="38"/>
      <c r="O2" s="37" t="s">
        <v>23</v>
      </c>
      <c r="P2" s="38"/>
      <c r="Q2" s="37" t="s">
        <v>13</v>
      </c>
      <c r="R2" s="38"/>
      <c r="S2" s="2"/>
    </row>
    <row r="3" spans="1:19" x14ac:dyDescent="0.25">
      <c r="A3" s="1"/>
      <c r="B3" s="4"/>
      <c r="C3" s="1" t="s">
        <v>24</v>
      </c>
      <c r="D3" s="10" t="s">
        <v>25</v>
      </c>
      <c r="E3" s="2" t="s">
        <v>26</v>
      </c>
      <c r="F3" s="11" t="s">
        <v>27</v>
      </c>
      <c r="G3" s="38"/>
      <c r="H3" s="4"/>
      <c r="I3" s="1"/>
      <c r="J3" s="9"/>
      <c r="K3" s="1" t="s">
        <v>28</v>
      </c>
      <c r="L3" s="1" t="s">
        <v>29</v>
      </c>
      <c r="M3" s="1" t="s">
        <v>30</v>
      </c>
      <c r="N3" s="4" t="s">
        <v>31</v>
      </c>
      <c r="O3" s="1" t="s">
        <v>32</v>
      </c>
      <c r="P3" s="10" t="s">
        <v>33</v>
      </c>
      <c r="Q3" s="1" t="s">
        <v>32</v>
      </c>
      <c r="R3" s="11" t="s">
        <v>33</v>
      </c>
      <c r="S3" s="2"/>
    </row>
    <row r="4" spans="1:19" x14ac:dyDescent="0.25">
      <c r="A4" s="5">
        <v>6</v>
      </c>
      <c r="B4" s="8" t="str">
        <f ca="1">IF(ISBLANK(A4), "", VLOOKUP(A4, Studies!A:D, 4))</f>
        <v>dfu</v>
      </c>
      <c r="C4" s="6" t="s">
        <v>34</v>
      </c>
      <c r="D4" s="12" t="s">
        <v>35</v>
      </c>
      <c r="E4" s="6" t="s">
        <v>36</v>
      </c>
      <c r="F4" s="13" t="s">
        <v>37</v>
      </c>
      <c r="G4" s="6" t="s">
        <v>38</v>
      </c>
      <c r="H4" s="8" t="s">
        <v>39</v>
      </c>
      <c r="I4" s="5" t="s">
        <v>40</v>
      </c>
      <c r="J4" s="14" t="s">
        <v>41</v>
      </c>
      <c r="K4" s="5" t="s">
        <v>42</v>
      </c>
      <c r="L4" s="5" t="s">
        <v>42</v>
      </c>
      <c r="M4" s="5" t="s">
        <v>43</v>
      </c>
      <c r="N4" s="43" t="s">
        <v>42</v>
      </c>
      <c r="O4" s="5" t="s">
        <v>44</v>
      </c>
      <c r="P4" s="14"/>
      <c r="Q4" s="5" t="s">
        <v>44</v>
      </c>
      <c r="R4" s="8"/>
      <c r="S4" s="6"/>
    </row>
    <row r="5" spans="1:19" x14ac:dyDescent="0.25">
      <c r="A5" s="5">
        <v>9</v>
      </c>
      <c r="B5" s="8" t="str">
        <f ca="1">IF(ISBLANK(A5), "", VLOOKUP(A5, Studies!A:D, 4))</f>
        <v>jfr</v>
      </c>
      <c r="C5" s="6" t="s">
        <v>45</v>
      </c>
      <c r="D5" s="12" t="s">
        <v>46</v>
      </c>
      <c r="E5" s="6" t="s">
        <v>47</v>
      </c>
      <c r="F5" s="13" t="s">
        <v>48</v>
      </c>
      <c r="G5" s="6">
        <v>105</v>
      </c>
      <c r="H5" s="8" t="s">
        <v>49</v>
      </c>
      <c r="I5" s="5" t="s">
        <v>40</v>
      </c>
      <c r="J5" s="14" t="s">
        <v>41</v>
      </c>
      <c r="K5" s="5" t="s">
        <v>42</v>
      </c>
      <c r="L5" s="5" t="s">
        <v>42</v>
      </c>
      <c r="M5" s="5" t="s">
        <v>43</v>
      </c>
      <c r="N5" s="8" t="s">
        <v>42</v>
      </c>
      <c r="O5" s="5" t="s">
        <v>50</v>
      </c>
      <c r="P5" s="15" t="s">
        <v>51</v>
      </c>
      <c r="Q5" s="5" t="s">
        <v>50</v>
      </c>
      <c r="R5" s="16" t="s">
        <v>51</v>
      </c>
      <c r="S5" s="6"/>
    </row>
    <row r="6" spans="1:19" x14ac:dyDescent="0.25">
      <c r="A6" s="5">
        <v>14</v>
      </c>
      <c r="B6" s="8" t="str">
        <f ca="1">IF(ISBLANK(A6), "", VLOOKUP(A6, Studies!A:D, 4))</f>
        <v>dfu</v>
      </c>
      <c r="C6" s="6" t="s">
        <v>52</v>
      </c>
      <c r="D6" s="12" t="s">
        <v>53</v>
      </c>
      <c r="E6" s="6" t="s">
        <v>54</v>
      </c>
      <c r="F6" s="13" t="s">
        <v>55</v>
      </c>
      <c r="G6" s="6">
        <v>21</v>
      </c>
      <c r="H6" s="8" t="s">
        <v>39</v>
      </c>
      <c r="I6" s="5" t="s">
        <v>40</v>
      </c>
      <c r="J6" s="14" t="s">
        <v>56</v>
      </c>
      <c r="K6" s="5" t="s">
        <v>43</v>
      </c>
      <c r="L6" s="5" t="s">
        <v>57</v>
      </c>
      <c r="M6" s="42" t="s">
        <v>68</v>
      </c>
      <c r="N6" s="8" t="s">
        <v>57</v>
      </c>
      <c r="O6" s="5" t="s">
        <v>44</v>
      </c>
      <c r="P6" s="14"/>
      <c r="Q6" s="5" t="s">
        <v>44</v>
      </c>
      <c r="R6" s="8"/>
      <c r="S6" s="6" t="s">
        <v>58</v>
      </c>
    </row>
    <row r="7" spans="1:19" x14ac:dyDescent="0.25">
      <c r="A7" s="5">
        <v>48</v>
      </c>
      <c r="B7" s="8" t="str">
        <f ca="1">IF(ISBLANK(A7), "", VLOOKUP(A7, Studies!A:D, 4))</f>
        <v>dfu</v>
      </c>
      <c r="C7" s="6" t="s">
        <v>52</v>
      </c>
      <c r="D7" s="12" t="s">
        <v>59</v>
      </c>
      <c r="E7" s="6" t="s">
        <v>60</v>
      </c>
      <c r="F7" s="13" t="s">
        <v>61</v>
      </c>
      <c r="G7" s="6">
        <v>18</v>
      </c>
      <c r="H7" s="8" t="s">
        <v>39</v>
      </c>
      <c r="I7" s="42" t="s">
        <v>62</v>
      </c>
      <c r="J7" s="14"/>
      <c r="K7" s="42" t="s">
        <v>43</v>
      </c>
      <c r="L7" s="42" t="s">
        <v>42</v>
      </c>
      <c r="M7" s="42" t="s">
        <v>42</v>
      </c>
      <c r="N7" s="43" t="s">
        <v>43</v>
      </c>
      <c r="O7" s="5" t="s">
        <v>44</v>
      </c>
      <c r="P7" s="14"/>
      <c r="Q7" s="5" t="s">
        <v>44</v>
      </c>
      <c r="R7" s="8"/>
      <c r="S7" s="6"/>
    </row>
    <row r="8" spans="1:19" x14ac:dyDescent="0.25">
      <c r="A8" s="5">
        <v>64</v>
      </c>
      <c r="B8" s="8" t="str">
        <f ca="1">IF(ISBLANK(A8), "", VLOOKUP(A8, Studies!A:D, 4))</f>
        <v>jfr</v>
      </c>
      <c r="C8" s="5" t="s">
        <v>63</v>
      </c>
      <c r="D8" s="12" t="s">
        <v>64</v>
      </c>
      <c r="E8" s="6" t="s">
        <v>65</v>
      </c>
      <c r="F8" s="13" t="s">
        <v>66</v>
      </c>
      <c r="G8" s="6">
        <v>14</v>
      </c>
      <c r="H8" s="8" t="s">
        <v>39</v>
      </c>
      <c r="I8" s="5" t="s">
        <v>67</v>
      </c>
      <c r="J8" s="14"/>
      <c r="K8" s="5" t="s">
        <v>68</v>
      </c>
      <c r="L8" s="5" t="s">
        <v>68</v>
      </c>
      <c r="M8" s="5" t="s">
        <v>68</v>
      </c>
      <c r="N8" s="8" t="s">
        <v>68</v>
      </c>
      <c r="O8" s="5" t="s">
        <v>69</v>
      </c>
      <c r="P8" s="15" t="s">
        <v>70</v>
      </c>
      <c r="Q8" s="5" t="s">
        <v>44</v>
      </c>
      <c r="R8" s="13"/>
      <c r="S8" s="6"/>
    </row>
    <row r="9" spans="1:19" x14ac:dyDescent="0.25">
      <c r="A9" s="5">
        <v>71</v>
      </c>
      <c r="B9" s="8" t="str">
        <f ca="1">IF(ISBLANK(A9), "", VLOOKUP(A9, Studies!A:D, 4))</f>
        <v>dfu</v>
      </c>
      <c r="C9" s="5" t="s">
        <v>71</v>
      </c>
      <c r="D9" s="12" t="s">
        <v>72</v>
      </c>
      <c r="E9" s="6" t="s">
        <v>73</v>
      </c>
      <c r="F9" s="13" t="s">
        <v>74</v>
      </c>
      <c r="G9" s="6">
        <v>24</v>
      </c>
      <c r="H9" s="8" t="s">
        <v>49</v>
      </c>
      <c r="I9" s="5" t="s">
        <v>40</v>
      </c>
      <c r="J9" s="14" t="s">
        <v>75</v>
      </c>
      <c r="K9" s="5" t="s">
        <v>43</v>
      </c>
      <c r="L9" s="5" t="s">
        <v>43</v>
      </c>
      <c r="M9" s="5" t="s">
        <v>57</v>
      </c>
      <c r="N9" s="8" t="s">
        <v>43</v>
      </c>
      <c r="O9" s="5" t="s">
        <v>44</v>
      </c>
      <c r="P9" s="12"/>
      <c r="Q9" s="5" t="s">
        <v>44</v>
      </c>
      <c r="R9" s="13"/>
      <c r="S9" s="6"/>
    </row>
    <row r="10" spans="1:19" x14ac:dyDescent="0.25">
      <c r="A10" s="5">
        <v>77</v>
      </c>
      <c r="B10" s="8" t="str">
        <f ca="1">IF(ISBLANK(A10), "", VLOOKUP(A10, Studies!A:D, 4))</f>
        <v>jfr</v>
      </c>
      <c r="C10" s="5" t="s">
        <v>76</v>
      </c>
      <c r="D10" s="12" t="s">
        <v>77</v>
      </c>
      <c r="E10" s="6" t="s">
        <v>78</v>
      </c>
      <c r="F10" s="13" t="s">
        <v>79</v>
      </c>
      <c r="G10" s="6">
        <v>14</v>
      </c>
      <c r="H10" s="8" t="s">
        <v>80</v>
      </c>
      <c r="I10" s="5" t="s">
        <v>62</v>
      </c>
      <c r="J10" s="14"/>
      <c r="K10" s="5" t="s">
        <v>43</v>
      </c>
      <c r="L10" s="5" t="s">
        <v>43</v>
      </c>
      <c r="M10" s="5" t="s">
        <v>43</v>
      </c>
      <c r="N10" s="8" t="s">
        <v>43</v>
      </c>
      <c r="O10" s="5" t="s">
        <v>69</v>
      </c>
      <c r="P10" s="15" t="s">
        <v>81</v>
      </c>
      <c r="Q10" s="5" t="s">
        <v>44</v>
      </c>
      <c r="R10" s="13"/>
      <c r="S10" s="6" t="s">
        <v>82</v>
      </c>
    </row>
    <row r="11" spans="1:19" x14ac:dyDescent="0.25">
      <c r="A11" s="5">
        <v>116</v>
      </c>
      <c r="B11" s="8" t="str">
        <f ca="1">IF(ISBLANK(A11), "", VLOOKUP(A11, Studies!A:D, 4))</f>
        <v>jfr</v>
      </c>
      <c r="C11" s="5" t="s">
        <v>83</v>
      </c>
      <c r="D11" s="12" t="s">
        <v>84</v>
      </c>
      <c r="E11" s="6" t="s">
        <v>85</v>
      </c>
      <c r="F11" s="13" t="s">
        <v>86</v>
      </c>
      <c r="G11" s="6">
        <v>18</v>
      </c>
      <c r="H11" s="8" t="s">
        <v>39</v>
      </c>
      <c r="I11" s="5" t="s">
        <v>67</v>
      </c>
      <c r="J11" s="14"/>
      <c r="K11" s="5" t="s">
        <v>68</v>
      </c>
      <c r="L11" s="5" t="s">
        <v>68</v>
      </c>
      <c r="M11" s="5" t="s">
        <v>42</v>
      </c>
      <c r="N11" s="8" t="s">
        <v>43</v>
      </c>
      <c r="O11" s="5" t="s">
        <v>87</v>
      </c>
      <c r="P11" s="15" t="s">
        <v>88</v>
      </c>
      <c r="Q11" s="5" t="s">
        <v>87</v>
      </c>
      <c r="R11" s="16" t="s">
        <v>88</v>
      </c>
      <c r="S11" s="6" t="s">
        <v>89</v>
      </c>
    </row>
    <row r="12" spans="1:19" x14ac:dyDescent="0.25">
      <c r="A12" s="5">
        <v>116</v>
      </c>
      <c r="B12" s="8" t="str">
        <f ca="1">IF(ISBLANK(A12), "", VLOOKUP(A12, Studies!A:D, 4))</f>
        <v>jfr</v>
      </c>
      <c r="C12" s="5" t="s">
        <v>83</v>
      </c>
      <c r="D12" s="12" t="s">
        <v>84</v>
      </c>
      <c r="E12" s="6" t="s">
        <v>85</v>
      </c>
      <c r="F12" s="13" t="s">
        <v>86</v>
      </c>
      <c r="G12" s="6">
        <v>10</v>
      </c>
      <c r="H12" s="8" t="s">
        <v>39</v>
      </c>
      <c r="I12" s="5" t="s">
        <v>67</v>
      </c>
      <c r="J12" s="14"/>
      <c r="K12" s="5" t="s">
        <v>68</v>
      </c>
      <c r="L12" s="5" t="s">
        <v>68</v>
      </c>
      <c r="M12" s="5" t="s">
        <v>42</v>
      </c>
      <c r="N12" s="8" t="s">
        <v>43</v>
      </c>
      <c r="O12" s="5" t="s">
        <v>87</v>
      </c>
      <c r="P12" s="15" t="s">
        <v>88</v>
      </c>
      <c r="Q12" s="5" t="s">
        <v>87</v>
      </c>
      <c r="R12" s="16" t="s">
        <v>88</v>
      </c>
      <c r="S12" s="6"/>
    </row>
    <row r="13" spans="1:19" x14ac:dyDescent="0.25">
      <c r="A13" s="5">
        <v>116</v>
      </c>
      <c r="B13" s="8" t="str">
        <f ca="1">IF(ISBLANK(A13), "", VLOOKUP(A13, Studies!A:D, 4))</f>
        <v>jfr</v>
      </c>
      <c r="C13" s="5" t="s">
        <v>83</v>
      </c>
      <c r="D13" s="12" t="s">
        <v>84</v>
      </c>
      <c r="E13" s="6" t="s">
        <v>85</v>
      </c>
      <c r="F13" s="13" t="s">
        <v>86</v>
      </c>
      <c r="G13" s="6">
        <v>11</v>
      </c>
      <c r="H13" s="8" t="s">
        <v>39</v>
      </c>
      <c r="I13" s="5" t="s">
        <v>67</v>
      </c>
      <c r="J13" s="14"/>
      <c r="K13" s="5" t="s">
        <v>68</v>
      </c>
      <c r="L13" s="5" t="s">
        <v>68</v>
      </c>
      <c r="M13" s="5" t="s">
        <v>42</v>
      </c>
      <c r="N13" s="8" t="s">
        <v>43</v>
      </c>
      <c r="O13" s="5" t="s">
        <v>87</v>
      </c>
      <c r="P13" s="15" t="s">
        <v>88</v>
      </c>
      <c r="Q13" s="5" t="s">
        <v>87</v>
      </c>
      <c r="R13" s="17" t="s">
        <v>88</v>
      </c>
      <c r="S13" s="6"/>
    </row>
    <row r="14" spans="1:19" x14ac:dyDescent="0.25">
      <c r="A14" s="5">
        <v>7</v>
      </c>
      <c r="B14" s="8" t="str">
        <f ca="1">IF(ISBLANK(A14), "", VLOOKUP(A14, Studies!A:D, 4))</f>
        <v>jfr</v>
      </c>
      <c r="D14" s="12"/>
      <c r="E14" s="6"/>
      <c r="F14" s="13"/>
      <c r="G14" s="6">
        <v>62</v>
      </c>
      <c r="H14" s="8" t="s">
        <v>39</v>
      </c>
      <c r="I14" s="5"/>
      <c r="J14" s="14"/>
      <c r="K14" s="5"/>
      <c r="L14" s="5"/>
      <c r="M14" s="5"/>
      <c r="N14" s="8"/>
      <c r="O14" s="5"/>
      <c r="P14" s="12"/>
      <c r="Q14" s="5"/>
      <c r="R14" s="13"/>
      <c r="S14" s="6"/>
    </row>
    <row r="15" spans="1:19" x14ac:dyDescent="0.25">
      <c r="B15" s="8" t="str">
        <f>IF(ISBLANK(A15), "", VLOOKUP(A15, Studies!A:D, 4))</f>
        <v/>
      </c>
      <c r="D15" s="12"/>
      <c r="E15" s="6"/>
      <c r="F15" s="13"/>
      <c r="G15" s="6"/>
      <c r="H15" s="8"/>
      <c r="I15" s="5"/>
      <c r="J15" s="14"/>
      <c r="K15" s="5"/>
      <c r="L15" s="5"/>
      <c r="M15" s="5"/>
      <c r="N15" s="8"/>
      <c r="O15" s="5"/>
      <c r="P15" s="12"/>
      <c r="Q15" s="5"/>
      <c r="R15" s="13"/>
      <c r="S15" s="6"/>
    </row>
    <row r="16" spans="1:19" x14ac:dyDescent="0.25">
      <c r="B16" s="8" t="str">
        <f>IF(ISBLANK(A16), "", VLOOKUP(A16, Studies!A:D, 4))</f>
        <v/>
      </c>
      <c r="D16" s="12"/>
      <c r="E16" s="6"/>
      <c r="F16" s="13"/>
      <c r="G16" s="6"/>
      <c r="H16" s="8"/>
      <c r="I16" s="5"/>
      <c r="J16" s="14"/>
      <c r="K16" s="5"/>
      <c r="L16" s="5"/>
      <c r="M16" s="5"/>
      <c r="N16" s="8"/>
      <c r="O16" s="5"/>
      <c r="P16" s="12"/>
      <c r="Q16" s="5"/>
      <c r="R16" s="13"/>
      <c r="S16" s="6"/>
    </row>
    <row r="17" spans="2:19" x14ac:dyDescent="0.25">
      <c r="B17" s="8" t="str">
        <f>IF(ISBLANK(A17), "", VLOOKUP(A17, Studies!A:D, 4))</f>
        <v/>
      </c>
      <c r="D17" s="12"/>
      <c r="E17" s="6"/>
      <c r="F17" s="13"/>
      <c r="G17" s="6"/>
      <c r="H17" s="8"/>
      <c r="I17" s="5"/>
      <c r="J17" s="14"/>
      <c r="K17" s="5"/>
      <c r="L17" s="5"/>
      <c r="M17" s="5"/>
      <c r="N17" s="8"/>
      <c r="O17" s="5"/>
      <c r="P17" s="12"/>
      <c r="Q17" s="5"/>
      <c r="R17" s="13"/>
      <c r="S17" s="6"/>
    </row>
    <row r="18" spans="2:19" x14ac:dyDescent="0.25">
      <c r="B18" s="8" t="str">
        <f>IF(ISBLANK(A18), "", VLOOKUP(A18, Studies!A:D, 4))</f>
        <v/>
      </c>
      <c r="D18" s="12"/>
      <c r="E18" s="6"/>
      <c r="F18" s="13"/>
      <c r="G18" s="6"/>
      <c r="H18" s="8"/>
      <c r="I18" s="5"/>
      <c r="J18" s="14"/>
      <c r="K18" s="5"/>
      <c r="L18" s="5"/>
      <c r="M18" s="5"/>
      <c r="N18" s="8"/>
      <c r="O18" s="5"/>
      <c r="P18" s="12"/>
      <c r="Q18" s="5"/>
      <c r="R18" s="13"/>
      <c r="S18" s="6"/>
    </row>
    <row r="19" spans="2:19" x14ac:dyDescent="0.25">
      <c r="B19" s="8" t="str">
        <f>IF(ISBLANK(A19), "", VLOOKUP(A19, Studies!A:D, 4))</f>
        <v/>
      </c>
      <c r="D19" s="12"/>
      <c r="E19" s="6"/>
      <c r="F19" s="13"/>
      <c r="G19" s="6"/>
      <c r="H19" s="8"/>
      <c r="I19" s="5"/>
      <c r="J19" s="14"/>
      <c r="K19" s="5"/>
      <c r="L19" s="5"/>
      <c r="M19" s="5"/>
      <c r="N19" s="8"/>
      <c r="O19" s="5"/>
      <c r="P19" s="12"/>
      <c r="Q19" s="5"/>
      <c r="R19" s="13"/>
      <c r="S19" s="6"/>
    </row>
    <row r="20" spans="2:19" x14ac:dyDescent="0.25">
      <c r="B20" s="8" t="str">
        <f>IF(ISBLANK(A20), "", VLOOKUP(A20, Studies!A:D, 4))</f>
        <v/>
      </c>
      <c r="D20" s="12"/>
      <c r="E20" s="6"/>
      <c r="F20" s="13"/>
      <c r="G20" s="6"/>
      <c r="H20" s="8"/>
      <c r="I20" s="5"/>
      <c r="J20" s="14"/>
      <c r="K20" s="5"/>
      <c r="L20" s="5"/>
      <c r="M20" s="5"/>
      <c r="N20" s="8"/>
      <c r="O20" s="5"/>
      <c r="P20" s="12"/>
      <c r="Q20" s="5"/>
      <c r="R20" s="13"/>
      <c r="S20" s="6"/>
    </row>
    <row r="21" spans="2:19" x14ac:dyDescent="0.25">
      <c r="B21" s="8" t="str">
        <f>IF(ISBLANK(A21), "", VLOOKUP(A21, Studies!A:D, 4))</f>
        <v/>
      </c>
      <c r="D21" s="12"/>
      <c r="E21" s="6"/>
      <c r="F21" s="13"/>
      <c r="G21" s="6"/>
      <c r="H21" s="8"/>
      <c r="I21" s="5"/>
      <c r="J21" s="14"/>
      <c r="K21" s="5"/>
      <c r="L21" s="5"/>
      <c r="M21" s="5"/>
      <c r="N21" s="8"/>
      <c r="O21" s="5"/>
      <c r="P21" s="12"/>
      <c r="Q21" s="5"/>
      <c r="R21" s="13"/>
      <c r="S21" s="6"/>
    </row>
    <row r="22" spans="2:19" x14ac:dyDescent="0.25">
      <c r="B22" s="8" t="str">
        <f>IF(ISBLANK(A22), "", VLOOKUP(A22, Studies!A:D, 4))</f>
        <v/>
      </c>
      <c r="D22" s="12"/>
      <c r="E22" s="6"/>
      <c r="F22" s="13"/>
      <c r="G22" s="6"/>
      <c r="H22" s="8"/>
      <c r="I22" s="5"/>
      <c r="J22" s="14"/>
      <c r="K22" s="5"/>
      <c r="L22" s="5"/>
      <c r="M22" s="5"/>
      <c r="N22" s="8"/>
      <c r="O22" s="5"/>
      <c r="P22" s="12"/>
      <c r="Q22" s="5"/>
      <c r="R22" s="13"/>
      <c r="S22" s="6"/>
    </row>
    <row r="23" spans="2:19" x14ac:dyDescent="0.25">
      <c r="B23" s="8" t="str">
        <f>IF(ISBLANK(A23), "", VLOOKUP(A23, Studies!A:D, 4))</f>
        <v/>
      </c>
      <c r="D23" s="12"/>
      <c r="E23" s="6"/>
      <c r="F23" s="13"/>
      <c r="G23" s="6"/>
      <c r="H23" s="8"/>
      <c r="I23" s="5"/>
      <c r="J23" s="14"/>
      <c r="K23" s="5"/>
      <c r="L23" s="5"/>
      <c r="M23" s="5"/>
      <c r="N23" s="8"/>
      <c r="O23" s="5"/>
      <c r="P23" s="12"/>
      <c r="Q23" s="5"/>
      <c r="R23" s="13"/>
      <c r="S23" s="6"/>
    </row>
    <row r="24" spans="2:19" x14ac:dyDescent="0.25">
      <c r="B24" s="8" t="str">
        <f>IF(ISBLANK(A24), "", VLOOKUP(A24, Studies!A:D, 4))</f>
        <v/>
      </c>
      <c r="D24" s="12"/>
      <c r="E24" s="6"/>
      <c r="F24" s="13"/>
      <c r="G24" s="6"/>
      <c r="H24" s="8"/>
      <c r="I24" s="5"/>
      <c r="J24" s="14"/>
      <c r="K24" s="5"/>
      <c r="L24" s="5"/>
      <c r="M24" s="5"/>
      <c r="N24" s="8"/>
      <c r="O24" s="5"/>
      <c r="P24" s="12"/>
      <c r="Q24" s="5"/>
      <c r="R24" s="13"/>
      <c r="S24" s="6"/>
    </row>
    <row r="25" spans="2:19" x14ac:dyDescent="0.25">
      <c r="B25" s="8" t="str">
        <f>IF(ISBLANK(A25), "", VLOOKUP(A25, Studies!A:D, 4))</f>
        <v/>
      </c>
      <c r="D25" s="12"/>
      <c r="E25" s="6"/>
      <c r="F25" s="13"/>
      <c r="G25" s="6"/>
      <c r="H25" s="8"/>
      <c r="I25" s="5"/>
      <c r="J25" s="14"/>
      <c r="K25" s="5"/>
      <c r="L25" s="5"/>
      <c r="M25" s="5"/>
      <c r="N25" s="8"/>
      <c r="O25" s="5"/>
      <c r="P25" s="12"/>
      <c r="Q25" s="5"/>
      <c r="R25" s="13"/>
      <c r="S25" s="6"/>
    </row>
    <row r="26" spans="2:19" x14ac:dyDescent="0.25">
      <c r="B26" s="8" t="str">
        <f>IF(ISBLANK(A26), "", VLOOKUP(A26, Studies!A:D, 4))</f>
        <v/>
      </c>
      <c r="D26" s="12"/>
      <c r="E26" s="6"/>
      <c r="F26" s="13"/>
      <c r="G26" s="6"/>
      <c r="H26" s="8"/>
      <c r="I26" s="5"/>
      <c r="J26" s="14"/>
      <c r="K26" s="5"/>
      <c r="L26" s="5"/>
      <c r="M26" s="5"/>
      <c r="N26" s="8"/>
      <c r="O26" s="5"/>
      <c r="P26" s="12"/>
      <c r="Q26" s="5"/>
      <c r="R26" s="13"/>
      <c r="S26" s="6"/>
    </row>
    <row r="27" spans="2:19" x14ac:dyDescent="0.25">
      <c r="B27" s="8" t="str">
        <f>IF(ISBLANK(A27), "", VLOOKUP(A27, Studies!A:D, 4))</f>
        <v/>
      </c>
      <c r="D27" s="12"/>
      <c r="E27" s="6"/>
      <c r="F27" s="13"/>
      <c r="G27" s="6"/>
      <c r="H27" s="8"/>
      <c r="I27" s="5"/>
      <c r="J27" s="14"/>
      <c r="K27" s="5"/>
      <c r="L27" s="5"/>
      <c r="M27" s="5"/>
      <c r="N27" s="8"/>
      <c r="O27" s="5"/>
      <c r="P27" s="12"/>
      <c r="Q27" s="5"/>
      <c r="R27" s="13"/>
      <c r="S27" s="6"/>
    </row>
    <row r="28" spans="2:19" x14ac:dyDescent="0.25">
      <c r="B28" s="8" t="str">
        <f>IF(ISBLANK(A28), "", VLOOKUP(A28, Studies!A:D, 4))</f>
        <v/>
      </c>
      <c r="D28" s="12"/>
      <c r="E28" s="6"/>
      <c r="F28" s="13"/>
      <c r="G28" s="6"/>
      <c r="H28" s="8"/>
      <c r="I28" s="5"/>
      <c r="J28" s="14"/>
      <c r="K28" s="5"/>
      <c r="L28" s="5"/>
      <c r="M28" s="5"/>
      <c r="N28" s="8"/>
      <c r="O28" s="5"/>
      <c r="P28" s="12"/>
      <c r="Q28" s="5"/>
      <c r="R28" s="13"/>
      <c r="S28" s="6"/>
    </row>
    <row r="29" spans="2:19" x14ac:dyDescent="0.25">
      <c r="B29" s="8" t="str">
        <f>IF(ISBLANK(A29), "", VLOOKUP(A29, Studies!A:D, 4))</f>
        <v/>
      </c>
      <c r="D29" s="12"/>
      <c r="E29" s="6"/>
      <c r="F29" s="13"/>
      <c r="G29" s="6"/>
      <c r="H29" s="8"/>
      <c r="I29" s="5"/>
      <c r="J29" s="14"/>
      <c r="K29" s="5"/>
      <c r="L29" s="5"/>
      <c r="M29" s="5"/>
      <c r="N29" s="8"/>
      <c r="O29" s="5"/>
      <c r="P29" s="12"/>
      <c r="Q29" s="5"/>
      <c r="R29" s="13"/>
      <c r="S29" s="6"/>
    </row>
    <row r="30" spans="2:19" x14ac:dyDescent="0.25">
      <c r="B30" s="8" t="str">
        <f>IF(ISBLANK(A30), "", VLOOKUP(A30, Studies!A:D, 4))</f>
        <v/>
      </c>
      <c r="D30" s="12"/>
      <c r="E30" s="6"/>
      <c r="F30" s="13"/>
      <c r="G30" s="6"/>
      <c r="H30" s="8"/>
      <c r="I30" s="5"/>
      <c r="J30" s="14"/>
      <c r="K30" s="5"/>
      <c r="L30" s="5"/>
      <c r="M30" s="5"/>
      <c r="N30" s="8"/>
      <c r="O30" s="5"/>
      <c r="P30" s="12"/>
      <c r="Q30" s="5"/>
      <c r="R30" s="13"/>
      <c r="S30" s="6"/>
    </row>
    <row r="31" spans="2:19" x14ac:dyDescent="0.25">
      <c r="B31" s="8" t="str">
        <f>IF(ISBLANK(A31), "", VLOOKUP(A31, Studies!A:D, 4))</f>
        <v/>
      </c>
      <c r="D31" s="12"/>
      <c r="E31" s="6"/>
      <c r="F31" s="13"/>
      <c r="G31" s="6"/>
      <c r="H31" s="8"/>
      <c r="I31" s="5"/>
      <c r="J31" s="14"/>
      <c r="K31" s="5"/>
      <c r="L31" s="5"/>
      <c r="M31" s="5"/>
      <c r="N31" s="8"/>
      <c r="O31" s="5"/>
      <c r="P31" s="12"/>
      <c r="Q31" s="5"/>
      <c r="R31" s="13"/>
      <c r="S31" s="6"/>
    </row>
    <row r="32" spans="2:19" x14ac:dyDescent="0.25">
      <c r="B32" s="8" t="str">
        <f>IF(ISBLANK(A32), "", VLOOKUP(A32, Studies!A:D, 4))</f>
        <v/>
      </c>
      <c r="D32" s="12"/>
      <c r="E32" s="6"/>
      <c r="F32" s="13"/>
      <c r="G32" s="6"/>
      <c r="H32" s="8"/>
      <c r="I32" s="5"/>
      <c r="J32" s="14"/>
      <c r="K32" s="5"/>
      <c r="L32" s="5"/>
      <c r="M32" s="5"/>
      <c r="N32" s="8"/>
      <c r="O32" s="5"/>
      <c r="P32" s="12"/>
      <c r="Q32" s="5"/>
      <c r="R32" s="13"/>
      <c r="S32" s="6"/>
    </row>
    <row r="33" spans="2:19" x14ac:dyDescent="0.25">
      <c r="B33" s="8" t="str">
        <f>IF(ISBLANK(A33), "", VLOOKUP(A33, Studies!A:D, 4))</f>
        <v/>
      </c>
      <c r="D33" s="12"/>
      <c r="E33" s="6"/>
      <c r="F33" s="13"/>
      <c r="G33" s="6"/>
      <c r="H33" s="8"/>
      <c r="I33" s="5"/>
      <c r="J33" s="14"/>
      <c r="K33" s="5"/>
      <c r="L33" s="5"/>
      <c r="M33" s="5"/>
      <c r="N33" s="8"/>
      <c r="O33" s="5"/>
      <c r="P33" s="12"/>
      <c r="Q33" s="5"/>
      <c r="R33" s="13"/>
      <c r="S33" s="6"/>
    </row>
    <row r="34" spans="2:19" x14ac:dyDescent="0.25">
      <c r="B34" s="8" t="str">
        <f>IF(ISBLANK(A34), "", VLOOKUP(A34, Studies!A:D, 4))</f>
        <v/>
      </c>
      <c r="D34" s="12"/>
      <c r="E34" s="6"/>
      <c r="F34" s="13"/>
      <c r="G34" s="6"/>
      <c r="H34" s="8"/>
      <c r="I34" s="5"/>
      <c r="J34" s="14"/>
      <c r="K34" s="5"/>
      <c r="L34" s="5"/>
      <c r="M34" s="5"/>
      <c r="N34" s="8"/>
      <c r="O34" s="5"/>
      <c r="P34" s="12"/>
      <c r="Q34" s="5"/>
      <c r="R34" s="13"/>
      <c r="S34" s="6"/>
    </row>
    <row r="35" spans="2:19" x14ac:dyDescent="0.25">
      <c r="B35" s="8" t="str">
        <f>IF(ISBLANK(A35), "", VLOOKUP(A35, Studies!A:D, 4))</f>
        <v/>
      </c>
      <c r="D35" s="12"/>
      <c r="E35" s="6"/>
      <c r="F35" s="13"/>
      <c r="G35" s="6"/>
      <c r="H35" s="8"/>
      <c r="I35" s="5"/>
      <c r="J35" s="14"/>
      <c r="K35" s="5"/>
      <c r="L35" s="5"/>
      <c r="M35" s="5"/>
      <c r="N35" s="8"/>
      <c r="O35" s="5"/>
      <c r="P35" s="12"/>
      <c r="Q35" s="5"/>
      <c r="R35" s="13"/>
      <c r="S35" s="6"/>
    </row>
    <row r="36" spans="2:19" x14ac:dyDescent="0.25">
      <c r="B36" s="8" t="str">
        <f>IF(ISBLANK(A36), "", VLOOKUP(A36, Studies!A:D, 4))</f>
        <v/>
      </c>
      <c r="D36" s="12"/>
      <c r="E36" s="6"/>
      <c r="F36" s="13"/>
      <c r="G36" s="6"/>
      <c r="H36" s="8"/>
      <c r="I36" s="5"/>
      <c r="J36" s="14"/>
      <c r="K36" s="5"/>
      <c r="L36" s="5"/>
      <c r="M36" s="5"/>
      <c r="N36" s="8"/>
      <c r="O36" s="5"/>
      <c r="P36" s="12"/>
      <c r="Q36" s="5"/>
      <c r="R36" s="13"/>
      <c r="S36" s="6"/>
    </row>
    <row r="37" spans="2:19" x14ac:dyDescent="0.25">
      <c r="B37" s="8" t="str">
        <f>IF(ISBLANK(A37), "", VLOOKUP(A37, Studies!A:D, 4))</f>
        <v/>
      </c>
      <c r="D37" s="12"/>
      <c r="E37" s="6"/>
      <c r="F37" s="13"/>
      <c r="G37" s="6"/>
      <c r="H37" s="8"/>
      <c r="I37" s="5"/>
      <c r="J37" s="14"/>
      <c r="K37" s="5"/>
      <c r="L37" s="5"/>
      <c r="M37" s="5"/>
      <c r="N37" s="8"/>
      <c r="O37" s="5"/>
      <c r="P37" s="12"/>
      <c r="Q37" s="5"/>
      <c r="R37" s="13"/>
      <c r="S37" s="6"/>
    </row>
    <row r="38" spans="2:19" x14ac:dyDescent="0.25">
      <c r="B38" s="8" t="str">
        <f>IF(ISBLANK(A38), "", VLOOKUP(A38, Studies!A:D, 4))</f>
        <v/>
      </c>
      <c r="D38" s="12"/>
      <c r="E38" s="6"/>
      <c r="F38" s="13"/>
      <c r="G38" s="6"/>
      <c r="H38" s="8"/>
      <c r="I38" s="5"/>
      <c r="J38" s="14"/>
      <c r="K38" s="5"/>
      <c r="L38" s="5"/>
      <c r="M38" s="5"/>
      <c r="N38" s="8"/>
      <c r="O38" s="5"/>
      <c r="P38" s="12"/>
      <c r="Q38" s="5"/>
      <c r="R38" s="13"/>
      <c r="S38" s="6"/>
    </row>
    <row r="39" spans="2:19" x14ac:dyDescent="0.25">
      <c r="B39" s="8" t="str">
        <f>IF(ISBLANK(A39), "", VLOOKUP(A39, Studies!A:D, 4))</f>
        <v/>
      </c>
      <c r="D39" s="12"/>
      <c r="E39" s="6"/>
      <c r="F39" s="13"/>
      <c r="G39" s="6"/>
      <c r="H39" s="8"/>
      <c r="I39" s="5"/>
      <c r="J39" s="14"/>
      <c r="K39" s="5"/>
      <c r="L39" s="5"/>
      <c r="M39" s="5"/>
      <c r="N39" s="8"/>
      <c r="O39" s="5"/>
      <c r="P39" s="12"/>
      <c r="Q39" s="5"/>
      <c r="R39" s="13"/>
      <c r="S39" s="6"/>
    </row>
    <row r="40" spans="2:19" x14ac:dyDescent="0.25">
      <c r="B40" s="8" t="str">
        <f>IF(ISBLANK(A40), "", VLOOKUP(A40, Studies!A:D, 4))</f>
        <v/>
      </c>
      <c r="D40" s="12"/>
      <c r="E40" s="6"/>
      <c r="F40" s="13"/>
      <c r="G40" s="6"/>
      <c r="H40" s="8"/>
      <c r="I40" s="5"/>
      <c r="J40" s="14"/>
      <c r="K40" s="5"/>
      <c r="L40" s="5"/>
      <c r="M40" s="5"/>
      <c r="N40" s="8"/>
      <c r="O40" s="5"/>
      <c r="P40" s="12"/>
      <c r="Q40" s="5"/>
      <c r="R40" s="13"/>
      <c r="S40" s="6"/>
    </row>
    <row r="41" spans="2:19" x14ac:dyDescent="0.25">
      <c r="B41" s="8" t="str">
        <f>IF(ISBLANK(A41), "", VLOOKUP(A41, Studies!A:D, 4))</f>
        <v/>
      </c>
      <c r="D41" s="12"/>
      <c r="E41" s="6"/>
      <c r="F41" s="13"/>
      <c r="G41" s="6"/>
      <c r="H41" s="8"/>
      <c r="I41" s="5"/>
      <c r="J41" s="14"/>
      <c r="K41" s="5"/>
      <c r="L41" s="5"/>
      <c r="M41" s="5"/>
      <c r="N41" s="8"/>
      <c r="O41" s="5"/>
      <c r="P41" s="12"/>
      <c r="Q41" s="5"/>
      <c r="R41" s="13"/>
      <c r="S41" s="6"/>
    </row>
    <row r="42" spans="2:19" x14ac:dyDescent="0.25">
      <c r="B42" s="8" t="str">
        <f>IF(ISBLANK(A42), "", VLOOKUP(A42, Studies!A:D, 4))</f>
        <v/>
      </c>
      <c r="D42" s="12"/>
      <c r="E42" s="6"/>
      <c r="F42" s="13"/>
      <c r="G42" s="6"/>
      <c r="H42" s="8"/>
      <c r="I42" s="5"/>
      <c r="J42" s="14"/>
      <c r="K42" s="5"/>
      <c r="L42" s="5"/>
      <c r="M42" s="5"/>
      <c r="N42" s="8"/>
      <c r="O42" s="5"/>
      <c r="P42" s="12"/>
      <c r="Q42" s="5"/>
      <c r="R42" s="13"/>
      <c r="S42" s="6"/>
    </row>
    <row r="43" spans="2:19" x14ac:dyDescent="0.25">
      <c r="B43" s="8" t="str">
        <f>IF(ISBLANK(A43), "", VLOOKUP(A43, Studies!A:D, 4))</f>
        <v/>
      </c>
      <c r="D43" s="12"/>
      <c r="E43" s="6"/>
      <c r="F43" s="13"/>
      <c r="G43" s="6"/>
      <c r="H43" s="8"/>
      <c r="I43" s="5"/>
      <c r="J43" s="14"/>
      <c r="K43" s="5"/>
      <c r="L43" s="5"/>
      <c r="M43" s="5"/>
      <c r="N43" s="8"/>
      <c r="O43" s="5"/>
      <c r="P43" s="12"/>
      <c r="Q43" s="5"/>
      <c r="R43" s="13"/>
      <c r="S43" s="6"/>
    </row>
    <row r="44" spans="2:19" x14ac:dyDescent="0.25">
      <c r="B44" s="8" t="str">
        <f>IF(ISBLANK(A44), "", VLOOKUP(A44, Studies!A:D, 4))</f>
        <v/>
      </c>
      <c r="D44" s="12"/>
      <c r="E44" s="6"/>
      <c r="F44" s="13"/>
      <c r="G44" s="6"/>
      <c r="H44" s="8"/>
      <c r="I44" s="5"/>
      <c r="J44" s="14"/>
      <c r="K44" s="5"/>
      <c r="L44" s="5"/>
      <c r="M44" s="5"/>
      <c r="N44" s="8"/>
      <c r="O44" s="5"/>
      <c r="P44" s="12"/>
      <c r="Q44" s="5"/>
      <c r="R44" s="13"/>
      <c r="S44" s="6"/>
    </row>
    <row r="45" spans="2:19" x14ac:dyDescent="0.25">
      <c r="B45" s="8" t="str">
        <f>IF(ISBLANK(A45), "", VLOOKUP(A45, Studies!A:D, 4))</f>
        <v/>
      </c>
      <c r="D45" s="12"/>
      <c r="E45" s="6"/>
      <c r="F45" s="13"/>
      <c r="G45" s="6"/>
      <c r="H45" s="8"/>
      <c r="I45" s="5"/>
      <c r="J45" s="14"/>
      <c r="K45" s="5"/>
      <c r="L45" s="5"/>
      <c r="M45" s="5"/>
      <c r="N45" s="8"/>
      <c r="O45" s="5"/>
      <c r="P45" s="12"/>
      <c r="Q45" s="5"/>
      <c r="R45" s="13"/>
      <c r="S45" s="6"/>
    </row>
    <row r="46" spans="2:19" x14ac:dyDescent="0.25">
      <c r="B46" s="8" t="str">
        <f>IF(ISBLANK(A46), "", VLOOKUP(A46, Studies!A:D, 4))</f>
        <v/>
      </c>
      <c r="D46" s="12"/>
      <c r="E46" s="6"/>
      <c r="F46" s="13"/>
      <c r="G46" s="6"/>
      <c r="H46" s="8"/>
      <c r="I46" s="5"/>
      <c r="J46" s="14"/>
      <c r="K46" s="5"/>
      <c r="L46" s="5"/>
      <c r="M46" s="5"/>
      <c r="N46" s="8"/>
      <c r="O46" s="5"/>
      <c r="P46" s="12"/>
      <c r="Q46" s="5"/>
      <c r="R46" s="13"/>
      <c r="S46" s="6"/>
    </row>
    <row r="47" spans="2:19" x14ac:dyDescent="0.25">
      <c r="B47" s="8" t="str">
        <f>IF(ISBLANK(A47), "", VLOOKUP(A47, Studies!A:D, 4))</f>
        <v/>
      </c>
      <c r="D47" s="12"/>
      <c r="E47" s="6"/>
      <c r="F47" s="13"/>
      <c r="G47" s="6"/>
      <c r="H47" s="8"/>
      <c r="I47" s="5"/>
      <c r="J47" s="14"/>
      <c r="K47" s="5"/>
      <c r="L47" s="5"/>
      <c r="M47" s="5"/>
      <c r="N47" s="8"/>
      <c r="O47" s="5"/>
      <c r="P47" s="12"/>
      <c r="Q47" s="5"/>
      <c r="R47" s="13"/>
      <c r="S47" s="6"/>
    </row>
    <row r="48" spans="2:19" x14ac:dyDescent="0.25">
      <c r="B48" s="8" t="str">
        <f>IF(ISBLANK(A48), "", VLOOKUP(A48, Studies!A:D, 4))</f>
        <v/>
      </c>
      <c r="D48" s="12"/>
      <c r="E48" s="6"/>
      <c r="F48" s="13"/>
      <c r="G48" s="6"/>
      <c r="H48" s="8"/>
      <c r="I48" s="5"/>
      <c r="J48" s="14"/>
      <c r="K48" s="5"/>
      <c r="L48" s="5"/>
      <c r="M48" s="5"/>
      <c r="N48" s="8"/>
      <c r="O48" s="5"/>
      <c r="P48" s="12"/>
      <c r="Q48" s="5"/>
      <c r="R48" s="13"/>
      <c r="S48" s="6"/>
    </row>
    <row r="49" spans="2:19" x14ac:dyDescent="0.25">
      <c r="B49" s="8" t="str">
        <f>IF(ISBLANK(A49), "", VLOOKUP(A49, Studies!A:D, 4))</f>
        <v/>
      </c>
      <c r="D49" s="12"/>
      <c r="E49" s="6"/>
      <c r="F49" s="13"/>
      <c r="G49" s="6"/>
      <c r="H49" s="8"/>
      <c r="I49" s="5"/>
      <c r="J49" s="14"/>
      <c r="K49" s="5"/>
      <c r="L49" s="5"/>
      <c r="M49" s="5"/>
      <c r="N49" s="8"/>
      <c r="O49" s="5"/>
      <c r="P49" s="12"/>
      <c r="Q49" s="5"/>
      <c r="R49" s="13"/>
      <c r="S49" s="6"/>
    </row>
    <row r="50" spans="2:19" x14ac:dyDescent="0.25">
      <c r="B50" s="8" t="str">
        <f>IF(ISBLANK(A50), "", VLOOKUP(A50, Studies!A:D, 4))</f>
        <v/>
      </c>
      <c r="D50" s="12"/>
      <c r="E50" s="6"/>
      <c r="F50" s="13"/>
      <c r="G50" s="6"/>
      <c r="H50" s="8"/>
      <c r="I50" s="5"/>
      <c r="J50" s="14"/>
      <c r="K50" s="5"/>
      <c r="L50" s="5"/>
      <c r="M50" s="5"/>
      <c r="N50" s="8"/>
      <c r="O50" s="5"/>
      <c r="P50" s="12"/>
      <c r="Q50" s="5"/>
      <c r="R50" s="13"/>
      <c r="S50" s="6"/>
    </row>
    <row r="51" spans="2:19" x14ac:dyDescent="0.25">
      <c r="B51" s="8" t="str">
        <f>IF(ISBLANK(A51), "", VLOOKUP(A51, Studies!A:D, 4))</f>
        <v/>
      </c>
      <c r="D51" s="12"/>
      <c r="E51" s="6"/>
      <c r="F51" s="13"/>
      <c r="G51" s="6"/>
      <c r="H51" s="8"/>
      <c r="I51" s="5"/>
      <c r="J51" s="14"/>
      <c r="K51" s="5"/>
      <c r="L51" s="5"/>
      <c r="M51" s="5"/>
      <c r="N51" s="8"/>
      <c r="O51" s="5"/>
      <c r="P51" s="12"/>
      <c r="Q51" s="5"/>
      <c r="R51" s="13"/>
      <c r="S51" s="6"/>
    </row>
    <row r="52" spans="2:19" x14ac:dyDescent="0.25">
      <c r="B52" s="8" t="str">
        <f>IF(ISBLANK(A52), "", VLOOKUP(A52, Studies!A:D, 4))</f>
        <v/>
      </c>
      <c r="D52" s="12"/>
      <c r="E52" s="6"/>
      <c r="F52" s="13"/>
      <c r="G52" s="6"/>
      <c r="H52" s="8"/>
      <c r="I52" s="5"/>
      <c r="J52" s="14"/>
      <c r="K52" s="5"/>
      <c r="L52" s="5"/>
      <c r="M52" s="5"/>
      <c r="N52" s="8"/>
      <c r="O52" s="5"/>
      <c r="P52" s="12"/>
      <c r="Q52" s="5"/>
      <c r="R52" s="13"/>
      <c r="S52" s="6"/>
    </row>
    <row r="53" spans="2:19" x14ac:dyDescent="0.25">
      <c r="B53" s="8" t="str">
        <f>IF(ISBLANK(A53), "", VLOOKUP(A53, Studies!A:D, 4))</f>
        <v/>
      </c>
      <c r="D53" s="12"/>
      <c r="E53" s="6"/>
      <c r="F53" s="13"/>
      <c r="G53" s="6"/>
      <c r="H53" s="8"/>
      <c r="I53" s="5"/>
      <c r="J53" s="14"/>
      <c r="K53" s="5"/>
      <c r="L53" s="5"/>
      <c r="M53" s="5"/>
      <c r="N53" s="8"/>
      <c r="O53" s="5"/>
      <c r="P53" s="12"/>
      <c r="Q53" s="5"/>
      <c r="R53" s="13"/>
      <c r="S53" s="6"/>
    </row>
    <row r="54" spans="2:19" x14ac:dyDescent="0.25">
      <c r="B54" s="8" t="str">
        <f>IF(ISBLANK(A54), "", VLOOKUP(A54, Studies!A:D, 4))</f>
        <v/>
      </c>
      <c r="D54" s="12"/>
      <c r="E54" s="6"/>
      <c r="F54" s="13"/>
      <c r="G54" s="6"/>
      <c r="H54" s="8"/>
      <c r="I54" s="5"/>
      <c r="J54" s="14"/>
      <c r="K54" s="5"/>
      <c r="L54" s="5"/>
      <c r="M54" s="5"/>
      <c r="N54" s="8"/>
      <c r="O54" s="5"/>
      <c r="P54" s="12"/>
      <c r="Q54" s="5"/>
      <c r="R54" s="13"/>
      <c r="S54" s="6"/>
    </row>
    <row r="55" spans="2:19" x14ac:dyDescent="0.25">
      <c r="B55" s="8" t="str">
        <f>IF(ISBLANK(A55), "", VLOOKUP(A55, Studies!A:D, 4))</f>
        <v/>
      </c>
      <c r="D55" s="12"/>
      <c r="E55" s="6"/>
      <c r="F55" s="13"/>
      <c r="G55" s="6"/>
      <c r="H55" s="8"/>
      <c r="I55" s="5"/>
      <c r="J55" s="14"/>
      <c r="K55" s="5"/>
      <c r="L55" s="5"/>
      <c r="M55" s="5"/>
      <c r="N55" s="8"/>
      <c r="O55" s="5"/>
      <c r="P55" s="12"/>
      <c r="Q55" s="5"/>
      <c r="R55" s="13"/>
      <c r="S55" s="6"/>
    </row>
    <row r="56" spans="2:19" x14ac:dyDescent="0.25">
      <c r="B56" s="8" t="str">
        <f>IF(ISBLANK(A56), "", VLOOKUP(A56, Studies!A:D, 4))</f>
        <v/>
      </c>
      <c r="D56" s="12"/>
      <c r="E56" s="6"/>
      <c r="F56" s="13"/>
      <c r="G56" s="6"/>
      <c r="H56" s="8"/>
      <c r="I56" s="5"/>
      <c r="J56" s="14"/>
      <c r="K56" s="5"/>
      <c r="L56" s="5"/>
      <c r="M56" s="5"/>
      <c r="N56" s="8"/>
      <c r="O56" s="5"/>
      <c r="P56" s="12"/>
      <c r="Q56" s="5"/>
      <c r="R56" s="13"/>
      <c r="S56" s="6"/>
    </row>
    <row r="57" spans="2:19" x14ac:dyDescent="0.25">
      <c r="B57" s="8" t="str">
        <f>IF(ISBLANK(A57), "", VLOOKUP(A57, Studies!A:D, 4))</f>
        <v/>
      </c>
      <c r="D57" s="12"/>
      <c r="E57" s="6"/>
      <c r="F57" s="13"/>
      <c r="G57" s="6"/>
      <c r="H57" s="8"/>
      <c r="I57" s="5"/>
      <c r="J57" s="14"/>
      <c r="K57" s="5"/>
      <c r="L57" s="5"/>
      <c r="M57" s="5"/>
      <c r="N57" s="8"/>
      <c r="O57" s="5"/>
      <c r="P57" s="12"/>
      <c r="Q57" s="5"/>
      <c r="R57" s="13"/>
      <c r="S57" s="6"/>
    </row>
    <row r="58" spans="2:19" x14ac:dyDescent="0.25">
      <c r="B58" s="8" t="str">
        <f>IF(ISBLANK(A58), "", VLOOKUP(A58, Studies!A:D, 4))</f>
        <v/>
      </c>
      <c r="D58" s="12"/>
      <c r="E58" s="6"/>
      <c r="F58" s="13"/>
      <c r="G58" s="6"/>
      <c r="H58" s="8"/>
      <c r="I58" s="5"/>
      <c r="J58" s="14"/>
      <c r="K58" s="5"/>
      <c r="L58" s="5"/>
      <c r="M58" s="5"/>
      <c r="N58" s="8"/>
      <c r="O58" s="5"/>
      <c r="P58" s="12"/>
      <c r="Q58" s="5"/>
      <c r="R58" s="13"/>
      <c r="S58" s="6"/>
    </row>
    <row r="59" spans="2:19" x14ac:dyDescent="0.25">
      <c r="B59" s="8" t="str">
        <f>IF(ISBLANK(A59), "", VLOOKUP(A59, Studies!A:D, 4))</f>
        <v/>
      </c>
      <c r="D59" s="12"/>
      <c r="E59" s="6"/>
      <c r="F59" s="13"/>
      <c r="G59" s="6"/>
      <c r="H59" s="8"/>
      <c r="I59" s="5"/>
      <c r="J59" s="14"/>
      <c r="K59" s="5"/>
      <c r="L59" s="5"/>
      <c r="M59" s="5"/>
      <c r="N59" s="8"/>
      <c r="O59" s="5"/>
      <c r="P59" s="12"/>
      <c r="Q59" s="5"/>
      <c r="R59" s="13"/>
      <c r="S59" s="6"/>
    </row>
    <row r="60" spans="2:19" x14ac:dyDescent="0.25">
      <c r="B60" s="8" t="str">
        <f>IF(ISBLANK(A60), "", VLOOKUP(A60, Studies!A:D, 4))</f>
        <v/>
      </c>
      <c r="D60" s="12"/>
      <c r="E60" s="6"/>
      <c r="F60" s="13"/>
      <c r="G60" s="6"/>
      <c r="H60" s="8"/>
      <c r="I60" s="5"/>
      <c r="J60" s="14"/>
      <c r="K60" s="5"/>
      <c r="L60" s="5"/>
      <c r="M60" s="5"/>
      <c r="N60" s="8"/>
      <c r="O60" s="5"/>
      <c r="P60" s="12"/>
      <c r="Q60" s="5"/>
      <c r="R60" s="13"/>
      <c r="S60" s="6"/>
    </row>
    <row r="61" spans="2:19" x14ac:dyDescent="0.25">
      <c r="B61" s="8" t="str">
        <f>IF(ISBLANK(A61), "", VLOOKUP(A61, Studies!A:D, 4))</f>
        <v/>
      </c>
      <c r="D61" s="12"/>
      <c r="E61" s="6"/>
      <c r="F61" s="13"/>
      <c r="G61" s="6"/>
      <c r="H61" s="8"/>
      <c r="I61" s="5"/>
      <c r="J61" s="14"/>
      <c r="K61" s="5"/>
      <c r="L61" s="5"/>
      <c r="M61" s="5"/>
      <c r="N61" s="8"/>
      <c r="O61" s="5"/>
      <c r="P61" s="12"/>
      <c r="Q61" s="5"/>
      <c r="R61" s="13"/>
      <c r="S61" s="6"/>
    </row>
    <row r="62" spans="2:19" x14ac:dyDescent="0.25">
      <c r="B62" s="8" t="str">
        <f>IF(ISBLANK(A62), "", VLOOKUP(A62, Studies!A:D, 4))</f>
        <v/>
      </c>
      <c r="D62" s="12"/>
      <c r="E62" s="6"/>
      <c r="F62" s="13"/>
      <c r="G62" s="6"/>
      <c r="H62" s="8"/>
      <c r="I62" s="5"/>
      <c r="J62" s="14"/>
      <c r="K62" s="5"/>
      <c r="L62" s="5"/>
      <c r="M62" s="5"/>
      <c r="N62" s="8"/>
      <c r="O62" s="5"/>
      <c r="P62" s="12"/>
      <c r="Q62" s="5"/>
      <c r="R62" s="13"/>
      <c r="S62" s="6"/>
    </row>
    <row r="63" spans="2:19" x14ac:dyDescent="0.25">
      <c r="B63" s="8" t="str">
        <f>IF(ISBLANK(A63), "", VLOOKUP(A63, Studies!A:D, 4))</f>
        <v/>
      </c>
      <c r="D63" s="12"/>
      <c r="E63" s="6"/>
      <c r="F63" s="13"/>
      <c r="G63" s="6"/>
      <c r="H63" s="8"/>
      <c r="I63" s="5"/>
      <c r="J63" s="14"/>
      <c r="K63" s="5"/>
      <c r="L63" s="5"/>
      <c r="M63" s="5"/>
      <c r="N63" s="8"/>
      <c r="O63" s="5"/>
      <c r="P63" s="12"/>
      <c r="Q63" s="5"/>
      <c r="R63" s="13"/>
      <c r="S63" s="6"/>
    </row>
    <row r="64" spans="2:19" x14ac:dyDescent="0.25">
      <c r="B64" s="8" t="str">
        <f>IF(ISBLANK(A64), "", VLOOKUP(A64, Studies!A:D, 4))</f>
        <v/>
      </c>
      <c r="D64" s="12"/>
      <c r="E64" s="6"/>
      <c r="F64" s="13"/>
      <c r="G64" s="6"/>
      <c r="H64" s="8"/>
      <c r="I64" s="5"/>
      <c r="J64" s="14"/>
      <c r="K64" s="5"/>
      <c r="L64" s="5"/>
      <c r="M64" s="5"/>
      <c r="N64" s="8"/>
      <c r="O64" s="5"/>
      <c r="P64" s="12"/>
      <c r="Q64" s="5"/>
      <c r="R64" s="13"/>
      <c r="S64" s="6"/>
    </row>
    <row r="65" spans="2:19" x14ac:dyDescent="0.25">
      <c r="B65" s="8" t="str">
        <f>IF(ISBLANK(A65), "", VLOOKUP(A65, Studies!A:D, 4))</f>
        <v/>
      </c>
      <c r="D65" s="12"/>
      <c r="E65" s="6"/>
      <c r="F65" s="13"/>
      <c r="G65" s="6"/>
      <c r="H65" s="8"/>
      <c r="I65" s="5"/>
      <c r="J65" s="14"/>
      <c r="K65" s="5"/>
      <c r="L65" s="5"/>
      <c r="M65" s="5"/>
      <c r="N65" s="8"/>
      <c r="O65" s="5"/>
      <c r="P65" s="12"/>
      <c r="Q65" s="5"/>
      <c r="R65" s="13"/>
      <c r="S65" s="6"/>
    </row>
    <row r="66" spans="2:19" x14ac:dyDescent="0.25">
      <c r="B66" s="8" t="str">
        <f>IF(ISBLANK(A66), "", VLOOKUP(A66, Studies!A:D, 4))</f>
        <v/>
      </c>
      <c r="D66" s="12"/>
      <c r="E66" s="6"/>
      <c r="F66" s="13"/>
      <c r="G66" s="6"/>
      <c r="H66" s="8"/>
      <c r="I66" s="5"/>
      <c r="J66" s="14"/>
      <c r="K66" s="5"/>
      <c r="L66" s="5"/>
      <c r="M66" s="5"/>
      <c r="N66" s="8"/>
      <c r="O66" s="5"/>
      <c r="P66" s="12"/>
      <c r="Q66" s="5"/>
      <c r="R66" s="13"/>
      <c r="S66" s="6"/>
    </row>
    <row r="67" spans="2:19" x14ac:dyDescent="0.25">
      <c r="B67" s="8" t="str">
        <f>IF(ISBLANK(A67), "", VLOOKUP(A67, Studies!A:D, 4))</f>
        <v/>
      </c>
      <c r="D67" s="12"/>
      <c r="E67" s="6"/>
      <c r="F67" s="13"/>
      <c r="G67" s="6"/>
      <c r="H67" s="8"/>
      <c r="I67" s="5"/>
      <c r="J67" s="14"/>
      <c r="K67" s="5"/>
      <c r="L67" s="5"/>
      <c r="M67" s="5"/>
      <c r="N67" s="8"/>
      <c r="O67" s="5"/>
      <c r="P67" s="12"/>
      <c r="Q67" s="5"/>
      <c r="R67" s="13"/>
      <c r="S67" s="6"/>
    </row>
    <row r="68" spans="2:19" x14ac:dyDescent="0.25">
      <c r="B68" s="8" t="str">
        <f>IF(ISBLANK(A68), "", VLOOKUP(A68, Studies!A:D, 4))</f>
        <v/>
      </c>
      <c r="D68" s="12"/>
      <c r="E68" s="6"/>
      <c r="F68" s="13"/>
      <c r="G68" s="6"/>
      <c r="H68" s="8"/>
      <c r="I68" s="5"/>
      <c r="J68" s="14"/>
      <c r="K68" s="5"/>
      <c r="L68" s="5"/>
      <c r="M68" s="5"/>
      <c r="N68" s="8"/>
      <c r="O68" s="5"/>
      <c r="P68" s="12"/>
      <c r="Q68" s="5"/>
      <c r="R68" s="13"/>
      <c r="S68" s="6"/>
    </row>
    <row r="69" spans="2:19" x14ac:dyDescent="0.25">
      <c r="B69" s="8" t="str">
        <f>IF(ISBLANK(A69), "", VLOOKUP(A69, Studies!A:D, 4))</f>
        <v/>
      </c>
      <c r="D69" s="12"/>
      <c r="E69" s="6"/>
      <c r="F69" s="13"/>
      <c r="G69" s="6"/>
      <c r="H69" s="8"/>
      <c r="I69" s="5"/>
      <c r="J69" s="14"/>
      <c r="K69" s="5"/>
      <c r="L69" s="5"/>
      <c r="M69" s="5"/>
      <c r="N69" s="8"/>
      <c r="O69" s="5"/>
      <c r="P69" s="12"/>
      <c r="Q69" s="5"/>
      <c r="R69" s="13"/>
      <c r="S69" s="6"/>
    </row>
    <row r="70" spans="2:19" x14ac:dyDescent="0.25">
      <c r="B70" s="8" t="str">
        <f>IF(ISBLANK(A70), "", VLOOKUP(A70, Studies!A:D, 4))</f>
        <v/>
      </c>
      <c r="D70" s="12"/>
      <c r="E70" s="6"/>
      <c r="F70" s="13"/>
      <c r="G70" s="6"/>
      <c r="H70" s="8"/>
      <c r="I70" s="5"/>
      <c r="J70" s="14"/>
      <c r="K70" s="5"/>
      <c r="L70" s="5"/>
      <c r="M70" s="5"/>
      <c r="N70" s="8"/>
      <c r="O70" s="5"/>
      <c r="P70" s="12"/>
      <c r="Q70" s="5"/>
      <c r="R70" s="13"/>
      <c r="S70" s="6"/>
    </row>
    <row r="71" spans="2:19" x14ac:dyDescent="0.25">
      <c r="B71" s="8" t="str">
        <f>IF(ISBLANK(A71), "", VLOOKUP(A71, Studies!A:D, 4))</f>
        <v/>
      </c>
      <c r="D71" s="12"/>
      <c r="E71" s="6"/>
      <c r="F71" s="13"/>
      <c r="G71" s="6"/>
      <c r="H71" s="8"/>
      <c r="I71" s="5"/>
      <c r="J71" s="14"/>
      <c r="K71" s="5"/>
      <c r="L71" s="5"/>
      <c r="M71" s="5"/>
      <c r="N71" s="8"/>
      <c r="O71" s="5"/>
      <c r="P71" s="12"/>
      <c r="Q71" s="5"/>
      <c r="R71" s="13"/>
      <c r="S71" s="6"/>
    </row>
    <row r="72" spans="2:19" x14ac:dyDescent="0.25">
      <c r="B72" s="8" t="str">
        <f>IF(ISBLANK(A72), "", VLOOKUP(A72, Studies!A:D, 4))</f>
        <v/>
      </c>
      <c r="D72" s="12"/>
      <c r="E72" s="6"/>
      <c r="F72" s="13"/>
      <c r="G72" s="6"/>
      <c r="H72" s="8"/>
      <c r="I72" s="5"/>
      <c r="J72" s="14"/>
      <c r="K72" s="5"/>
      <c r="L72" s="5"/>
      <c r="M72" s="5"/>
      <c r="N72" s="8"/>
      <c r="O72" s="5"/>
      <c r="P72" s="12"/>
      <c r="Q72" s="5"/>
      <c r="R72" s="13"/>
      <c r="S72" s="6"/>
    </row>
    <row r="73" spans="2:19" x14ac:dyDescent="0.25">
      <c r="B73" s="8" t="str">
        <f>IF(ISBLANK(A73), "", VLOOKUP(A73, Studies!A:D, 4))</f>
        <v/>
      </c>
      <c r="D73" s="12"/>
      <c r="E73" s="6"/>
      <c r="F73" s="13"/>
      <c r="G73" s="6"/>
      <c r="H73" s="8"/>
      <c r="I73" s="5"/>
      <c r="J73" s="14"/>
      <c r="K73" s="5"/>
      <c r="L73" s="5"/>
      <c r="M73" s="5"/>
      <c r="N73" s="8"/>
      <c r="O73" s="5"/>
      <c r="P73" s="12"/>
      <c r="Q73" s="5"/>
      <c r="R73" s="13"/>
      <c r="S73" s="6"/>
    </row>
    <row r="74" spans="2:19" x14ac:dyDescent="0.25">
      <c r="B74" s="8" t="str">
        <f>IF(ISBLANK(A74), "", VLOOKUP(A74, Studies!A:D, 4))</f>
        <v/>
      </c>
      <c r="D74" s="12"/>
      <c r="E74" s="6"/>
      <c r="F74" s="13"/>
      <c r="G74" s="6"/>
      <c r="H74" s="8"/>
      <c r="I74" s="5"/>
      <c r="J74" s="14"/>
      <c r="K74" s="5"/>
      <c r="L74" s="5"/>
      <c r="M74" s="5"/>
      <c r="N74" s="8"/>
      <c r="O74" s="5"/>
      <c r="P74" s="12"/>
      <c r="Q74" s="5"/>
      <c r="R74" s="13"/>
      <c r="S74" s="6"/>
    </row>
    <row r="75" spans="2:19" x14ac:dyDescent="0.25">
      <c r="B75" s="8" t="str">
        <f>IF(ISBLANK(A75), "", VLOOKUP(A75, Studies!A:D, 4))</f>
        <v/>
      </c>
      <c r="D75" s="12"/>
      <c r="E75" s="6"/>
      <c r="F75" s="13"/>
      <c r="G75" s="6"/>
      <c r="H75" s="8"/>
      <c r="I75" s="5"/>
      <c r="J75" s="14"/>
      <c r="K75" s="5"/>
      <c r="L75" s="5"/>
      <c r="M75" s="5"/>
      <c r="N75" s="8"/>
      <c r="O75" s="5"/>
      <c r="P75" s="12"/>
      <c r="Q75" s="5"/>
      <c r="R75" s="13"/>
      <c r="S75" s="6"/>
    </row>
    <row r="76" spans="2:19" x14ac:dyDescent="0.25">
      <c r="B76" s="8" t="str">
        <f>IF(ISBLANK(A76), "", VLOOKUP(A76, Studies!A:D, 4))</f>
        <v/>
      </c>
      <c r="D76" s="12"/>
      <c r="E76" s="6"/>
      <c r="F76" s="13"/>
      <c r="G76" s="6"/>
      <c r="H76" s="8"/>
      <c r="I76" s="5"/>
      <c r="J76" s="14"/>
      <c r="K76" s="5"/>
      <c r="L76" s="5"/>
      <c r="M76" s="5"/>
      <c r="N76" s="8"/>
      <c r="O76" s="5"/>
      <c r="P76" s="12"/>
      <c r="Q76" s="5"/>
      <c r="R76" s="13"/>
      <c r="S76" s="6"/>
    </row>
    <row r="77" spans="2:19" x14ac:dyDescent="0.25">
      <c r="B77" s="8" t="str">
        <f>IF(ISBLANK(A77), "", VLOOKUP(A77, Studies!A:D, 4))</f>
        <v/>
      </c>
      <c r="D77" s="12"/>
      <c r="E77" s="6"/>
      <c r="F77" s="13"/>
      <c r="G77" s="6"/>
      <c r="H77" s="8"/>
      <c r="I77" s="5"/>
      <c r="J77" s="14"/>
      <c r="K77" s="5"/>
      <c r="L77" s="5"/>
      <c r="M77" s="5"/>
      <c r="N77" s="8"/>
      <c r="O77" s="5"/>
      <c r="P77" s="12"/>
      <c r="Q77" s="5"/>
      <c r="R77" s="13"/>
      <c r="S77" s="6"/>
    </row>
    <row r="78" spans="2:19" x14ac:dyDescent="0.25">
      <c r="B78" s="8" t="str">
        <f>IF(ISBLANK(A78), "", VLOOKUP(A78, Studies!A:D, 4))</f>
        <v/>
      </c>
      <c r="D78" s="12"/>
      <c r="E78" s="6"/>
      <c r="F78" s="13"/>
      <c r="G78" s="6"/>
      <c r="H78" s="8"/>
      <c r="I78" s="5"/>
      <c r="J78" s="14"/>
      <c r="K78" s="5"/>
      <c r="L78" s="5"/>
      <c r="M78" s="5"/>
      <c r="N78" s="8"/>
      <c r="O78" s="5"/>
      <c r="P78" s="12"/>
      <c r="Q78" s="5"/>
      <c r="R78" s="13"/>
      <c r="S78" s="6"/>
    </row>
    <row r="79" spans="2:19" x14ac:dyDescent="0.25">
      <c r="B79" s="8" t="str">
        <f>IF(ISBLANK(A79), "", VLOOKUP(A79, Studies!A:D, 4))</f>
        <v/>
      </c>
      <c r="D79" s="12"/>
      <c r="E79" s="6"/>
      <c r="F79" s="13"/>
      <c r="G79" s="6"/>
      <c r="H79" s="8"/>
      <c r="I79" s="5"/>
      <c r="J79" s="14"/>
      <c r="K79" s="5"/>
      <c r="L79" s="5"/>
      <c r="M79" s="5"/>
      <c r="N79" s="8"/>
      <c r="O79" s="5"/>
      <c r="P79" s="12"/>
      <c r="Q79" s="5"/>
      <c r="R79" s="13"/>
      <c r="S79" s="6"/>
    </row>
    <row r="80" spans="2:19" x14ac:dyDescent="0.25">
      <c r="B80" s="8" t="str">
        <f>IF(ISBLANK(A80), "", VLOOKUP(A80, Studies!A:D, 4))</f>
        <v/>
      </c>
      <c r="D80" s="12"/>
      <c r="E80" s="6"/>
      <c r="F80" s="13"/>
      <c r="G80" s="6"/>
      <c r="H80" s="8"/>
      <c r="I80" s="5"/>
      <c r="J80" s="14"/>
      <c r="K80" s="5"/>
      <c r="L80" s="5"/>
      <c r="M80" s="5"/>
      <c r="N80" s="8"/>
      <c r="O80" s="5"/>
      <c r="P80" s="12"/>
      <c r="Q80" s="5"/>
      <c r="R80" s="13"/>
      <c r="S80" s="6"/>
    </row>
    <row r="81" spans="2:19" x14ac:dyDescent="0.25">
      <c r="B81" s="8" t="str">
        <f>IF(ISBLANK(A81), "", VLOOKUP(A81, Studies!A:D, 4))</f>
        <v/>
      </c>
      <c r="D81" s="12"/>
      <c r="E81" s="6"/>
      <c r="F81" s="13"/>
      <c r="G81" s="6"/>
      <c r="H81" s="8"/>
      <c r="I81" s="5"/>
      <c r="J81" s="14"/>
      <c r="K81" s="5"/>
      <c r="L81" s="5"/>
      <c r="M81" s="5"/>
      <c r="N81" s="8"/>
      <c r="O81" s="5"/>
      <c r="P81" s="12"/>
      <c r="Q81" s="5"/>
      <c r="R81" s="13"/>
      <c r="S81" s="6"/>
    </row>
    <row r="82" spans="2:19" x14ac:dyDescent="0.25">
      <c r="B82" s="8" t="str">
        <f>IF(ISBLANK(A82), "", VLOOKUP(A82, Studies!A:D, 4))</f>
        <v/>
      </c>
      <c r="D82" s="12"/>
      <c r="E82" s="6"/>
      <c r="F82" s="13"/>
      <c r="G82" s="6"/>
      <c r="H82" s="8"/>
      <c r="I82" s="5"/>
      <c r="J82" s="14"/>
      <c r="K82" s="5"/>
      <c r="L82" s="5"/>
      <c r="M82" s="5"/>
      <c r="N82" s="8"/>
      <c r="O82" s="5"/>
      <c r="P82" s="12"/>
      <c r="Q82" s="5"/>
      <c r="R82" s="13"/>
      <c r="S82" s="6"/>
    </row>
    <row r="83" spans="2:19" x14ac:dyDescent="0.25">
      <c r="B83" s="8" t="str">
        <f>IF(ISBLANK(A83), "", VLOOKUP(A83, Studies!A:D, 4))</f>
        <v/>
      </c>
      <c r="D83" s="12"/>
      <c r="E83" s="6"/>
      <c r="F83" s="13"/>
      <c r="G83" s="6"/>
      <c r="H83" s="8"/>
      <c r="I83" s="5"/>
      <c r="J83" s="14"/>
      <c r="K83" s="5"/>
      <c r="L83" s="5"/>
      <c r="M83" s="5"/>
      <c r="N83" s="8"/>
      <c r="O83" s="5"/>
      <c r="P83" s="12"/>
      <c r="Q83" s="5"/>
      <c r="R83" s="13"/>
      <c r="S83" s="6"/>
    </row>
    <row r="84" spans="2:19" x14ac:dyDescent="0.25">
      <c r="B84" s="8" t="str">
        <f>IF(ISBLANK(A84), "", VLOOKUP(A84, Studies!A:D, 4))</f>
        <v/>
      </c>
      <c r="D84" s="12"/>
      <c r="E84" s="6"/>
      <c r="F84" s="13"/>
      <c r="G84" s="6"/>
      <c r="H84" s="8"/>
      <c r="I84" s="5"/>
      <c r="J84" s="14"/>
      <c r="K84" s="5"/>
      <c r="L84" s="5"/>
      <c r="M84" s="5"/>
      <c r="N84" s="8"/>
      <c r="O84" s="5"/>
      <c r="P84" s="12"/>
      <c r="Q84" s="5"/>
      <c r="R84" s="13"/>
      <c r="S84" s="6"/>
    </row>
    <row r="85" spans="2:19" x14ac:dyDescent="0.25">
      <c r="B85" s="8" t="str">
        <f>IF(ISBLANK(A85), "", VLOOKUP(A85, Studies!A:D, 4))</f>
        <v/>
      </c>
      <c r="D85" s="12"/>
      <c r="E85" s="6"/>
      <c r="F85" s="13"/>
      <c r="G85" s="6"/>
      <c r="H85" s="8"/>
      <c r="I85" s="5"/>
      <c r="J85" s="14"/>
      <c r="K85" s="5"/>
      <c r="L85" s="5"/>
      <c r="M85" s="5"/>
      <c r="N85" s="8"/>
      <c r="O85" s="5"/>
      <c r="P85" s="12"/>
      <c r="Q85" s="5"/>
      <c r="R85" s="13"/>
      <c r="S85" s="6"/>
    </row>
    <row r="86" spans="2:19" x14ac:dyDescent="0.25">
      <c r="B86" s="8" t="str">
        <f>IF(ISBLANK(A86), "", VLOOKUP(A86, Studies!A:D, 4))</f>
        <v/>
      </c>
      <c r="D86" s="12"/>
      <c r="E86" s="6"/>
      <c r="F86" s="13"/>
      <c r="G86" s="6"/>
      <c r="H86" s="8"/>
      <c r="I86" s="5"/>
      <c r="J86" s="14"/>
      <c r="K86" s="5"/>
      <c r="L86" s="5"/>
      <c r="M86" s="5"/>
      <c r="N86" s="8"/>
      <c r="O86" s="5"/>
      <c r="P86" s="12"/>
      <c r="Q86" s="5"/>
      <c r="R86" s="13"/>
      <c r="S86" s="6"/>
    </row>
    <row r="87" spans="2:19" x14ac:dyDescent="0.25">
      <c r="B87" s="8" t="str">
        <f>IF(ISBLANK(A87), "", VLOOKUP(A87, Studies!A:D, 4))</f>
        <v/>
      </c>
      <c r="D87" s="12"/>
      <c r="E87" s="6"/>
      <c r="F87" s="13"/>
      <c r="G87" s="6"/>
      <c r="H87" s="8"/>
      <c r="I87" s="5"/>
      <c r="J87" s="14"/>
      <c r="K87" s="5"/>
      <c r="L87" s="5"/>
      <c r="M87" s="5"/>
      <c r="N87" s="8"/>
      <c r="O87" s="5"/>
      <c r="P87" s="12"/>
      <c r="Q87" s="5"/>
      <c r="R87" s="13"/>
      <c r="S87" s="6"/>
    </row>
    <row r="88" spans="2:19" x14ac:dyDescent="0.25">
      <c r="B88" s="8" t="str">
        <f>IF(ISBLANK(A88), "", VLOOKUP(A88, Studies!A:D, 4))</f>
        <v/>
      </c>
      <c r="D88" s="12"/>
      <c r="E88" s="6"/>
      <c r="F88" s="13"/>
      <c r="G88" s="6"/>
      <c r="H88" s="8"/>
      <c r="I88" s="5"/>
      <c r="J88" s="14"/>
      <c r="K88" s="5"/>
      <c r="L88" s="5"/>
      <c r="M88" s="5"/>
      <c r="N88" s="8"/>
      <c r="O88" s="5"/>
      <c r="P88" s="12"/>
      <c r="Q88" s="5"/>
      <c r="R88" s="13"/>
      <c r="S88" s="6"/>
    </row>
    <row r="89" spans="2:19" x14ac:dyDescent="0.25">
      <c r="B89" s="8" t="str">
        <f>IF(ISBLANK(A89), "", VLOOKUP(A89, Studies!A:D, 4))</f>
        <v/>
      </c>
      <c r="D89" s="12"/>
      <c r="E89" s="6"/>
      <c r="F89" s="13"/>
      <c r="G89" s="6"/>
      <c r="H89" s="8"/>
      <c r="I89" s="5"/>
      <c r="J89" s="14"/>
      <c r="K89" s="5"/>
      <c r="L89" s="5"/>
      <c r="M89" s="5"/>
      <c r="N89" s="8"/>
      <c r="O89" s="5"/>
      <c r="P89" s="12"/>
      <c r="Q89" s="5"/>
      <c r="R89" s="13"/>
      <c r="S89" s="6"/>
    </row>
    <row r="90" spans="2:19" x14ac:dyDescent="0.25">
      <c r="B90" s="8" t="str">
        <f>IF(ISBLANK(A90), "", VLOOKUP(A90, Studies!A:D, 4))</f>
        <v/>
      </c>
      <c r="D90" s="12"/>
      <c r="E90" s="6"/>
      <c r="F90" s="13"/>
      <c r="G90" s="6"/>
      <c r="H90" s="8"/>
      <c r="I90" s="5"/>
      <c r="J90" s="14"/>
      <c r="K90" s="5"/>
      <c r="L90" s="5"/>
      <c r="M90" s="5"/>
      <c r="N90" s="8"/>
      <c r="O90" s="5"/>
      <c r="P90" s="12"/>
      <c r="Q90" s="5"/>
      <c r="R90" s="13"/>
      <c r="S90" s="6"/>
    </row>
    <row r="91" spans="2:19" x14ac:dyDescent="0.25">
      <c r="B91" s="8" t="str">
        <f>IF(ISBLANK(A91), "", VLOOKUP(A91, Studies!A:D, 4))</f>
        <v/>
      </c>
      <c r="D91" s="12"/>
      <c r="E91" s="6"/>
      <c r="F91" s="13"/>
      <c r="G91" s="6"/>
      <c r="H91" s="8"/>
      <c r="I91" s="5"/>
      <c r="J91" s="14"/>
      <c r="K91" s="5"/>
      <c r="L91" s="5"/>
      <c r="M91" s="5"/>
      <c r="N91" s="8"/>
      <c r="O91" s="5"/>
      <c r="P91" s="12"/>
      <c r="Q91" s="5"/>
      <c r="R91" s="13"/>
      <c r="S91" s="6"/>
    </row>
    <row r="92" spans="2:19" x14ac:dyDescent="0.25">
      <c r="B92" s="8" t="str">
        <f>IF(ISBLANK(A92), "", VLOOKUP(A92, Studies!A:D, 4))</f>
        <v/>
      </c>
      <c r="D92" s="12"/>
      <c r="E92" s="6"/>
      <c r="F92" s="13"/>
      <c r="G92" s="6"/>
      <c r="H92" s="8"/>
      <c r="I92" s="5"/>
      <c r="J92" s="14"/>
      <c r="K92" s="5"/>
      <c r="L92" s="5"/>
      <c r="M92" s="5"/>
      <c r="N92" s="8"/>
      <c r="O92" s="5"/>
      <c r="P92" s="12"/>
      <c r="Q92" s="5"/>
      <c r="R92" s="13"/>
      <c r="S92" s="6"/>
    </row>
    <row r="93" spans="2:19" x14ac:dyDescent="0.25">
      <c r="B93" s="8" t="str">
        <f>IF(ISBLANK(A93), "", VLOOKUP(A93, Studies!A:D, 4))</f>
        <v/>
      </c>
      <c r="D93" s="12"/>
      <c r="E93" s="6"/>
      <c r="F93" s="13"/>
      <c r="G93" s="6"/>
      <c r="H93" s="8"/>
      <c r="I93" s="5"/>
      <c r="J93" s="14"/>
      <c r="K93" s="5"/>
      <c r="L93" s="5"/>
      <c r="M93" s="5"/>
      <c r="N93" s="8"/>
      <c r="O93" s="5"/>
      <c r="P93" s="12"/>
      <c r="Q93" s="5"/>
      <c r="R93" s="13"/>
      <c r="S93" s="6"/>
    </row>
    <row r="94" spans="2:19" x14ac:dyDescent="0.25">
      <c r="B94" s="8" t="str">
        <f>IF(ISBLANK(A94), "", VLOOKUP(A94, Studies!A:D, 4))</f>
        <v/>
      </c>
      <c r="D94" s="12"/>
      <c r="E94" s="6"/>
      <c r="F94" s="13"/>
      <c r="G94" s="6"/>
      <c r="H94" s="8"/>
      <c r="I94" s="5"/>
      <c r="J94" s="14"/>
      <c r="K94" s="5"/>
      <c r="L94" s="5"/>
      <c r="M94" s="5"/>
      <c r="N94" s="8"/>
      <c r="O94" s="5"/>
      <c r="P94" s="12"/>
      <c r="Q94" s="5"/>
      <c r="R94" s="13"/>
      <c r="S94" s="6"/>
    </row>
    <row r="95" spans="2:19" x14ac:dyDescent="0.25">
      <c r="B95" s="8" t="str">
        <f>IF(ISBLANK(A95), "", VLOOKUP(A95, Studies!A:D, 4))</f>
        <v/>
      </c>
      <c r="D95" s="12"/>
      <c r="E95" s="6"/>
      <c r="F95" s="13"/>
      <c r="G95" s="6"/>
      <c r="H95" s="8"/>
      <c r="I95" s="5"/>
      <c r="J95" s="14"/>
      <c r="K95" s="5"/>
      <c r="L95" s="5"/>
      <c r="M95" s="5"/>
      <c r="N95" s="8"/>
      <c r="O95" s="5"/>
      <c r="P95" s="12"/>
      <c r="Q95" s="5"/>
      <c r="R95" s="13"/>
      <c r="S95" s="6"/>
    </row>
    <row r="96" spans="2:19" x14ac:dyDescent="0.25">
      <c r="B96" s="8" t="str">
        <f>IF(ISBLANK(A96), "", VLOOKUP(A96, Studies!A:D, 4))</f>
        <v/>
      </c>
      <c r="D96" s="12"/>
      <c r="E96" s="6"/>
      <c r="F96" s="13"/>
      <c r="G96" s="6"/>
      <c r="H96" s="8"/>
      <c r="I96" s="5"/>
      <c r="J96" s="14"/>
      <c r="K96" s="5"/>
      <c r="L96" s="5"/>
      <c r="M96" s="5"/>
      <c r="N96" s="8"/>
      <c r="O96" s="5"/>
      <c r="P96" s="12"/>
      <c r="Q96" s="5"/>
      <c r="R96" s="13"/>
      <c r="S96" s="6"/>
    </row>
    <row r="97" spans="2:19" x14ac:dyDescent="0.25">
      <c r="B97" s="8" t="str">
        <f>IF(ISBLANK(A97), "", VLOOKUP(A97, Studies!A:D, 4))</f>
        <v/>
      </c>
      <c r="D97" s="12"/>
      <c r="E97" s="6"/>
      <c r="F97" s="13"/>
      <c r="G97" s="6"/>
      <c r="H97" s="8"/>
      <c r="I97" s="5"/>
      <c r="J97" s="14"/>
      <c r="K97" s="5"/>
      <c r="L97" s="5"/>
      <c r="M97" s="5"/>
      <c r="N97" s="8"/>
      <c r="O97" s="5"/>
      <c r="P97" s="12"/>
      <c r="Q97" s="5"/>
      <c r="R97" s="13"/>
      <c r="S97" s="6"/>
    </row>
    <row r="98" spans="2:19" x14ac:dyDescent="0.25">
      <c r="B98" s="8" t="str">
        <f>IF(ISBLANK(A98), "", VLOOKUP(A98, Studies!A:D, 4))</f>
        <v/>
      </c>
      <c r="D98" s="12"/>
      <c r="E98" s="6"/>
      <c r="F98" s="13"/>
      <c r="G98" s="6"/>
      <c r="H98" s="8"/>
      <c r="I98" s="5"/>
      <c r="J98" s="14"/>
      <c r="K98" s="5"/>
      <c r="L98" s="5"/>
      <c r="M98" s="5"/>
      <c r="N98" s="8"/>
      <c r="O98" s="5"/>
      <c r="P98" s="12"/>
      <c r="Q98" s="5"/>
      <c r="R98" s="13"/>
      <c r="S98" s="6"/>
    </row>
    <row r="99" spans="2:19" x14ac:dyDescent="0.25">
      <c r="B99" s="8" t="str">
        <f>IF(ISBLANK(A99), "", VLOOKUP(A99, Studies!A:D, 4))</f>
        <v/>
      </c>
      <c r="D99" s="12"/>
      <c r="E99" s="6"/>
      <c r="F99" s="13"/>
      <c r="G99" s="6"/>
      <c r="H99" s="8"/>
      <c r="I99" s="5"/>
      <c r="J99" s="14"/>
      <c r="K99" s="5"/>
      <c r="L99" s="5"/>
      <c r="M99" s="5"/>
      <c r="N99" s="8"/>
      <c r="O99" s="5"/>
      <c r="P99" s="12"/>
      <c r="Q99" s="5"/>
      <c r="R99" s="13"/>
      <c r="S99" s="6"/>
    </row>
    <row r="100" spans="2:19" x14ac:dyDescent="0.25">
      <c r="B100" s="8" t="str">
        <f>IF(ISBLANK(A100), "", VLOOKUP(A100, Studies!A:D, 4))</f>
        <v/>
      </c>
      <c r="D100" s="12"/>
      <c r="E100" s="6"/>
      <c r="F100" s="13"/>
      <c r="G100" s="6"/>
      <c r="H100" s="8"/>
      <c r="I100" s="5"/>
      <c r="J100" s="14"/>
      <c r="K100" s="5"/>
      <c r="L100" s="5"/>
      <c r="M100" s="5"/>
      <c r="N100" s="8"/>
      <c r="O100" s="5"/>
      <c r="P100" s="12"/>
      <c r="Q100" s="5"/>
      <c r="R100" s="13"/>
      <c r="S100" s="6"/>
    </row>
    <row r="101" spans="2:19" x14ac:dyDescent="0.25">
      <c r="B101" s="8" t="str">
        <f>IF(ISBLANK(A101), "", VLOOKUP(A101, Studies!A:D, 4))</f>
        <v/>
      </c>
      <c r="D101" s="12"/>
      <c r="E101" s="6"/>
      <c r="F101" s="13"/>
      <c r="G101" s="6"/>
      <c r="H101" s="8"/>
      <c r="I101" s="5"/>
      <c r="J101" s="14"/>
      <c r="K101" s="5"/>
      <c r="L101" s="5"/>
      <c r="M101" s="5"/>
      <c r="N101" s="8"/>
      <c r="O101" s="5"/>
      <c r="P101" s="12"/>
      <c r="Q101" s="5"/>
      <c r="R101" s="13"/>
      <c r="S101" s="6"/>
    </row>
    <row r="102" spans="2:19" x14ac:dyDescent="0.25">
      <c r="B102" s="8" t="str">
        <f>IF(ISBLANK(A102), "", VLOOKUP(A102, Studies!A:D, 4))</f>
        <v/>
      </c>
      <c r="D102" s="12"/>
      <c r="E102" s="6"/>
      <c r="F102" s="13"/>
      <c r="G102" s="6"/>
      <c r="H102" s="8"/>
      <c r="I102" s="5"/>
      <c r="J102" s="14"/>
      <c r="K102" s="5"/>
      <c r="L102" s="5"/>
      <c r="M102" s="5"/>
      <c r="N102" s="8"/>
      <c r="O102" s="5"/>
      <c r="P102" s="12"/>
      <c r="Q102" s="5"/>
      <c r="R102" s="13"/>
      <c r="S102" s="6"/>
    </row>
    <row r="103" spans="2:19" x14ac:dyDescent="0.25">
      <c r="B103" s="8" t="str">
        <f>IF(ISBLANK(A103), "", VLOOKUP(A103, Studies!A:D, 4))</f>
        <v/>
      </c>
      <c r="D103" s="12"/>
      <c r="E103" s="6"/>
      <c r="F103" s="13"/>
      <c r="G103" s="6"/>
      <c r="H103" s="8"/>
      <c r="I103" s="5"/>
      <c r="J103" s="14"/>
      <c r="K103" s="5"/>
      <c r="L103" s="5"/>
      <c r="M103" s="5"/>
      <c r="N103" s="8"/>
      <c r="O103" s="5"/>
      <c r="P103" s="12"/>
      <c r="Q103" s="5"/>
      <c r="R103" s="13"/>
      <c r="S103" s="6"/>
    </row>
    <row r="104" spans="2:19" x14ac:dyDescent="0.25">
      <c r="B104" s="8" t="str">
        <f>IF(ISBLANK(A104), "", VLOOKUP(A104, Studies!A:D, 4))</f>
        <v/>
      </c>
      <c r="D104" s="12"/>
      <c r="E104" s="6"/>
      <c r="F104" s="13"/>
      <c r="G104" s="6"/>
      <c r="H104" s="8"/>
      <c r="I104" s="5"/>
      <c r="J104" s="14"/>
      <c r="K104" s="5"/>
      <c r="L104" s="5"/>
      <c r="M104" s="5"/>
      <c r="N104" s="8"/>
      <c r="O104" s="5"/>
      <c r="P104" s="12"/>
      <c r="Q104" s="5"/>
      <c r="R104" s="13"/>
      <c r="S104" s="6"/>
    </row>
    <row r="105" spans="2:19" x14ac:dyDescent="0.25">
      <c r="B105" s="8" t="str">
        <f>IF(ISBLANK(A105), "", VLOOKUP(A105, Studies!A:D, 4))</f>
        <v/>
      </c>
      <c r="D105" s="12"/>
      <c r="E105" s="6"/>
      <c r="F105" s="13"/>
      <c r="G105" s="6"/>
      <c r="H105" s="8"/>
      <c r="I105" s="5"/>
      <c r="J105" s="14"/>
      <c r="K105" s="5"/>
      <c r="L105" s="5"/>
      <c r="M105" s="5"/>
      <c r="N105" s="8"/>
      <c r="O105" s="5"/>
      <c r="P105" s="12"/>
      <c r="Q105" s="5"/>
      <c r="R105" s="13"/>
      <c r="S105" s="6"/>
    </row>
    <row r="106" spans="2:19" x14ac:dyDescent="0.25">
      <c r="B106" s="8" t="str">
        <f>IF(ISBLANK(A106), "", VLOOKUP(A106, Studies!A:D, 4))</f>
        <v/>
      </c>
      <c r="D106" s="12"/>
      <c r="E106" s="6"/>
      <c r="F106" s="13"/>
      <c r="G106" s="6"/>
      <c r="H106" s="8"/>
      <c r="I106" s="5"/>
      <c r="J106" s="14"/>
      <c r="K106" s="5"/>
      <c r="L106" s="5"/>
      <c r="M106" s="5"/>
      <c r="N106" s="8"/>
      <c r="O106" s="5"/>
      <c r="P106" s="12"/>
      <c r="Q106" s="5"/>
      <c r="R106" s="13"/>
      <c r="S106" s="6"/>
    </row>
    <row r="107" spans="2:19" x14ac:dyDescent="0.25">
      <c r="B107" s="8" t="str">
        <f>IF(ISBLANK(A107), "", VLOOKUP(A107, Studies!A:D, 4))</f>
        <v/>
      </c>
      <c r="D107" s="12"/>
      <c r="E107" s="6"/>
      <c r="F107" s="13"/>
      <c r="G107" s="6"/>
      <c r="H107" s="8"/>
      <c r="I107" s="5"/>
      <c r="J107" s="14"/>
      <c r="K107" s="5"/>
      <c r="L107" s="5"/>
      <c r="M107" s="5"/>
      <c r="N107" s="8"/>
      <c r="O107" s="5"/>
      <c r="P107" s="12"/>
      <c r="Q107" s="5"/>
      <c r="R107" s="13"/>
      <c r="S107" s="6"/>
    </row>
    <row r="108" spans="2:19" x14ac:dyDescent="0.25">
      <c r="B108" s="8" t="str">
        <f>IF(ISBLANK(A108), "", VLOOKUP(A108, Studies!A:D, 4))</f>
        <v/>
      </c>
      <c r="D108" s="12"/>
      <c r="E108" s="6"/>
      <c r="F108" s="13"/>
      <c r="G108" s="6"/>
      <c r="H108" s="8"/>
      <c r="I108" s="5"/>
      <c r="J108" s="14"/>
      <c r="K108" s="5"/>
      <c r="L108" s="5"/>
      <c r="M108" s="5"/>
      <c r="N108" s="8"/>
      <c r="O108" s="5"/>
      <c r="P108" s="12"/>
      <c r="Q108" s="5"/>
      <c r="R108" s="13"/>
      <c r="S108" s="6"/>
    </row>
    <row r="109" spans="2:19" x14ac:dyDescent="0.25">
      <c r="B109" s="8" t="str">
        <f>IF(ISBLANK(A109), "", VLOOKUP(A109, Studies!A:D, 4))</f>
        <v/>
      </c>
      <c r="D109" s="12"/>
      <c r="E109" s="6"/>
      <c r="F109" s="13"/>
      <c r="G109" s="6"/>
      <c r="H109" s="8"/>
      <c r="I109" s="5"/>
      <c r="J109" s="14"/>
      <c r="K109" s="5"/>
      <c r="L109" s="5"/>
      <c r="M109" s="5"/>
      <c r="N109" s="8"/>
      <c r="O109" s="5"/>
      <c r="P109" s="12"/>
      <c r="Q109" s="5"/>
      <c r="R109" s="13"/>
      <c r="S109" s="6"/>
    </row>
    <row r="110" spans="2:19" x14ac:dyDescent="0.25">
      <c r="B110" s="8" t="str">
        <f>IF(ISBLANK(A110), "", VLOOKUP(A110, Studies!A:D, 4))</f>
        <v/>
      </c>
      <c r="D110" s="12"/>
      <c r="E110" s="6"/>
      <c r="F110" s="13"/>
      <c r="G110" s="6"/>
      <c r="H110" s="8"/>
      <c r="I110" s="5"/>
      <c r="J110" s="14"/>
      <c r="K110" s="5"/>
      <c r="L110" s="5"/>
      <c r="M110" s="5"/>
      <c r="N110" s="8"/>
      <c r="O110" s="5"/>
      <c r="P110" s="12"/>
      <c r="Q110" s="5"/>
      <c r="R110" s="13"/>
      <c r="S110" s="6"/>
    </row>
    <row r="111" spans="2:19" x14ac:dyDescent="0.25">
      <c r="B111" s="8" t="str">
        <f>IF(ISBLANK(A111), "", VLOOKUP(A111, Studies!A:D, 4))</f>
        <v/>
      </c>
      <c r="D111" s="12"/>
      <c r="E111" s="6"/>
      <c r="F111" s="13"/>
      <c r="G111" s="6"/>
      <c r="H111" s="8"/>
      <c r="I111" s="5"/>
      <c r="J111" s="14"/>
      <c r="K111" s="5"/>
      <c r="L111" s="5"/>
      <c r="M111" s="5"/>
      <c r="N111" s="8"/>
      <c r="O111" s="5"/>
      <c r="P111" s="12"/>
      <c r="Q111" s="5"/>
      <c r="R111" s="13"/>
      <c r="S111" s="6"/>
    </row>
    <row r="112" spans="2:19" x14ac:dyDescent="0.25">
      <c r="B112" s="8" t="str">
        <f>IF(ISBLANK(A112), "", VLOOKUP(A112, Studies!A:D, 4))</f>
        <v/>
      </c>
      <c r="D112" s="12"/>
      <c r="E112" s="6"/>
      <c r="F112" s="13"/>
      <c r="G112" s="6"/>
      <c r="H112" s="8"/>
      <c r="I112" s="5"/>
      <c r="J112" s="14"/>
      <c r="K112" s="5"/>
      <c r="L112" s="5"/>
      <c r="M112" s="5"/>
      <c r="N112" s="8"/>
      <c r="O112" s="5"/>
      <c r="P112" s="12"/>
      <c r="Q112" s="5"/>
      <c r="R112" s="13"/>
      <c r="S112" s="6"/>
    </row>
    <row r="113" spans="2:19" x14ac:dyDescent="0.25">
      <c r="B113" s="8" t="str">
        <f>IF(ISBLANK(A113), "", VLOOKUP(A113, Studies!A:D, 4))</f>
        <v/>
      </c>
      <c r="D113" s="12"/>
      <c r="E113" s="6"/>
      <c r="F113" s="13"/>
      <c r="G113" s="6"/>
      <c r="H113" s="8"/>
      <c r="I113" s="5"/>
      <c r="J113" s="14"/>
      <c r="K113" s="5"/>
      <c r="L113" s="5"/>
      <c r="M113" s="5"/>
      <c r="N113" s="8"/>
      <c r="O113" s="5"/>
      <c r="P113" s="12"/>
      <c r="Q113" s="5"/>
      <c r="R113" s="13"/>
      <c r="S113" s="6"/>
    </row>
    <row r="114" spans="2:19" x14ac:dyDescent="0.25">
      <c r="B114" s="8" t="str">
        <f>IF(ISBLANK(A114), "", VLOOKUP(A114, Studies!A:D, 4))</f>
        <v/>
      </c>
      <c r="D114" s="12"/>
      <c r="E114" s="6"/>
      <c r="F114" s="13"/>
      <c r="G114" s="6"/>
      <c r="H114" s="8"/>
      <c r="I114" s="5"/>
      <c r="J114" s="14"/>
      <c r="K114" s="5"/>
      <c r="L114" s="5"/>
      <c r="M114" s="5"/>
      <c r="N114" s="8"/>
      <c r="O114" s="5"/>
      <c r="P114" s="12"/>
      <c r="Q114" s="5"/>
      <c r="R114" s="13"/>
      <c r="S114" s="6"/>
    </row>
    <row r="115" spans="2:19" x14ac:dyDescent="0.25">
      <c r="B115" s="8" t="str">
        <f>IF(ISBLANK(A115), "", VLOOKUP(A115, Studies!A:D, 4))</f>
        <v/>
      </c>
      <c r="D115" s="12"/>
      <c r="E115" s="6"/>
      <c r="F115" s="13"/>
      <c r="G115" s="6"/>
      <c r="H115" s="8"/>
      <c r="I115" s="5"/>
      <c r="J115" s="14"/>
      <c r="K115" s="5"/>
      <c r="L115" s="5"/>
      <c r="M115" s="5"/>
      <c r="N115" s="8"/>
      <c r="O115" s="5"/>
      <c r="P115" s="12"/>
      <c r="Q115" s="5"/>
      <c r="R115" s="13"/>
      <c r="S115" s="6"/>
    </row>
    <row r="116" spans="2:19" x14ac:dyDescent="0.25">
      <c r="B116" s="8" t="str">
        <f>IF(ISBLANK(A116), "", VLOOKUP(A116, Studies!A:D, 4))</f>
        <v/>
      </c>
      <c r="D116" s="12"/>
      <c r="E116" s="6"/>
      <c r="F116" s="13"/>
      <c r="G116" s="6"/>
      <c r="H116" s="8"/>
      <c r="I116" s="5"/>
      <c r="J116" s="14"/>
      <c r="K116" s="5"/>
      <c r="L116" s="5"/>
      <c r="M116" s="5"/>
      <c r="N116" s="8"/>
      <c r="O116" s="5"/>
      <c r="P116" s="12"/>
      <c r="Q116" s="5"/>
      <c r="R116" s="13"/>
      <c r="S116" s="6"/>
    </row>
    <row r="117" spans="2:19" x14ac:dyDescent="0.25">
      <c r="B117" s="8" t="str">
        <f>IF(ISBLANK(A117), "", VLOOKUP(A117, Studies!A:D, 4))</f>
        <v/>
      </c>
      <c r="D117" s="12"/>
      <c r="E117" s="6"/>
      <c r="F117" s="13"/>
      <c r="G117" s="6"/>
      <c r="H117" s="8"/>
      <c r="I117" s="5"/>
      <c r="J117" s="14"/>
      <c r="K117" s="5"/>
      <c r="L117" s="5"/>
      <c r="M117" s="5"/>
      <c r="N117" s="8"/>
      <c r="O117" s="5"/>
      <c r="P117" s="12"/>
      <c r="Q117" s="5"/>
      <c r="R117" s="13"/>
      <c r="S117" s="6"/>
    </row>
    <row r="118" spans="2:19" x14ac:dyDescent="0.25">
      <c r="B118" s="8" t="str">
        <f>IF(ISBLANK(A118), "", VLOOKUP(A118, Studies!A:D, 4))</f>
        <v/>
      </c>
      <c r="D118" s="12"/>
      <c r="E118" s="6"/>
      <c r="F118" s="13"/>
      <c r="G118" s="6"/>
      <c r="H118" s="8"/>
      <c r="I118" s="5"/>
      <c r="J118" s="14"/>
      <c r="K118" s="5"/>
      <c r="L118" s="5"/>
      <c r="M118" s="5"/>
      <c r="N118" s="8"/>
      <c r="O118" s="5"/>
      <c r="P118" s="12"/>
      <c r="Q118" s="5"/>
      <c r="R118" s="13"/>
      <c r="S118" s="6"/>
    </row>
    <row r="119" spans="2:19" x14ac:dyDescent="0.25">
      <c r="B119" s="8" t="str">
        <f>IF(ISBLANK(A119), "", VLOOKUP(A119, Studies!A:D, 4))</f>
        <v/>
      </c>
      <c r="D119" s="12"/>
      <c r="E119" s="6"/>
      <c r="F119" s="13"/>
      <c r="G119" s="6"/>
      <c r="H119" s="8"/>
      <c r="I119" s="5"/>
      <c r="J119" s="14"/>
      <c r="K119" s="5"/>
      <c r="L119" s="5"/>
      <c r="M119" s="5"/>
      <c r="N119" s="8"/>
      <c r="O119" s="5"/>
      <c r="P119" s="12"/>
      <c r="Q119" s="5"/>
      <c r="R119" s="13"/>
      <c r="S119" s="6"/>
    </row>
    <row r="120" spans="2:19" x14ac:dyDescent="0.25">
      <c r="B120" s="8" t="str">
        <f>IF(ISBLANK(A120), "", VLOOKUP(A120, Studies!A:D, 4))</f>
        <v/>
      </c>
      <c r="D120" s="12"/>
      <c r="E120" s="6"/>
      <c r="F120" s="13"/>
      <c r="G120" s="6"/>
      <c r="H120" s="8"/>
      <c r="I120" s="5"/>
      <c r="J120" s="14"/>
      <c r="K120" s="5"/>
      <c r="L120" s="5"/>
      <c r="M120" s="5"/>
      <c r="N120" s="8"/>
      <c r="O120" s="5"/>
      <c r="P120" s="12"/>
      <c r="Q120" s="5"/>
      <c r="R120" s="13"/>
      <c r="S120" s="6"/>
    </row>
    <row r="121" spans="2:19" x14ac:dyDescent="0.25">
      <c r="B121" s="8" t="str">
        <f>IF(ISBLANK(A121), "", VLOOKUP(A121, Studies!A:D, 4))</f>
        <v/>
      </c>
      <c r="D121" s="12"/>
      <c r="E121" s="6"/>
      <c r="F121" s="13"/>
      <c r="G121" s="6"/>
      <c r="H121" s="8"/>
      <c r="I121" s="5"/>
      <c r="J121" s="14"/>
      <c r="K121" s="5"/>
      <c r="L121" s="5"/>
      <c r="M121" s="5"/>
      <c r="N121" s="8"/>
      <c r="O121" s="5"/>
      <c r="P121" s="12"/>
      <c r="Q121" s="5"/>
      <c r="R121" s="13"/>
      <c r="S121" s="6"/>
    </row>
    <row r="122" spans="2:19" x14ac:dyDescent="0.25">
      <c r="B122" s="8" t="str">
        <f>IF(ISBLANK(A122), "", VLOOKUP(A122, Studies!A:D, 4))</f>
        <v/>
      </c>
      <c r="D122" s="12"/>
      <c r="E122" s="6"/>
      <c r="F122" s="13"/>
      <c r="G122" s="6"/>
      <c r="H122" s="8"/>
      <c r="I122" s="5"/>
      <c r="J122" s="14"/>
      <c r="K122" s="5"/>
      <c r="L122" s="5"/>
      <c r="M122" s="5"/>
      <c r="N122" s="8"/>
      <c r="O122" s="5"/>
      <c r="P122" s="12"/>
      <c r="Q122" s="5"/>
      <c r="R122" s="13"/>
      <c r="S122" s="6"/>
    </row>
    <row r="123" spans="2:19" x14ac:dyDescent="0.25">
      <c r="B123" s="8" t="str">
        <f>IF(ISBLANK(A123), "", VLOOKUP(A123, Studies!A:D, 4))</f>
        <v/>
      </c>
      <c r="D123" s="12"/>
      <c r="E123" s="6"/>
      <c r="F123" s="13"/>
      <c r="G123" s="6"/>
      <c r="H123" s="8"/>
      <c r="I123" s="5"/>
      <c r="J123" s="14"/>
      <c r="K123" s="5"/>
      <c r="L123" s="5"/>
      <c r="M123" s="5"/>
      <c r="N123" s="8"/>
      <c r="O123" s="5"/>
      <c r="P123" s="12"/>
      <c r="Q123" s="5"/>
      <c r="R123" s="13"/>
      <c r="S123" s="6"/>
    </row>
    <row r="124" spans="2:19" x14ac:dyDescent="0.25">
      <c r="B124" s="8" t="str">
        <f>IF(ISBLANK(A124), "", VLOOKUP(A124, Studies!A:D, 4))</f>
        <v/>
      </c>
      <c r="D124" s="12"/>
      <c r="E124" s="6"/>
      <c r="F124" s="13"/>
      <c r="G124" s="6"/>
      <c r="H124" s="8"/>
      <c r="I124" s="5"/>
      <c r="J124" s="14"/>
      <c r="K124" s="5"/>
      <c r="L124" s="5"/>
      <c r="M124" s="5"/>
      <c r="N124" s="8"/>
      <c r="O124" s="5"/>
      <c r="P124" s="12"/>
      <c r="Q124" s="5"/>
      <c r="R124" s="13"/>
      <c r="S124" s="6"/>
    </row>
    <row r="125" spans="2:19" x14ac:dyDescent="0.25">
      <c r="B125" s="8" t="str">
        <f>IF(ISBLANK(A125), "", VLOOKUP(A125, Studies!A:D, 4))</f>
        <v/>
      </c>
      <c r="D125" s="12"/>
      <c r="E125" s="6"/>
      <c r="F125" s="13"/>
      <c r="G125" s="6"/>
      <c r="H125" s="8"/>
      <c r="I125" s="5"/>
      <c r="J125" s="14"/>
      <c r="K125" s="5"/>
      <c r="L125" s="5"/>
      <c r="M125" s="5"/>
      <c r="N125" s="8"/>
      <c r="O125" s="5"/>
      <c r="P125" s="12"/>
      <c r="Q125" s="5"/>
      <c r="R125" s="13"/>
      <c r="S125" s="6"/>
    </row>
    <row r="126" spans="2:19" x14ac:dyDescent="0.25">
      <c r="B126" s="8" t="str">
        <f>IF(ISBLANK(A126), "", VLOOKUP(A126, Studies!A:D, 4))</f>
        <v/>
      </c>
      <c r="D126" s="12"/>
      <c r="E126" s="6"/>
      <c r="F126" s="13"/>
      <c r="G126" s="6"/>
      <c r="H126" s="8"/>
      <c r="I126" s="5"/>
      <c r="J126" s="14"/>
      <c r="K126" s="5"/>
      <c r="L126" s="5"/>
      <c r="M126" s="5"/>
      <c r="N126" s="8"/>
      <c r="O126" s="5"/>
      <c r="P126" s="12"/>
      <c r="Q126" s="5"/>
      <c r="R126" s="13"/>
      <c r="S126" s="6"/>
    </row>
    <row r="127" spans="2:19" x14ac:dyDescent="0.25">
      <c r="B127" s="8" t="str">
        <f>IF(ISBLANK(A127), "", VLOOKUP(A127, Studies!A:D, 4))</f>
        <v/>
      </c>
      <c r="D127" s="12"/>
      <c r="E127" s="6"/>
      <c r="F127" s="13"/>
      <c r="G127" s="6"/>
      <c r="H127" s="8"/>
      <c r="I127" s="5"/>
      <c r="J127" s="14"/>
      <c r="K127" s="5"/>
      <c r="L127" s="5"/>
      <c r="M127" s="5"/>
      <c r="N127" s="8"/>
      <c r="O127" s="5"/>
      <c r="P127" s="12"/>
      <c r="Q127" s="5"/>
      <c r="R127" s="13"/>
      <c r="S127" s="6"/>
    </row>
    <row r="128" spans="2:19" x14ac:dyDescent="0.25">
      <c r="B128" s="8" t="str">
        <f>IF(ISBLANK(A128), "", VLOOKUP(A128, Studies!A:D, 4))</f>
        <v/>
      </c>
      <c r="D128" s="12"/>
      <c r="E128" s="6"/>
      <c r="F128" s="13"/>
      <c r="G128" s="6"/>
      <c r="H128" s="8"/>
      <c r="I128" s="5"/>
      <c r="J128" s="14"/>
      <c r="K128" s="5"/>
      <c r="L128" s="5"/>
      <c r="M128" s="5"/>
      <c r="N128" s="8"/>
      <c r="O128" s="5"/>
      <c r="P128" s="12"/>
      <c r="Q128" s="5"/>
      <c r="R128" s="13"/>
      <c r="S128" s="6"/>
    </row>
    <row r="129" spans="2:19" x14ac:dyDescent="0.25">
      <c r="B129" s="8" t="str">
        <f>IF(ISBLANK(A129), "", VLOOKUP(A129, Studies!A:D, 4))</f>
        <v/>
      </c>
      <c r="D129" s="12"/>
      <c r="E129" s="6"/>
      <c r="F129" s="13"/>
      <c r="G129" s="6"/>
      <c r="H129" s="8"/>
      <c r="I129" s="5"/>
      <c r="J129" s="14"/>
      <c r="K129" s="5"/>
      <c r="L129" s="5"/>
      <c r="M129" s="5"/>
      <c r="N129" s="8"/>
      <c r="O129" s="5"/>
      <c r="P129" s="12"/>
      <c r="Q129" s="5"/>
      <c r="R129" s="13"/>
      <c r="S129" s="6"/>
    </row>
    <row r="130" spans="2:19" x14ac:dyDescent="0.25">
      <c r="B130" s="8" t="str">
        <f>IF(ISBLANK(A130), "", VLOOKUP(A130, Studies!A:D, 4))</f>
        <v/>
      </c>
      <c r="D130" s="12"/>
      <c r="E130" s="6"/>
      <c r="F130" s="13"/>
      <c r="G130" s="6"/>
      <c r="H130" s="8"/>
      <c r="I130" s="5"/>
      <c r="J130" s="14"/>
      <c r="K130" s="5"/>
      <c r="L130" s="5"/>
      <c r="M130" s="5"/>
      <c r="N130" s="8"/>
      <c r="O130" s="5"/>
      <c r="P130" s="12"/>
      <c r="Q130" s="5"/>
      <c r="R130" s="13"/>
      <c r="S130" s="6"/>
    </row>
    <row r="131" spans="2:19" x14ac:dyDescent="0.25">
      <c r="B131" s="8" t="str">
        <f>IF(ISBLANK(A131), "", VLOOKUP(A131, Studies!A:D, 4))</f>
        <v/>
      </c>
      <c r="D131" s="12"/>
      <c r="E131" s="6"/>
      <c r="F131" s="13"/>
      <c r="G131" s="6"/>
      <c r="H131" s="8"/>
      <c r="I131" s="5"/>
      <c r="J131" s="14"/>
      <c r="K131" s="5"/>
      <c r="L131" s="5"/>
      <c r="M131" s="5"/>
      <c r="N131" s="8"/>
      <c r="O131" s="5"/>
      <c r="P131" s="12"/>
      <c r="Q131" s="5"/>
      <c r="R131" s="13"/>
      <c r="S131" s="6"/>
    </row>
    <row r="132" spans="2:19" x14ac:dyDescent="0.25">
      <c r="B132" s="8" t="str">
        <f>IF(ISBLANK(A132), "", VLOOKUP(A132, Studies!A:D, 4))</f>
        <v/>
      </c>
      <c r="D132" s="12"/>
      <c r="E132" s="6"/>
      <c r="F132" s="13"/>
      <c r="G132" s="6"/>
      <c r="H132" s="8"/>
      <c r="I132" s="5"/>
      <c r="J132" s="14"/>
      <c r="K132" s="5"/>
      <c r="L132" s="5"/>
      <c r="M132" s="5"/>
      <c r="N132" s="8"/>
      <c r="O132" s="5"/>
      <c r="P132" s="12"/>
      <c r="Q132" s="5"/>
      <c r="R132" s="13"/>
      <c r="S132" s="6"/>
    </row>
    <row r="133" spans="2:19" x14ac:dyDescent="0.25">
      <c r="B133" s="8" t="str">
        <f>IF(ISBLANK(A133), "", VLOOKUP(A133, Studies!A:D, 4))</f>
        <v/>
      </c>
      <c r="D133" s="12"/>
      <c r="E133" s="6"/>
      <c r="F133" s="13"/>
      <c r="G133" s="6"/>
      <c r="H133" s="8"/>
      <c r="I133" s="5"/>
      <c r="J133" s="14"/>
      <c r="K133" s="5"/>
      <c r="L133" s="5"/>
      <c r="M133" s="5"/>
      <c r="N133" s="8"/>
      <c r="O133" s="5"/>
      <c r="P133" s="12"/>
      <c r="Q133" s="5"/>
      <c r="R133" s="13"/>
      <c r="S133" s="6"/>
    </row>
    <row r="134" spans="2:19" x14ac:dyDescent="0.25">
      <c r="B134" s="8" t="str">
        <f>IF(ISBLANK(A134), "", VLOOKUP(A134, Studies!A:D, 4))</f>
        <v/>
      </c>
      <c r="D134" s="12"/>
      <c r="E134" s="6"/>
      <c r="F134" s="13"/>
      <c r="G134" s="6"/>
      <c r="H134" s="8"/>
      <c r="I134" s="5"/>
      <c r="J134" s="14"/>
      <c r="K134" s="5"/>
      <c r="L134" s="5"/>
      <c r="M134" s="5"/>
      <c r="N134" s="8"/>
      <c r="O134" s="5"/>
      <c r="P134" s="12"/>
      <c r="Q134" s="5"/>
      <c r="R134" s="13"/>
      <c r="S134" s="6"/>
    </row>
    <row r="135" spans="2:19" x14ac:dyDescent="0.25">
      <c r="B135" s="8" t="str">
        <f>IF(ISBLANK(A135), "", VLOOKUP(A135, Studies!A:D, 4))</f>
        <v/>
      </c>
      <c r="D135" s="12"/>
      <c r="E135" s="6"/>
      <c r="F135" s="13"/>
      <c r="G135" s="6"/>
      <c r="H135" s="8"/>
      <c r="I135" s="5"/>
      <c r="J135" s="14"/>
      <c r="K135" s="5"/>
      <c r="L135" s="5"/>
      <c r="M135" s="5"/>
      <c r="N135" s="8"/>
      <c r="O135" s="5"/>
      <c r="P135" s="12"/>
      <c r="Q135" s="5"/>
      <c r="R135" s="13"/>
      <c r="S135" s="6"/>
    </row>
    <row r="136" spans="2:19" x14ac:dyDescent="0.25">
      <c r="B136" s="8" t="str">
        <f>IF(ISBLANK(A136), "", VLOOKUP(A136, Studies!A:D, 4))</f>
        <v/>
      </c>
      <c r="D136" s="12"/>
      <c r="E136" s="6"/>
      <c r="F136" s="13"/>
      <c r="G136" s="6"/>
      <c r="H136" s="8"/>
      <c r="I136" s="5"/>
      <c r="J136" s="14"/>
      <c r="K136" s="5"/>
      <c r="L136" s="5"/>
      <c r="M136" s="5"/>
      <c r="N136" s="8"/>
      <c r="O136" s="5"/>
      <c r="P136" s="12"/>
      <c r="Q136" s="5"/>
      <c r="R136" s="13"/>
      <c r="S136" s="6"/>
    </row>
    <row r="137" spans="2:19" x14ac:dyDescent="0.25">
      <c r="B137" s="8" t="str">
        <f>IF(ISBLANK(A137), "", VLOOKUP(A137, Studies!A:D, 4))</f>
        <v/>
      </c>
      <c r="D137" s="12"/>
      <c r="E137" s="6"/>
      <c r="F137" s="13"/>
      <c r="G137" s="6"/>
      <c r="H137" s="8"/>
      <c r="I137" s="5"/>
      <c r="J137" s="14"/>
      <c r="K137" s="5"/>
      <c r="L137" s="5"/>
      <c r="M137" s="5"/>
      <c r="N137" s="8"/>
      <c r="O137" s="5"/>
      <c r="P137" s="12"/>
      <c r="Q137" s="5"/>
      <c r="R137" s="13"/>
      <c r="S137" s="6"/>
    </row>
    <row r="138" spans="2:19" x14ac:dyDescent="0.25">
      <c r="B138" s="8" t="str">
        <f>IF(ISBLANK(A138), "", VLOOKUP(A138, Studies!A:D, 4))</f>
        <v/>
      </c>
      <c r="D138" s="12"/>
      <c r="E138" s="6"/>
      <c r="F138" s="13"/>
      <c r="G138" s="6"/>
      <c r="H138" s="8"/>
      <c r="I138" s="5"/>
      <c r="J138" s="14"/>
      <c r="K138" s="5"/>
      <c r="L138" s="5"/>
      <c r="M138" s="5"/>
      <c r="N138" s="8"/>
      <c r="O138" s="5"/>
      <c r="P138" s="12"/>
      <c r="Q138" s="5"/>
      <c r="R138" s="13"/>
      <c r="S138" s="6"/>
    </row>
    <row r="139" spans="2:19" x14ac:dyDescent="0.25">
      <c r="B139" s="8" t="str">
        <f>IF(ISBLANK(A139), "", VLOOKUP(A139, Studies!A:D, 4))</f>
        <v/>
      </c>
      <c r="D139" s="12"/>
      <c r="E139" s="6"/>
      <c r="F139" s="13"/>
      <c r="G139" s="6"/>
      <c r="H139" s="8"/>
      <c r="I139" s="5"/>
      <c r="J139" s="14"/>
      <c r="K139" s="5"/>
      <c r="L139" s="5"/>
      <c r="M139" s="5"/>
      <c r="N139" s="8"/>
      <c r="O139" s="5"/>
      <c r="P139" s="12"/>
      <c r="Q139" s="5"/>
      <c r="R139" s="13"/>
      <c r="S139" s="6"/>
    </row>
    <row r="140" spans="2:19" x14ac:dyDescent="0.25">
      <c r="B140" s="8" t="str">
        <f>IF(ISBLANK(A140), "", VLOOKUP(A140, Studies!A:D, 4))</f>
        <v/>
      </c>
      <c r="D140" s="12"/>
      <c r="E140" s="6"/>
      <c r="F140" s="13"/>
      <c r="G140" s="6"/>
      <c r="H140" s="8"/>
      <c r="I140" s="5"/>
      <c r="J140" s="14"/>
      <c r="K140" s="5"/>
      <c r="L140" s="5"/>
      <c r="M140" s="5"/>
      <c r="N140" s="8"/>
      <c r="O140" s="5"/>
      <c r="P140" s="12"/>
      <c r="Q140" s="5"/>
      <c r="R140" s="13"/>
      <c r="S140" s="6"/>
    </row>
    <row r="141" spans="2:19" x14ac:dyDescent="0.25">
      <c r="B141" s="8" t="str">
        <f>IF(ISBLANK(A141), "", VLOOKUP(A141, Studies!A:D, 4))</f>
        <v/>
      </c>
      <c r="D141" s="12"/>
      <c r="E141" s="6"/>
      <c r="F141" s="13"/>
      <c r="G141" s="6"/>
      <c r="H141" s="8"/>
      <c r="I141" s="5"/>
      <c r="J141" s="14"/>
      <c r="K141" s="5"/>
      <c r="L141" s="5"/>
      <c r="M141" s="5"/>
      <c r="N141" s="8"/>
      <c r="O141" s="5"/>
      <c r="P141" s="12"/>
      <c r="Q141" s="5"/>
      <c r="R141" s="13"/>
      <c r="S141" s="6"/>
    </row>
    <row r="142" spans="2:19" x14ac:dyDescent="0.25">
      <c r="B142" s="8" t="str">
        <f>IF(ISBLANK(A142), "", VLOOKUP(A142, Studies!A:D, 4))</f>
        <v/>
      </c>
      <c r="D142" s="12"/>
      <c r="E142" s="6"/>
      <c r="F142" s="13"/>
      <c r="G142" s="6"/>
      <c r="H142" s="8"/>
      <c r="I142" s="5"/>
      <c r="J142" s="14"/>
      <c r="K142" s="5"/>
      <c r="L142" s="5"/>
      <c r="M142" s="5"/>
      <c r="N142" s="8"/>
      <c r="O142" s="5"/>
      <c r="P142" s="12"/>
      <c r="Q142" s="5"/>
      <c r="R142" s="13"/>
      <c r="S142" s="6"/>
    </row>
    <row r="143" spans="2:19" x14ac:dyDescent="0.25">
      <c r="B143" s="8" t="str">
        <f>IF(ISBLANK(A143), "", VLOOKUP(A143, Studies!A:D, 4))</f>
        <v/>
      </c>
      <c r="D143" s="12"/>
      <c r="E143" s="6"/>
      <c r="F143" s="13"/>
      <c r="G143" s="6"/>
      <c r="H143" s="8"/>
      <c r="I143" s="5"/>
      <c r="J143" s="14"/>
      <c r="K143" s="5"/>
      <c r="L143" s="5"/>
      <c r="M143" s="5"/>
      <c r="N143" s="8"/>
      <c r="O143" s="5"/>
      <c r="P143" s="12"/>
      <c r="Q143" s="5"/>
      <c r="R143" s="13"/>
      <c r="S143" s="6"/>
    </row>
    <row r="144" spans="2:19" x14ac:dyDescent="0.25">
      <c r="B144" s="8" t="str">
        <f>IF(ISBLANK(A144), "", VLOOKUP(A144, Studies!A:D, 4))</f>
        <v/>
      </c>
      <c r="D144" s="12"/>
      <c r="E144" s="6"/>
      <c r="F144" s="13"/>
      <c r="G144" s="6"/>
      <c r="H144" s="8"/>
      <c r="I144" s="5"/>
      <c r="J144" s="14"/>
      <c r="K144" s="5"/>
      <c r="L144" s="5"/>
      <c r="M144" s="5"/>
      <c r="N144" s="8"/>
      <c r="O144" s="5"/>
      <c r="P144" s="12"/>
      <c r="Q144" s="5"/>
      <c r="R144" s="13"/>
      <c r="S144" s="6"/>
    </row>
    <row r="145" spans="2:19" x14ac:dyDescent="0.25">
      <c r="B145" s="8" t="str">
        <f>IF(ISBLANK(A145), "", VLOOKUP(A145, Studies!A:D, 4))</f>
        <v/>
      </c>
      <c r="D145" s="12"/>
      <c r="E145" s="6"/>
      <c r="F145" s="13"/>
      <c r="G145" s="6"/>
      <c r="H145" s="8"/>
      <c r="I145" s="5"/>
      <c r="J145" s="14"/>
      <c r="K145" s="5"/>
      <c r="L145" s="5"/>
      <c r="M145" s="5"/>
      <c r="N145" s="8"/>
      <c r="O145" s="5"/>
      <c r="P145" s="12"/>
      <c r="Q145" s="5"/>
      <c r="R145" s="13"/>
      <c r="S145" s="6"/>
    </row>
    <row r="146" spans="2:19" x14ac:dyDescent="0.25">
      <c r="B146" s="8" t="str">
        <f>IF(ISBLANK(A146), "", VLOOKUP(A146, Studies!A:D, 4))</f>
        <v/>
      </c>
      <c r="D146" s="12"/>
      <c r="E146" s="6"/>
      <c r="F146" s="13"/>
      <c r="G146" s="6"/>
      <c r="H146" s="8"/>
      <c r="I146" s="5"/>
      <c r="J146" s="14"/>
      <c r="K146" s="5"/>
      <c r="L146" s="5"/>
      <c r="M146" s="5"/>
      <c r="N146" s="8"/>
      <c r="O146" s="5"/>
      <c r="P146" s="12"/>
      <c r="Q146" s="5"/>
      <c r="R146" s="13"/>
      <c r="S146" s="6"/>
    </row>
    <row r="147" spans="2:19" x14ac:dyDescent="0.25">
      <c r="B147" s="8" t="str">
        <f>IF(ISBLANK(A147), "", VLOOKUP(A147, Studies!A:D, 4))</f>
        <v/>
      </c>
      <c r="D147" s="12"/>
      <c r="E147" s="6"/>
      <c r="F147" s="13"/>
      <c r="G147" s="6"/>
      <c r="H147" s="8"/>
      <c r="I147" s="5"/>
      <c r="J147" s="14"/>
      <c r="K147" s="5"/>
      <c r="L147" s="5"/>
      <c r="M147" s="5"/>
      <c r="N147" s="8"/>
      <c r="O147" s="5"/>
      <c r="P147" s="12"/>
      <c r="Q147" s="5"/>
      <c r="R147" s="13"/>
      <c r="S147" s="6"/>
    </row>
    <row r="148" spans="2:19" x14ac:dyDescent="0.25">
      <c r="B148" s="8" t="str">
        <f>IF(ISBLANK(A148), "", VLOOKUP(A148, Studies!A:D, 4))</f>
        <v/>
      </c>
      <c r="D148" s="12"/>
      <c r="E148" s="6"/>
      <c r="F148" s="13"/>
      <c r="G148" s="6"/>
      <c r="H148" s="8"/>
      <c r="I148" s="5"/>
      <c r="J148" s="14"/>
      <c r="K148" s="5"/>
      <c r="L148" s="5"/>
      <c r="M148" s="5"/>
      <c r="N148" s="8"/>
      <c r="O148" s="5"/>
      <c r="P148" s="12"/>
      <c r="Q148" s="5"/>
      <c r="R148" s="13"/>
      <c r="S148" s="6"/>
    </row>
    <row r="149" spans="2:19" x14ac:dyDescent="0.25">
      <c r="B149" s="8" t="str">
        <f>IF(ISBLANK(A149), "", VLOOKUP(A149, Studies!A:D, 4))</f>
        <v/>
      </c>
      <c r="D149" s="12"/>
      <c r="E149" s="6"/>
      <c r="F149" s="13"/>
      <c r="G149" s="6"/>
      <c r="H149" s="8"/>
      <c r="I149" s="5"/>
      <c r="J149" s="14"/>
      <c r="K149" s="5"/>
      <c r="L149" s="5"/>
      <c r="M149" s="5"/>
      <c r="N149" s="8"/>
      <c r="O149" s="5"/>
      <c r="P149" s="12"/>
      <c r="Q149" s="5"/>
      <c r="R149" s="13"/>
      <c r="S149" s="6"/>
    </row>
    <row r="150" spans="2:19" x14ac:dyDescent="0.25">
      <c r="B150" s="8" t="str">
        <f>IF(ISBLANK(A150), "", VLOOKUP(A150, Studies!A:D, 4))</f>
        <v/>
      </c>
      <c r="D150" s="12"/>
      <c r="E150" s="6"/>
      <c r="F150" s="13"/>
      <c r="G150" s="6"/>
      <c r="H150" s="8"/>
      <c r="I150" s="5"/>
      <c r="J150" s="14"/>
      <c r="K150" s="5"/>
      <c r="L150" s="5"/>
      <c r="M150" s="5"/>
      <c r="N150" s="8"/>
      <c r="O150" s="5"/>
      <c r="P150" s="12"/>
      <c r="Q150" s="5"/>
      <c r="R150" s="13"/>
      <c r="S150" s="6"/>
    </row>
    <row r="151" spans="2:19" x14ac:dyDescent="0.25">
      <c r="B151" s="8" t="str">
        <f>IF(ISBLANK(A151), "", VLOOKUP(A151, Studies!A:D, 4))</f>
        <v/>
      </c>
      <c r="D151" s="12"/>
      <c r="E151" s="6"/>
      <c r="F151" s="13"/>
      <c r="G151" s="6"/>
      <c r="H151" s="8"/>
      <c r="I151" s="5"/>
      <c r="J151" s="14"/>
      <c r="K151" s="5"/>
      <c r="L151" s="5"/>
      <c r="M151" s="5"/>
      <c r="N151" s="8"/>
      <c r="O151" s="5"/>
      <c r="P151" s="12"/>
      <c r="Q151" s="5"/>
      <c r="R151" s="13"/>
      <c r="S151" s="6"/>
    </row>
    <row r="152" spans="2:19" x14ac:dyDescent="0.25">
      <c r="B152" s="8" t="str">
        <f>IF(ISBLANK(A152), "", VLOOKUP(A152, Studies!A:D, 4))</f>
        <v/>
      </c>
      <c r="D152" s="12"/>
      <c r="E152" s="6"/>
      <c r="F152" s="13"/>
      <c r="G152" s="6"/>
      <c r="H152" s="8"/>
      <c r="I152" s="5"/>
      <c r="J152" s="14"/>
      <c r="K152" s="5"/>
      <c r="L152" s="5"/>
      <c r="M152" s="5"/>
      <c r="N152" s="8"/>
      <c r="O152" s="5"/>
      <c r="P152" s="12"/>
      <c r="Q152" s="5"/>
      <c r="R152" s="13"/>
      <c r="S152" s="6"/>
    </row>
    <row r="153" spans="2:19" x14ac:dyDescent="0.25">
      <c r="B153" s="8" t="str">
        <f>IF(ISBLANK(A153), "", VLOOKUP(A153, Studies!A:D, 4))</f>
        <v/>
      </c>
      <c r="D153" s="12"/>
      <c r="E153" s="6"/>
      <c r="F153" s="13"/>
      <c r="G153" s="6"/>
      <c r="H153" s="8"/>
      <c r="I153" s="5"/>
      <c r="J153" s="14"/>
      <c r="K153" s="5"/>
      <c r="L153" s="5"/>
      <c r="M153" s="5"/>
      <c r="N153" s="8"/>
      <c r="O153" s="5"/>
      <c r="P153" s="12"/>
      <c r="Q153" s="5"/>
      <c r="R153" s="13"/>
      <c r="S153" s="6"/>
    </row>
    <row r="154" spans="2:19" x14ac:dyDescent="0.25">
      <c r="B154" s="8" t="str">
        <f>IF(ISBLANK(A154), "", VLOOKUP(A154, Studies!A:D, 4))</f>
        <v/>
      </c>
      <c r="D154" s="12"/>
      <c r="E154" s="6"/>
      <c r="F154" s="13"/>
      <c r="G154" s="6"/>
      <c r="H154" s="8"/>
      <c r="I154" s="5"/>
      <c r="J154" s="14"/>
      <c r="K154" s="5"/>
      <c r="L154" s="5"/>
      <c r="M154" s="5"/>
      <c r="N154" s="8"/>
      <c r="O154" s="5"/>
      <c r="P154" s="12"/>
      <c r="Q154" s="5"/>
      <c r="R154" s="13"/>
      <c r="S154" s="6"/>
    </row>
    <row r="155" spans="2:19" x14ac:dyDescent="0.25">
      <c r="B155" s="8" t="str">
        <f>IF(ISBLANK(A155), "", VLOOKUP(A155, Studies!A:D, 4))</f>
        <v/>
      </c>
      <c r="D155" s="12"/>
      <c r="E155" s="6"/>
      <c r="F155" s="13"/>
      <c r="G155" s="6"/>
      <c r="H155" s="8"/>
      <c r="I155" s="5"/>
      <c r="J155" s="14"/>
      <c r="K155" s="5"/>
      <c r="L155" s="5"/>
      <c r="M155" s="5"/>
      <c r="N155" s="8"/>
      <c r="O155" s="5"/>
      <c r="P155" s="12"/>
      <c r="Q155" s="5"/>
      <c r="R155" s="13"/>
      <c r="S155" s="6"/>
    </row>
  </sheetData>
  <mergeCells count="10">
    <mergeCell ref="K2:N2"/>
    <mergeCell ref="O2:P2"/>
    <mergeCell ref="C1:F1"/>
    <mergeCell ref="G1:H1"/>
    <mergeCell ref="I1:N1"/>
    <mergeCell ref="O1:R1"/>
    <mergeCell ref="C2:D2"/>
    <mergeCell ref="E2:F2"/>
    <mergeCell ref="G2:G3"/>
    <mergeCell ref="Q2:R2"/>
  </mergeCells>
  <dataValidations count="3">
    <dataValidation type="list" allowBlank="1" showErrorMessage="1" sqref="K4:N155" xr:uid="{00000000-0002-0000-0100-000000000000}">
      <formula1>"Parameter,Stratification,Isolation,Acknowledged,Ignored"</formula1>
    </dataValidation>
    <dataValidation type="list" allowBlank="1" showErrorMessage="1" sqref="B4:B155" xr:uid="{00000000-0002-0000-0100-000001000000}">
      <formula1>"dfu,jfr"</formula1>
    </dataValidation>
    <dataValidation type="list" allowBlank="1" showErrorMessage="1" sqref="O4:O155 Q4:Q155" xr:uid="{00000000-0002-0000-0100-000004000000}">
      <formula1>"Archived,Open Source,Reachable,Upon Request,Broken,Unavailable,Private,Proprietary"</formula1>
    </dataValidation>
  </dataValidations>
  <hyperlinks>
    <hyperlink ref="P5" r:id="rId1" xr:uid="{00000000-0004-0000-0100-000000000000}"/>
    <hyperlink ref="R5" r:id="rId2" xr:uid="{00000000-0004-0000-0100-000001000000}"/>
    <hyperlink ref="P8" r:id="rId3" xr:uid="{00000000-0004-0000-0100-000002000000}"/>
    <hyperlink ref="P10" r:id="rId4" xr:uid="{00000000-0004-0000-0100-000003000000}"/>
    <hyperlink ref="P11" r:id="rId5" xr:uid="{00000000-0004-0000-0100-000004000000}"/>
    <hyperlink ref="R11" r:id="rId6" xr:uid="{00000000-0004-0000-0100-000005000000}"/>
    <hyperlink ref="P12" r:id="rId7" xr:uid="{00000000-0004-0000-0100-000006000000}"/>
    <hyperlink ref="R12" r:id="rId8" xr:uid="{00000000-0004-0000-0100-000007000000}"/>
    <hyperlink ref="P13" r:id="rId9" xr:uid="{00000000-0004-0000-0100-000008000000}"/>
    <hyperlink ref="R13" r:id="rId10" xr:uid="{00000000-0004-0000-0100-000009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2000000}">
          <x14:formula1>
            <xm:f>CategoriesMethod!$A$2:$A155</xm:f>
          </x14:formula1>
          <xm:sqref>I4:I155</xm:sqref>
        </x14:dataValidation>
        <x14:dataValidation type="list" allowBlank="1" showErrorMessage="1" xr:uid="{00000000-0002-0000-0100-000003000000}">
          <x14:formula1>
            <xm:f>CategoriesTesttype!$A$2:$A155</xm:f>
          </x14:formula1>
          <xm:sqref>J4:J155</xm:sqref>
        </x14:dataValidation>
        <x14:dataValidation type="list" allowBlank="1" showErrorMessage="1" xr:uid="{00000000-0002-0000-0100-000005000000}">
          <x14:formula1>
            <xm:f>CategoriesSubjects!$A$2:$A155</xm:f>
          </x14:formula1>
          <xm:sqref>H4:H155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153"/>
  <sheetViews>
    <sheetView tabSelected="1" workbookViewId="0">
      <pane xSplit="1" ySplit="3" topLeftCell="F4" activePane="bottomRight" state="frozen"/>
      <selection pane="topRight" activeCell="B1" sqref="B1"/>
      <selection pane="bottomLeft" activeCell="A4" sqref="A4"/>
      <selection pane="bottomRight" activeCell="O25" sqref="O25"/>
    </sheetView>
  </sheetViews>
  <sheetFormatPr defaultColWidth="12.6640625" defaultRowHeight="15.75" customHeight="1" x14ac:dyDescent="0.25"/>
  <cols>
    <col min="1" max="2" width="8.88671875" customWidth="1"/>
    <col min="3" max="3" width="18.88671875" customWidth="1"/>
    <col min="4" max="4" width="21.33203125" customWidth="1"/>
    <col min="5" max="5" width="18.88671875" customWidth="1"/>
    <col min="6" max="6" width="37.6640625" customWidth="1"/>
    <col min="7" max="7" width="8.88671875" customWidth="1"/>
    <col min="8" max="8" width="16.33203125" customWidth="1"/>
    <col min="10" max="10" width="20.109375" customWidth="1"/>
    <col min="11" max="14" width="16.33203125" customWidth="1"/>
    <col min="15" max="15" width="17.6640625" customWidth="1"/>
    <col min="16" max="16" width="25.109375" customWidth="1"/>
    <col min="17" max="17" width="17.6640625" customWidth="1"/>
    <col min="18" max="18" width="25.109375" customWidth="1"/>
    <col min="19" max="19" width="50.109375" customWidth="1"/>
  </cols>
  <sheetData>
    <row r="1" spans="1:19" x14ac:dyDescent="0.25">
      <c r="A1" s="1" t="s">
        <v>9</v>
      </c>
      <c r="B1" s="4" t="s">
        <v>10</v>
      </c>
      <c r="C1" s="39" t="s">
        <v>11</v>
      </c>
      <c r="D1" s="38"/>
      <c r="E1" s="38"/>
      <c r="F1" s="38"/>
      <c r="G1" s="39" t="s">
        <v>12</v>
      </c>
      <c r="H1" s="38"/>
      <c r="I1" s="37" t="s">
        <v>13</v>
      </c>
      <c r="J1" s="38"/>
      <c r="K1" s="38"/>
      <c r="L1" s="38"/>
      <c r="M1" s="38"/>
      <c r="N1" s="38"/>
      <c r="O1" s="37" t="s">
        <v>14</v>
      </c>
      <c r="P1" s="38"/>
      <c r="Q1" s="38"/>
      <c r="R1" s="38"/>
      <c r="S1" s="2" t="s">
        <v>15</v>
      </c>
    </row>
    <row r="2" spans="1:19" x14ac:dyDescent="0.25">
      <c r="A2" s="1"/>
      <c r="B2" s="4"/>
      <c r="C2" s="39" t="s">
        <v>16</v>
      </c>
      <c r="D2" s="38"/>
      <c r="E2" s="39" t="s">
        <v>17</v>
      </c>
      <c r="F2" s="38"/>
      <c r="G2" s="40" t="s">
        <v>18</v>
      </c>
      <c r="H2" s="4" t="s">
        <v>19</v>
      </c>
      <c r="I2" s="1" t="s">
        <v>20</v>
      </c>
      <c r="J2" s="9" t="s">
        <v>21</v>
      </c>
      <c r="K2" s="37" t="s">
        <v>22</v>
      </c>
      <c r="L2" s="38"/>
      <c r="M2" s="38"/>
      <c r="N2" s="38"/>
      <c r="O2" s="37" t="s">
        <v>23</v>
      </c>
      <c r="P2" s="38"/>
      <c r="Q2" s="37" t="s">
        <v>13</v>
      </c>
      <c r="R2" s="38"/>
      <c r="S2" s="2"/>
    </row>
    <row r="3" spans="1:19" x14ac:dyDescent="0.25">
      <c r="A3" s="1"/>
      <c r="B3" s="4"/>
      <c r="C3" s="2" t="s">
        <v>24</v>
      </c>
      <c r="D3" s="10" t="s">
        <v>25</v>
      </c>
      <c r="E3" s="2" t="s">
        <v>26</v>
      </c>
      <c r="F3" s="11" t="s">
        <v>27</v>
      </c>
      <c r="G3" s="38"/>
      <c r="H3" s="4"/>
      <c r="I3" s="1"/>
      <c r="J3" s="9"/>
      <c r="K3" s="1" t="s">
        <v>28</v>
      </c>
      <c r="L3" s="1" t="s">
        <v>29</v>
      </c>
      <c r="M3" s="1" t="s">
        <v>30</v>
      </c>
      <c r="N3" s="4" t="s">
        <v>31</v>
      </c>
      <c r="O3" s="1" t="s">
        <v>32</v>
      </c>
      <c r="P3" s="10" t="s">
        <v>33</v>
      </c>
      <c r="Q3" s="1" t="s">
        <v>32</v>
      </c>
      <c r="R3" s="11" t="s">
        <v>33</v>
      </c>
      <c r="S3" s="2"/>
    </row>
    <row r="4" spans="1:19" x14ac:dyDescent="0.25">
      <c r="A4" s="5">
        <v>6</v>
      </c>
      <c r="B4" s="8" t="str">
        <f ca="1">IF(ISBLANK(A4), "", IF(VLOOKUP(A4, Studies!A:D, 2)="jfr", "dfu", "jfr"))</f>
        <v>jfr</v>
      </c>
      <c r="C4" s="6" t="s">
        <v>90</v>
      </c>
      <c r="D4" s="12" t="s">
        <v>91</v>
      </c>
      <c r="E4" s="6" t="s">
        <v>92</v>
      </c>
      <c r="F4" s="13" t="s">
        <v>93</v>
      </c>
      <c r="G4" s="6"/>
      <c r="H4" s="8" t="s">
        <v>39</v>
      </c>
      <c r="I4" s="5" t="s">
        <v>40</v>
      </c>
      <c r="J4" s="14" t="s">
        <v>41</v>
      </c>
      <c r="K4" s="5" t="s">
        <v>42</v>
      </c>
      <c r="L4" s="5" t="s">
        <v>42</v>
      </c>
      <c r="M4" s="5" t="s">
        <v>43</v>
      </c>
      <c r="N4" s="8" t="s">
        <v>43</v>
      </c>
      <c r="O4" s="5" t="s">
        <v>44</v>
      </c>
      <c r="P4" s="12"/>
      <c r="Q4" s="5" t="s">
        <v>44</v>
      </c>
      <c r="R4" s="13"/>
      <c r="S4" s="6" t="s">
        <v>94</v>
      </c>
    </row>
    <row r="5" spans="1:19" x14ac:dyDescent="0.25">
      <c r="A5" s="5">
        <v>9</v>
      </c>
      <c r="B5" s="8" t="s">
        <v>95</v>
      </c>
      <c r="C5" s="6" t="s">
        <v>96</v>
      </c>
      <c r="D5" s="12" t="s">
        <v>97</v>
      </c>
      <c r="E5" s="6" t="s">
        <v>98</v>
      </c>
      <c r="F5" s="13" t="s">
        <v>99</v>
      </c>
      <c r="G5" s="6">
        <v>105</v>
      </c>
      <c r="H5" s="8" t="s">
        <v>49</v>
      </c>
      <c r="I5" s="5" t="s">
        <v>40</v>
      </c>
      <c r="J5" s="14" t="s">
        <v>41</v>
      </c>
      <c r="K5" s="42" t="s">
        <v>43</v>
      </c>
      <c r="L5" s="5" t="s">
        <v>42</v>
      </c>
      <c r="M5" s="42" t="s">
        <v>57</v>
      </c>
      <c r="N5" s="8" t="s">
        <v>42</v>
      </c>
      <c r="O5" s="42" t="s">
        <v>50</v>
      </c>
      <c r="P5" s="15" t="s">
        <v>51</v>
      </c>
      <c r="Q5" s="42" t="s">
        <v>50</v>
      </c>
      <c r="R5" s="16" t="s">
        <v>51</v>
      </c>
      <c r="S5" s="6"/>
    </row>
    <row r="6" spans="1:19" x14ac:dyDescent="0.25">
      <c r="A6" s="5">
        <v>14</v>
      </c>
      <c r="B6" s="8" t="str">
        <f ca="1">IF(ISBLANK(A6), "", IF(VLOOKUP(A6, Studies!A:D, 2)="jfr", "dfu", "jfr"))</f>
        <v>jfr</v>
      </c>
      <c r="C6" s="5" t="s">
        <v>100</v>
      </c>
      <c r="D6" s="12" t="s">
        <v>53</v>
      </c>
      <c r="E6" s="6" t="s">
        <v>101</v>
      </c>
      <c r="F6" s="13" t="s">
        <v>102</v>
      </c>
      <c r="G6" s="6">
        <v>21</v>
      </c>
      <c r="H6" s="8" t="s">
        <v>39</v>
      </c>
      <c r="I6" s="5" t="s">
        <v>40</v>
      </c>
      <c r="J6" s="14" t="s">
        <v>56</v>
      </c>
      <c r="K6" s="5" t="s">
        <v>43</v>
      </c>
      <c r="L6" s="5" t="s">
        <v>57</v>
      </c>
      <c r="M6" s="5" t="s">
        <v>43</v>
      </c>
      <c r="N6" s="8" t="s">
        <v>57</v>
      </c>
      <c r="O6" s="5" t="s">
        <v>44</v>
      </c>
      <c r="P6" s="12"/>
      <c r="Q6" s="5" t="s">
        <v>44</v>
      </c>
      <c r="R6" s="13"/>
      <c r="S6" s="6" t="s">
        <v>103</v>
      </c>
    </row>
    <row r="7" spans="1:19" x14ac:dyDescent="0.25">
      <c r="A7" s="5">
        <v>48</v>
      </c>
      <c r="B7" s="8" t="str">
        <f ca="1">IF(ISBLANK(A7), "", IF(VLOOKUP(A7, Studies!A:D, 2)="jfr", "dfu", "jfr"))</f>
        <v>jfr</v>
      </c>
      <c r="C7" s="5" t="s">
        <v>100</v>
      </c>
      <c r="D7" s="14" t="s">
        <v>59</v>
      </c>
      <c r="E7" s="5" t="s">
        <v>104</v>
      </c>
      <c r="F7" s="8" t="s">
        <v>105</v>
      </c>
      <c r="G7" s="6">
        <v>18</v>
      </c>
      <c r="H7" s="8" t="s">
        <v>39</v>
      </c>
      <c r="I7" s="5" t="s">
        <v>67</v>
      </c>
      <c r="J7" s="14"/>
      <c r="K7" s="5" t="s">
        <v>42</v>
      </c>
      <c r="L7" s="5" t="s">
        <v>43</v>
      </c>
      <c r="M7" s="42" t="s">
        <v>42</v>
      </c>
      <c r="N7" s="8" t="s">
        <v>42</v>
      </c>
      <c r="O7" s="5" t="s">
        <v>44</v>
      </c>
      <c r="P7" s="12"/>
      <c r="Q7" s="5" t="s">
        <v>44</v>
      </c>
      <c r="R7" s="13"/>
      <c r="S7" s="6" t="s">
        <v>106</v>
      </c>
    </row>
    <row r="8" spans="1:19" x14ac:dyDescent="0.25">
      <c r="A8" s="5">
        <v>64</v>
      </c>
      <c r="B8" s="8" t="s">
        <v>95</v>
      </c>
      <c r="C8" s="6" t="s">
        <v>107</v>
      </c>
      <c r="D8" s="12" t="s">
        <v>108</v>
      </c>
      <c r="E8" s="6" t="s">
        <v>65</v>
      </c>
      <c r="F8" s="13" t="s">
        <v>109</v>
      </c>
      <c r="G8" s="6">
        <v>17</v>
      </c>
      <c r="H8" s="8" t="s">
        <v>39</v>
      </c>
      <c r="I8" s="5" t="s">
        <v>67</v>
      </c>
      <c r="J8" s="14"/>
      <c r="K8" s="5" t="s">
        <v>68</v>
      </c>
      <c r="L8" s="5" t="s">
        <v>68</v>
      </c>
      <c r="M8" s="5" t="s">
        <v>68</v>
      </c>
      <c r="N8" s="8" t="s">
        <v>68</v>
      </c>
      <c r="O8" s="5" t="s">
        <v>69</v>
      </c>
      <c r="P8" s="15" t="s">
        <v>70</v>
      </c>
      <c r="Q8" s="5" t="s">
        <v>44</v>
      </c>
      <c r="R8" s="13"/>
      <c r="S8" s="6"/>
    </row>
    <row r="9" spans="1:19" x14ac:dyDescent="0.25">
      <c r="A9" s="5">
        <v>71</v>
      </c>
      <c r="B9" s="8" t="str">
        <f ca="1">IF(ISBLANK(A9), "", IF(VLOOKUP(A9, Studies!A:D, 2)="jfr", "dfu", "jfr"))</f>
        <v>jfr</v>
      </c>
      <c r="C9" s="6" t="s">
        <v>71</v>
      </c>
      <c r="D9" s="12" t="s">
        <v>110</v>
      </c>
      <c r="E9" s="6" t="s">
        <v>111</v>
      </c>
      <c r="F9" s="13"/>
      <c r="G9" s="6">
        <v>24</v>
      </c>
      <c r="H9" s="8" t="s">
        <v>49</v>
      </c>
      <c r="I9" s="5" t="s">
        <v>40</v>
      </c>
      <c r="J9" s="14" t="s">
        <v>75</v>
      </c>
      <c r="K9" s="5" t="s">
        <v>43</v>
      </c>
      <c r="L9" s="5" t="s">
        <v>43</v>
      </c>
      <c r="M9" s="5" t="s">
        <v>57</v>
      </c>
      <c r="N9" s="8" t="s">
        <v>43</v>
      </c>
      <c r="O9" s="5" t="s">
        <v>44</v>
      </c>
      <c r="P9" s="12"/>
      <c r="Q9" s="5" t="s">
        <v>44</v>
      </c>
      <c r="R9" s="13"/>
      <c r="S9" s="6"/>
    </row>
    <row r="10" spans="1:19" x14ac:dyDescent="0.25">
      <c r="A10" s="5">
        <v>77</v>
      </c>
      <c r="B10" s="8" t="s">
        <v>95</v>
      </c>
      <c r="C10" s="6" t="s">
        <v>112</v>
      </c>
      <c r="D10" s="12" t="s">
        <v>113</v>
      </c>
      <c r="E10" s="6" t="s">
        <v>114</v>
      </c>
      <c r="F10" s="13" t="s">
        <v>115</v>
      </c>
      <c r="G10" s="6">
        <v>14</v>
      </c>
      <c r="H10" s="8" t="s">
        <v>80</v>
      </c>
      <c r="I10" s="5" t="s">
        <v>80</v>
      </c>
      <c r="J10" s="14"/>
      <c r="K10" s="5" t="s">
        <v>43</v>
      </c>
      <c r="L10" s="5" t="s">
        <v>43</v>
      </c>
      <c r="M10" s="5" t="s">
        <v>43</v>
      </c>
      <c r="N10" s="8" t="s">
        <v>43</v>
      </c>
      <c r="O10" s="5" t="s">
        <v>69</v>
      </c>
      <c r="P10" s="15" t="s">
        <v>81</v>
      </c>
      <c r="Q10" s="5" t="s">
        <v>44</v>
      </c>
      <c r="R10" s="13"/>
      <c r="S10" s="6"/>
    </row>
    <row r="11" spans="1:19" x14ac:dyDescent="0.25">
      <c r="A11" s="5">
        <v>116</v>
      </c>
      <c r="B11" s="8" t="s">
        <v>95</v>
      </c>
      <c r="C11" s="6" t="s">
        <v>116</v>
      </c>
      <c r="D11" s="12" t="s">
        <v>117</v>
      </c>
      <c r="E11" s="6" t="s">
        <v>85</v>
      </c>
      <c r="F11" s="13" t="s">
        <v>118</v>
      </c>
      <c r="G11" s="6" t="s">
        <v>119</v>
      </c>
      <c r="H11" s="8" t="s">
        <v>39</v>
      </c>
      <c r="I11" s="5" t="s">
        <v>67</v>
      </c>
      <c r="J11" s="14"/>
      <c r="K11" s="5" t="s">
        <v>68</v>
      </c>
      <c r="L11" s="5" t="s">
        <v>68</v>
      </c>
      <c r="M11" s="5" t="s">
        <v>42</v>
      </c>
      <c r="N11" s="8" t="s">
        <v>43</v>
      </c>
      <c r="O11" s="5" t="s">
        <v>87</v>
      </c>
      <c r="P11" s="15" t="s">
        <v>120</v>
      </c>
      <c r="Q11" s="5" t="s">
        <v>87</v>
      </c>
      <c r="R11" s="13"/>
      <c r="S11" s="6"/>
    </row>
    <row r="12" spans="1:19" x14ac:dyDescent="0.25">
      <c r="B12" s="8" t="str">
        <f>IF(ISBLANK(A12), "", IF(VLOOKUP(A12, Studies!A:D, 2)="jfr", "dfu", "jfr"))</f>
        <v/>
      </c>
      <c r="C12" s="6"/>
      <c r="D12" s="12"/>
      <c r="E12" s="6"/>
      <c r="F12" s="13"/>
      <c r="G12" s="6"/>
      <c r="H12" s="8"/>
      <c r="I12" s="5"/>
      <c r="J12" s="14"/>
      <c r="K12" s="5"/>
      <c r="L12" s="5"/>
      <c r="M12" s="5"/>
      <c r="N12" s="8"/>
      <c r="O12" s="5"/>
      <c r="P12" s="12"/>
      <c r="Q12" s="5"/>
      <c r="R12" s="13"/>
      <c r="S12" s="6"/>
    </row>
    <row r="13" spans="1:19" x14ac:dyDescent="0.25">
      <c r="B13" s="8" t="str">
        <f>IF(ISBLANK(A13), "", IF(VLOOKUP(A13, Studies!A:D, 2)="jfr", "dfu", "jfr"))</f>
        <v/>
      </c>
      <c r="C13" s="6"/>
      <c r="D13" s="12"/>
      <c r="E13" s="6"/>
      <c r="F13" s="13"/>
      <c r="G13" s="6"/>
      <c r="H13" s="8"/>
      <c r="I13" s="5"/>
      <c r="J13" s="14"/>
      <c r="K13" s="5"/>
      <c r="L13" s="5"/>
      <c r="M13" s="5"/>
      <c r="N13" s="8"/>
      <c r="O13" s="5"/>
      <c r="P13" s="12"/>
      <c r="Q13" s="5"/>
      <c r="R13" s="13"/>
      <c r="S13" s="6"/>
    </row>
    <row r="14" spans="1:19" x14ac:dyDescent="0.25">
      <c r="B14" s="8" t="str">
        <f>IF(ISBLANK(A14), "", IF(VLOOKUP(A14, Studies!A:D, 2)="jfr", "dfu", "jfr"))</f>
        <v/>
      </c>
      <c r="C14" s="6"/>
      <c r="D14" s="12"/>
      <c r="E14" s="6"/>
      <c r="F14" s="13"/>
      <c r="G14" s="6"/>
      <c r="H14" s="8"/>
      <c r="I14" s="5"/>
      <c r="J14" s="14"/>
      <c r="K14" s="5"/>
      <c r="L14" s="5"/>
      <c r="M14" s="5"/>
      <c r="N14" s="8"/>
      <c r="O14" s="5"/>
      <c r="P14" s="12"/>
      <c r="Q14" s="5"/>
      <c r="R14" s="13"/>
      <c r="S14" s="6"/>
    </row>
    <row r="15" spans="1:19" x14ac:dyDescent="0.25">
      <c r="B15" s="8" t="str">
        <f>IF(ISBLANK(A15), "", IF(VLOOKUP(A15, Studies!A:D, 2)="jfr", "dfu", "jfr"))</f>
        <v/>
      </c>
      <c r="C15" s="6"/>
      <c r="D15" s="12"/>
      <c r="E15" s="6"/>
      <c r="F15" s="13"/>
      <c r="G15" s="6"/>
      <c r="H15" s="8"/>
      <c r="I15" s="5"/>
      <c r="J15" s="14"/>
      <c r="K15" s="5"/>
      <c r="L15" s="5"/>
      <c r="M15" s="5"/>
      <c r="N15" s="8"/>
      <c r="O15" s="5"/>
      <c r="P15" s="12"/>
      <c r="Q15" s="5"/>
      <c r="R15" s="13"/>
      <c r="S15" s="6"/>
    </row>
    <row r="16" spans="1:19" x14ac:dyDescent="0.25">
      <c r="B16" s="8" t="str">
        <f>IF(ISBLANK(A16), "", IF(VLOOKUP(A16, Studies!A:D, 2)="jfr", "dfu", "jfr"))</f>
        <v/>
      </c>
      <c r="C16" s="6"/>
      <c r="D16" s="12"/>
      <c r="E16" s="6"/>
      <c r="F16" s="13"/>
      <c r="G16" s="6"/>
      <c r="H16" s="8"/>
      <c r="I16" s="5"/>
      <c r="J16" s="14"/>
      <c r="K16" s="5"/>
      <c r="L16" s="5"/>
      <c r="M16" s="5"/>
      <c r="N16" s="8"/>
      <c r="O16" s="5"/>
      <c r="P16" s="12"/>
      <c r="Q16" s="5"/>
      <c r="R16" s="13"/>
      <c r="S16" s="6"/>
    </row>
    <row r="17" spans="2:19" x14ac:dyDescent="0.25">
      <c r="B17" s="8" t="str">
        <f>IF(ISBLANK(A17), "", IF(VLOOKUP(A17, Studies!A:D, 2)="jfr", "dfu", "jfr"))</f>
        <v/>
      </c>
      <c r="C17" s="6"/>
      <c r="D17" s="12"/>
      <c r="E17" s="6"/>
      <c r="F17" s="13"/>
      <c r="G17" s="6"/>
      <c r="H17" s="8"/>
      <c r="I17" s="5"/>
      <c r="J17" s="14"/>
      <c r="K17" s="5"/>
      <c r="L17" s="5"/>
      <c r="M17" s="5"/>
      <c r="N17" s="8"/>
      <c r="O17" s="5"/>
      <c r="P17" s="12"/>
      <c r="Q17" s="5"/>
      <c r="R17" s="13"/>
      <c r="S17" s="6"/>
    </row>
    <row r="18" spans="2:19" x14ac:dyDescent="0.25">
      <c r="B18" s="8" t="str">
        <f>IF(ISBLANK(A18), "", IF(VLOOKUP(A18, Studies!A:D, 2)="jfr", "dfu", "jfr"))</f>
        <v/>
      </c>
      <c r="C18" s="6"/>
      <c r="D18" s="12"/>
      <c r="E18" s="6"/>
      <c r="F18" s="13"/>
      <c r="G18" s="6"/>
      <c r="H18" s="8"/>
      <c r="I18" s="5"/>
      <c r="J18" s="14"/>
      <c r="K18" s="5"/>
      <c r="L18" s="5"/>
      <c r="M18" s="5"/>
      <c r="N18" s="8"/>
      <c r="O18" s="5"/>
      <c r="P18" s="12"/>
      <c r="Q18" s="5"/>
      <c r="R18" s="13"/>
      <c r="S18" s="6"/>
    </row>
    <row r="19" spans="2:19" x14ac:dyDescent="0.25">
      <c r="B19" s="8" t="str">
        <f>IF(ISBLANK(A19), "", IF(VLOOKUP(A19, Studies!A:D, 2)="jfr", "dfu", "jfr"))</f>
        <v/>
      </c>
      <c r="C19" s="6"/>
      <c r="D19" s="12"/>
      <c r="E19" s="6"/>
      <c r="F19" s="13"/>
      <c r="G19" s="6"/>
      <c r="H19" s="8"/>
      <c r="I19" s="5"/>
      <c r="J19" s="14"/>
      <c r="K19" s="5"/>
      <c r="L19" s="5"/>
      <c r="M19" s="5"/>
      <c r="N19" s="8"/>
      <c r="O19" s="5"/>
      <c r="P19" s="12"/>
      <c r="Q19" s="5"/>
      <c r="R19" s="13"/>
      <c r="S19" s="6"/>
    </row>
    <row r="20" spans="2:19" x14ac:dyDescent="0.25">
      <c r="B20" s="8" t="str">
        <f>IF(ISBLANK(A20), "", IF(VLOOKUP(A20, Studies!A:D, 2)="jfr", "dfu", "jfr"))</f>
        <v/>
      </c>
      <c r="C20" s="6"/>
      <c r="D20" s="12"/>
      <c r="E20" s="6"/>
      <c r="F20" s="13"/>
      <c r="G20" s="6"/>
      <c r="H20" s="8"/>
      <c r="I20" s="5"/>
      <c r="J20" s="14"/>
      <c r="K20" s="5"/>
      <c r="L20" s="5"/>
      <c r="M20" s="5"/>
      <c r="N20" s="8"/>
      <c r="O20" s="5"/>
      <c r="P20" s="12"/>
      <c r="Q20" s="5"/>
      <c r="R20" s="13"/>
      <c r="S20" s="6"/>
    </row>
    <row r="21" spans="2:19" x14ac:dyDescent="0.25">
      <c r="B21" s="8" t="str">
        <f>IF(ISBLANK(A21), "", IF(VLOOKUP(A21, Studies!A:D, 2)="jfr", "dfu", "jfr"))</f>
        <v/>
      </c>
      <c r="C21" s="6"/>
      <c r="D21" s="12"/>
      <c r="E21" s="6"/>
      <c r="F21" s="13"/>
      <c r="G21" s="6"/>
      <c r="H21" s="8"/>
      <c r="I21" s="5"/>
      <c r="J21" s="14"/>
      <c r="K21" s="5"/>
      <c r="L21" s="5"/>
      <c r="M21" s="5"/>
      <c r="N21" s="8"/>
      <c r="O21" s="5"/>
      <c r="P21" s="12"/>
      <c r="Q21" s="5"/>
      <c r="R21" s="13"/>
      <c r="S21" s="6"/>
    </row>
    <row r="22" spans="2:19" x14ac:dyDescent="0.25">
      <c r="B22" s="8" t="str">
        <f>IF(ISBLANK(A22), "", IF(VLOOKUP(A22, Studies!A:D, 2)="jfr", "dfu", "jfr"))</f>
        <v/>
      </c>
      <c r="C22" s="6"/>
      <c r="D22" s="12"/>
      <c r="E22" s="6"/>
      <c r="F22" s="13"/>
      <c r="G22" s="6"/>
      <c r="H22" s="8"/>
      <c r="I22" s="5"/>
      <c r="J22" s="14"/>
      <c r="K22" s="5"/>
      <c r="L22" s="5"/>
      <c r="M22" s="5"/>
      <c r="N22" s="8"/>
      <c r="O22" s="5"/>
      <c r="P22" s="12"/>
      <c r="Q22" s="5"/>
      <c r="R22" s="13"/>
      <c r="S22" s="6"/>
    </row>
    <row r="23" spans="2:19" x14ac:dyDescent="0.25">
      <c r="B23" s="8" t="str">
        <f>IF(ISBLANK(A23), "", IF(VLOOKUP(A23, Studies!A:D, 2)="jfr", "dfu", "jfr"))</f>
        <v/>
      </c>
      <c r="C23" s="6"/>
      <c r="D23" s="12"/>
      <c r="E23" s="6"/>
      <c r="F23" s="13"/>
      <c r="G23" s="6"/>
      <c r="H23" s="8"/>
      <c r="I23" s="5"/>
      <c r="J23" s="14"/>
      <c r="K23" s="5"/>
      <c r="L23" s="5"/>
      <c r="M23" s="5"/>
      <c r="N23" s="8"/>
      <c r="O23" s="5"/>
      <c r="P23" s="12"/>
      <c r="Q23" s="5"/>
      <c r="R23" s="13"/>
      <c r="S23" s="6"/>
    </row>
    <row r="24" spans="2:19" x14ac:dyDescent="0.25">
      <c r="B24" s="8" t="str">
        <f>IF(ISBLANK(A24), "", IF(VLOOKUP(A24, Studies!A:D, 2)="jfr", "dfu", "jfr"))</f>
        <v/>
      </c>
      <c r="C24" s="6"/>
      <c r="D24" s="12"/>
      <c r="E24" s="6"/>
      <c r="F24" s="13"/>
      <c r="G24" s="6"/>
      <c r="H24" s="8"/>
      <c r="I24" s="5"/>
      <c r="J24" s="14"/>
      <c r="K24" s="5"/>
      <c r="L24" s="5"/>
      <c r="M24" s="5"/>
      <c r="N24" s="8"/>
      <c r="O24" s="5"/>
      <c r="P24" s="12"/>
      <c r="Q24" s="5"/>
      <c r="R24" s="13"/>
      <c r="S24" s="6"/>
    </row>
    <row r="25" spans="2:19" x14ac:dyDescent="0.25">
      <c r="B25" s="8" t="str">
        <f>IF(ISBLANK(A25), "", IF(VLOOKUP(A25, Studies!A:D, 2)="jfr", "dfu", "jfr"))</f>
        <v/>
      </c>
      <c r="C25" s="6"/>
      <c r="D25" s="12"/>
      <c r="E25" s="6"/>
      <c r="F25" s="13"/>
      <c r="G25" s="6"/>
      <c r="H25" s="8"/>
      <c r="I25" s="5"/>
      <c r="J25" s="14"/>
      <c r="K25" s="5"/>
      <c r="L25" s="5"/>
      <c r="M25" s="5"/>
      <c r="N25" s="8"/>
      <c r="O25" s="5"/>
      <c r="P25" s="12"/>
      <c r="Q25" s="5"/>
      <c r="R25" s="13"/>
      <c r="S25" s="6"/>
    </row>
    <row r="26" spans="2:19" x14ac:dyDescent="0.25">
      <c r="B26" s="8" t="str">
        <f>IF(ISBLANK(A26), "", IF(VLOOKUP(A26, Studies!A:D, 2)="jfr", "dfu", "jfr"))</f>
        <v/>
      </c>
      <c r="C26" s="6"/>
      <c r="D26" s="12"/>
      <c r="E26" s="6"/>
      <c r="F26" s="13"/>
      <c r="G26" s="6"/>
      <c r="H26" s="8"/>
      <c r="I26" s="5"/>
      <c r="J26" s="14"/>
      <c r="K26" s="5"/>
      <c r="L26" s="5"/>
      <c r="M26" s="5"/>
      <c r="N26" s="8"/>
      <c r="O26" s="5"/>
      <c r="P26" s="12"/>
      <c r="Q26" s="5"/>
      <c r="R26" s="13"/>
      <c r="S26" s="6"/>
    </row>
    <row r="27" spans="2:19" x14ac:dyDescent="0.25">
      <c r="B27" s="8" t="str">
        <f>IF(ISBLANK(A27), "", IF(VLOOKUP(A27, Studies!A:D, 2)="jfr", "dfu", "jfr"))</f>
        <v/>
      </c>
      <c r="C27" s="6"/>
      <c r="D27" s="12"/>
      <c r="E27" s="6"/>
      <c r="F27" s="13"/>
      <c r="G27" s="6"/>
      <c r="H27" s="8"/>
      <c r="I27" s="5"/>
      <c r="J27" s="14"/>
      <c r="K27" s="5"/>
      <c r="L27" s="5"/>
      <c r="M27" s="5"/>
      <c r="N27" s="8"/>
      <c r="O27" s="5"/>
      <c r="P27" s="12"/>
      <c r="Q27" s="5"/>
      <c r="R27" s="13"/>
      <c r="S27" s="6"/>
    </row>
    <row r="28" spans="2:19" x14ac:dyDescent="0.25">
      <c r="B28" s="8" t="str">
        <f>IF(ISBLANK(A28), "", IF(VLOOKUP(A28, Studies!A:D, 2)="jfr", "dfu", "jfr"))</f>
        <v/>
      </c>
      <c r="C28" s="6"/>
      <c r="D28" s="12"/>
      <c r="E28" s="6"/>
      <c r="F28" s="13"/>
      <c r="G28" s="6"/>
      <c r="H28" s="8"/>
      <c r="I28" s="5"/>
      <c r="J28" s="14"/>
      <c r="K28" s="5"/>
      <c r="L28" s="5"/>
      <c r="M28" s="5"/>
      <c r="N28" s="8"/>
      <c r="O28" s="5"/>
      <c r="P28" s="12"/>
      <c r="Q28" s="5"/>
      <c r="R28" s="13"/>
      <c r="S28" s="6"/>
    </row>
    <row r="29" spans="2:19" x14ac:dyDescent="0.25">
      <c r="B29" s="8" t="str">
        <f>IF(ISBLANK(A29), "", IF(VLOOKUP(A29, Studies!A:D, 2)="jfr", "dfu", "jfr"))</f>
        <v/>
      </c>
      <c r="C29" s="6"/>
      <c r="D29" s="12"/>
      <c r="E29" s="6"/>
      <c r="F29" s="13"/>
      <c r="G29" s="6"/>
      <c r="H29" s="8"/>
      <c r="I29" s="5"/>
      <c r="J29" s="14"/>
      <c r="K29" s="5"/>
      <c r="L29" s="5"/>
      <c r="M29" s="5"/>
      <c r="N29" s="8"/>
      <c r="O29" s="5"/>
      <c r="P29" s="12"/>
      <c r="Q29" s="5"/>
      <c r="R29" s="13"/>
      <c r="S29" s="6"/>
    </row>
    <row r="30" spans="2:19" x14ac:dyDescent="0.25">
      <c r="B30" s="8" t="str">
        <f>IF(ISBLANK(A30), "", IF(VLOOKUP(A30, Studies!A:D, 2)="jfr", "dfu", "jfr"))</f>
        <v/>
      </c>
      <c r="C30" s="6"/>
      <c r="D30" s="12"/>
      <c r="E30" s="6"/>
      <c r="F30" s="13"/>
      <c r="G30" s="6"/>
      <c r="H30" s="8"/>
      <c r="I30" s="5"/>
      <c r="J30" s="14"/>
      <c r="K30" s="5"/>
      <c r="L30" s="5"/>
      <c r="M30" s="5"/>
      <c r="N30" s="8"/>
      <c r="O30" s="5"/>
      <c r="P30" s="12"/>
      <c r="Q30" s="5"/>
      <c r="R30" s="13"/>
      <c r="S30" s="6"/>
    </row>
    <row r="31" spans="2:19" x14ac:dyDescent="0.25">
      <c r="B31" s="8" t="str">
        <f>IF(ISBLANK(A31), "", IF(VLOOKUP(A31, Studies!A:D, 2)="jfr", "dfu", "jfr"))</f>
        <v/>
      </c>
      <c r="C31" s="6"/>
      <c r="D31" s="12"/>
      <c r="E31" s="6"/>
      <c r="F31" s="13"/>
      <c r="G31" s="6"/>
      <c r="H31" s="8"/>
      <c r="I31" s="5"/>
      <c r="J31" s="14"/>
      <c r="K31" s="5"/>
      <c r="L31" s="5"/>
      <c r="M31" s="5"/>
      <c r="N31" s="8"/>
      <c r="O31" s="5"/>
      <c r="P31" s="12"/>
      <c r="Q31" s="5"/>
      <c r="R31" s="13"/>
      <c r="S31" s="6"/>
    </row>
    <row r="32" spans="2:19" x14ac:dyDescent="0.25">
      <c r="B32" s="8" t="str">
        <f>IF(ISBLANK(A32), "", IF(VLOOKUP(A32, Studies!A:D, 2)="jfr", "dfu", "jfr"))</f>
        <v/>
      </c>
      <c r="C32" s="6"/>
      <c r="D32" s="12"/>
      <c r="E32" s="6"/>
      <c r="F32" s="13"/>
      <c r="G32" s="6"/>
      <c r="H32" s="8"/>
      <c r="I32" s="5"/>
      <c r="J32" s="14"/>
      <c r="K32" s="5"/>
      <c r="L32" s="5"/>
      <c r="M32" s="5"/>
      <c r="N32" s="8"/>
      <c r="O32" s="5"/>
      <c r="P32" s="12"/>
      <c r="Q32" s="5"/>
      <c r="R32" s="13"/>
      <c r="S32" s="6"/>
    </row>
    <row r="33" spans="2:19" x14ac:dyDescent="0.25">
      <c r="B33" s="8" t="str">
        <f>IF(ISBLANK(A33), "", IF(VLOOKUP(A33, Studies!A:D, 2)="jfr", "dfu", "jfr"))</f>
        <v/>
      </c>
      <c r="C33" s="6"/>
      <c r="D33" s="12"/>
      <c r="E33" s="6"/>
      <c r="F33" s="13"/>
      <c r="G33" s="6"/>
      <c r="H33" s="8"/>
      <c r="I33" s="5"/>
      <c r="J33" s="14"/>
      <c r="K33" s="5"/>
      <c r="L33" s="5"/>
      <c r="M33" s="5"/>
      <c r="N33" s="8"/>
      <c r="O33" s="5"/>
      <c r="P33" s="12"/>
      <c r="Q33" s="5"/>
      <c r="R33" s="13"/>
      <c r="S33" s="6"/>
    </row>
    <row r="34" spans="2:19" x14ac:dyDescent="0.25">
      <c r="B34" s="8" t="str">
        <f>IF(ISBLANK(A34), "", IF(VLOOKUP(A34, Studies!A:D, 2)="jfr", "dfu", "jfr"))</f>
        <v/>
      </c>
      <c r="C34" s="6"/>
      <c r="D34" s="12"/>
      <c r="E34" s="6"/>
      <c r="F34" s="13"/>
      <c r="G34" s="6"/>
      <c r="H34" s="8"/>
      <c r="I34" s="5"/>
      <c r="J34" s="14"/>
      <c r="K34" s="5"/>
      <c r="L34" s="5"/>
      <c r="M34" s="5"/>
      <c r="N34" s="8"/>
      <c r="O34" s="5"/>
      <c r="P34" s="12"/>
      <c r="Q34" s="5"/>
      <c r="R34" s="13"/>
      <c r="S34" s="6"/>
    </row>
    <row r="35" spans="2:19" x14ac:dyDescent="0.25">
      <c r="B35" s="8" t="str">
        <f>IF(ISBLANK(A35), "", IF(VLOOKUP(A35, Studies!A:D, 2)="jfr", "dfu", "jfr"))</f>
        <v/>
      </c>
      <c r="C35" s="6"/>
      <c r="D35" s="12"/>
      <c r="E35" s="6"/>
      <c r="F35" s="13"/>
      <c r="G35" s="6"/>
      <c r="H35" s="8"/>
      <c r="I35" s="5"/>
      <c r="J35" s="14"/>
      <c r="K35" s="5"/>
      <c r="L35" s="5"/>
      <c r="M35" s="5"/>
      <c r="N35" s="8"/>
      <c r="O35" s="5"/>
      <c r="P35" s="12"/>
      <c r="Q35" s="5"/>
      <c r="R35" s="13"/>
      <c r="S35" s="6"/>
    </row>
    <row r="36" spans="2:19" x14ac:dyDescent="0.25">
      <c r="B36" s="8" t="str">
        <f>IF(ISBLANK(A36), "", IF(VLOOKUP(A36, Studies!A:D, 2)="jfr", "dfu", "jfr"))</f>
        <v/>
      </c>
      <c r="C36" s="6"/>
      <c r="D36" s="12"/>
      <c r="E36" s="6"/>
      <c r="F36" s="13"/>
      <c r="G36" s="6"/>
      <c r="H36" s="8"/>
      <c r="I36" s="5"/>
      <c r="J36" s="14"/>
      <c r="K36" s="5"/>
      <c r="L36" s="5"/>
      <c r="M36" s="5"/>
      <c r="N36" s="8"/>
      <c r="O36" s="5"/>
      <c r="P36" s="12"/>
      <c r="Q36" s="5"/>
      <c r="R36" s="13"/>
      <c r="S36" s="6"/>
    </row>
    <row r="37" spans="2:19" x14ac:dyDescent="0.25">
      <c r="B37" s="8" t="str">
        <f>IF(ISBLANK(A37), "", IF(VLOOKUP(A37, Studies!A:D, 2)="jfr", "dfu", "jfr"))</f>
        <v/>
      </c>
      <c r="C37" s="6"/>
      <c r="D37" s="12"/>
      <c r="E37" s="6"/>
      <c r="F37" s="13"/>
      <c r="G37" s="6"/>
      <c r="H37" s="8"/>
      <c r="I37" s="5"/>
      <c r="J37" s="14"/>
      <c r="K37" s="5"/>
      <c r="L37" s="5"/>
      <c r="M37" s="5"/>
      <c r="N37" s="8"/>
      <c r="O37" s="5"/>
      <c r="P37" s="12"/>
      <c r="Q37" s="5"/>
      <c r="R37" s="13"/>
      <c r="S37" s="6"/>
    </row>
    <row r="38" spans="2:19" x14ac:dyDescent="0.25">
      <c r="B38" s="8" t="str">
        <f>IF(ISBLANK(A38), "", IF(VLOOKUP(A38, Studies!A:D, 2)="jfr", "dfu", "jfr"))</f>
        <v/>
      </c>
      <c r="C38" s="6"/>
      <c r="D38" s="12"/>
      <c r="E38" s="6"/>
      <c r="F38" s="13"/>
      <c r="G38" s="6"/>
      <c r="H38" s="8"/>
      <c r="I38" s="5"/>
      <c r="J38" s="14"/>
      <c r="K38" s="5"/>
      <c r="L38" s="5"/>
      <c r="M38" s="5"/>
      <c r="N38" s="8"/>
      <c r="O38" s="5"/>
      <c r="P38" s="12"/>
      <c r="Q38" s="5"/>
      <c r="R38" s="13"/>
      <c r="S38" s="6"/>
    </row>
    <row r="39" spans="2:19" x14ac:dyDescent="0.25">
      <c r="B39" s="8" t="str">
        <f>IF(ISBLANK(A39), "", IF(VLOOKUP(A39, Studies!A:D, 2)="jfr", "dfu", "jfr"))</f>
        <v/>
      </c>
      <c r="C39" s="6"/>
      <c r="D39" s="12"/>
      <c r="E39" s="6"/>
      <c r="F39" s="13"/>
      <c r="G39" s="6"/>
      <c r="H39" s="8"/>
      <c r="I39" s="5"/>
      <c r="J39" s="14"/>
      <c r="K39" s="5"/>
      <c r="L39" s="5"/>
      <c r="M39" s="5"/>
      <c r="N39" s="8"/>
      <c r="O39" s="5"/>
      <c r="P39" s="12"/>
      <c r="Q39" s="5"/>
      <c r="R39" s="13"/>
      <c r="S39" s="6"/>
    </row>
    <row r="40" spans="2:19" x14ac:dyDescent="0.25">
      <c r="B40" s="8" t="str">
        <f>IF(ISBLANK(A40), "", IF(VLOOKUP(A40, Studies!A:D, 2)="jfr", "dfu", "jfr"))</f>
        <v/>
      </c>
      <c r="C40" s="6"/>
      <c r="D40" s="12"/>
      <c r="E40" s="6"/>
      <c r="F40" s="13"/>
      <c r="G40" s="6"/>
      <c r="H40" s="8"/>
      <c r="I40" s="5"/>
      <c r="J40" s="14"/>
      <c r="K40" s="5"/>
      <c r="L40" s="5"/>
      <c r="M40" s="5"/>
      <c r="N40" s="8"/>
      <c r="O40" s="5"/>
      <c r="P40" s="12"/>
      <c r="Q40" s="5"/>
      <c r="R40" s="13"/>
      <c r="S40" s="6"/>
    </row>
    <row r="41" spans="2:19" x14ac:dyDescent="0.25">
      <c r="B41" s="8" t="str">
        <f>IF(ISBLANK(A41), "", IF(VLOOKUP(A41, Studies!A:D, 2)="jfr", "dfu", "jfr"))</f>
        <v/>
      </c>
      <c r="C41" s="6"/>
      <c r="D41" s="12"/>
      <c r="E41" s="6"/>
      <c r="F41" s="13"/>
      <c r="G41" s="6"/>
      <c r="H41" s="8"/>
      <c r="I41" s="5"/>
      <c r="J41" s="14"/>
      <c r="K41" s="5"/>
      <c r="L41" s="5"/>
      <c r="M41" s="5"/>
      <c r="N41" s="8"/>
      <c r="O41" s="5"/>
      <c r="P41" s="12"/>
      <c r="Q41" s="5"/>
      <c r="R41" s="13"/>
      <c r="S41" s="6"/>
    </row>
    <row r="42" spans="2:19" x14ac:dyDescent="0.25">
      <c r="B42" s="8" t="str">
        <f>IF(ISBLANK(A42), "", IF(VLOOKUP(A42, Studies!A:D, 2)="jfr", "dfu", "jfr"))</f>
        <v/>
      </c>
      <c r="C42" s="6"/>
      <c r="D42" s="12"/>
      <c r="E42" s="6"/>
      <c r="F42" s="13"/>
      <c r="G42" s="6"/>
      <c r="H42" s="8"/>
      <c r="I42" s="5"/>
      <c r="J42" s="14"/>
      <c r="K42" s="5"/>
      <c r="L42" s="5"/>
      <c r="M42" s="5"/>
      <c r="N42" s="8"/>
      <c r="O42" s="5"/>
      <c r="P42" s="12"/>
      <c r="Q42" s="5"/>
      <c r="R42" s="13"/>
      <c r="S42" s="6"/>
    </row>
    <row r="43" spans="2:19" x14ac:dyDescent="0.25">
      <c r="B43" s="8" t="str">
        <f>IF(ISBLANK(A43), "", IF(VLOOKUP(A43, Studies!A:D, 2)="jfr", "dfu", "jfr"))</f>
        <v/>
      </c>
      <c r="C43" s="6"/>
      <c r="D43" s="12"/>
      <c r="E43" s="6"/>
      <c r="F43" s="13"/>
      <c r="G43" s="6"/>
      <c r="H43" s="8"/>
      <c r="I43" s="5"/>
      <c r="J43" s="14"/>
      <c r="K43" s="5"/>
      <c r="L43" s="5"/>
      <c r="M43" s="5"/>
      <c r="N43" s="8"/>
      <c r="O43" s="5"/>
      <c r="P43" s="12"/>
      <c r="Q43" s="5"/>
      <c r="R43" s="13"/>
      <c r="S43" s="6"/>
    </row>
    <row r="44" spans="2:19" x14ac:dyDescent="0.25">
      <c r="B44" s="8" t="str">
        <f>IF(ISBLANK(A44), "", IF(VLOOKUP(A44, Studies!A:D, 2)="jfr", "dfu", "jfr"))</f>
        <v/>
      </c>
      <c r="C44" s="6"/>
      <c r="D44" s="12"/>
      <c r="E44" s="6"/>
      <c r="F44" s="13"/>
      <c r="G44" s="6"/>
      <c r="H44" s="8"/>
      <c r="I44" s="5"/>
      <c r="J44" s="14"/>
      <c r="K44" s="5"/>
      <c r="L44" s="5"/>
      <c r="M44" s="5"/>
      <c r="N44" s="8"/>
      <c r="O44" s="5"/>
      <c r="P44" s="12"/>
      <c r="Q44" s="5"/>
      <c r="R44" s="13"/>
      <c r="S44" s="6"/>
    </row>
    <row r="45" spans="2:19" x14ac:dyDescent="0.25">
      <c r="B45" s="8" t="str">
        <f>IF(ISBLANK(A45), "", IF(VLOOKUP(A45, Studies!A:D, 2)="jfr", "dfu", "jfr"))</f>
        <v/>
      </c>
      <c r="C45" s="6"/>
      <c r="D45" s="12"/>
      <c r="E45" s="6"/>
      <c r="F45" s="13"/>
      <c r="G45" s="6"/>
      <c r="H45" s="8"/>
      <c r="I45" s="5"/>
      <c r="J45" s="14"/>
      <c r="K45" s="5"/>
      <c r="L45" s="5"/>
      <c r="M45" s="5"/>
      <c r="N45" s="8"/>
      <c r="O45" s="5"/>
      <c r="P45" s="12"/>
      <c r="Q45" s="5"/>
      <c r="R45" s="13"/>
      <c r="S45" s="6"/>
    </row>
    <row r="46" spans="2:19" x14ac:dyDescent="0.25">
      <c r="B46" s="8" t="str">
        <f>IF(ISBLANK(A46), "", IF(VLOOKUP(A46, Studies!A:D, 2)="jfr", "dfu", "jfr"))</f>
        <v/>
      </c>
      <c r="C46" s="6"/>
      <c r="D46" s="12"/>
      <c r="E46" s="6"/>
      <c r="F46" s="13"/>
      <c r="G46" s="6"/>
      <c r="H46" s="8"/>
      <c r="I46" s="5"/>
      <c r="J46" s="14"/>
      <c r="K46" s="5"/>
      <c r="L46" s="5"/>
      <c r="M46" s="5"/>
      <c r="N46" s="8"/>
      <c r="O46" s="5"/>
      <c r="P46" s="12"/>
      <c r="Q46" s="5"/>
      <c r="R46" s="13"/>
      <c r="S46" s="6"/>
    </row>
    <row r="47" spans="2:19" x14ac:dyDescent="0.25">
      <c r="B47" s="8" t="str">
        <f>IF(ISBLANK(A47), "", IF(VLOOKUP(A47, Studies!A:D, 2)="jfr", "dfu", "jfr"))</f>
        <v/>
      </c>
      <c r="C47" s="6"/>
      <c r="D47" s="12"/>
      <c r="E47" s="6"/>
      <c r="F47" s="13"/>
      <c r="G47" s="6"/>
      <c r="H47" s="8"/>
      <c r="I47" s="5"/>
      <c r="J47" s="14"/>
      <c r="K47" s="5"/>
      <c r="L47" s="5"/>
      <c r="M47" s="5"/>
      <c r="N47" s="8"/>
      <c r="O47" s="5"/>
      <c r="P47" s="12"/>
      <c r="Q47" s="5"/>
      <c r="R47" s="13"/>
      <c r="S47" s="6"/>
    </row>
    <row r="48" spans="2:19" x14ac:dyDescent="0.25">
      <c r="B48" s="8" t="str">
        <f>IF(ISBLANK(A48), "", IF(VLOOKUP(A48, Studies!A:D, 2)="jfr", "dfu", "jfr"))</f>
        <v/>
      </c>
      <c r="C48" s="6"/>
      <c r="D48" s="12"/>
      <c r="E48" s="6"/>
      <c r="F48" s="13"/>
      <c r="G48" s="6"/>
      <c r="H48" s="8"/>
      <c r="I48" s="5"/>
      <c r="J48" s="14"/>
      <c r="K48" s="5"/>
      <c r="L48" s="5"/>
      <c r="M48" s="5"/>
      <c r="N48" s="8"/>
      <c r="O48" s="5"/>
      <c r="P48" s="12"/>
      <c r="Q48" s="5"/>
      <c r="R48" s="13"/>
      <c r="S48" s="6"/>
    </row>
    <row r="49" spans="2:19" x14ac:dyDescent="0.25">
      <c r="B49" s="8" t="str">
        <f>IF(ISBLANK(A49), "", IF(VLOOKUP(A49, Studies!A:D, 2)="jfr", "dfu", "jfr"))</f>
        <v/>
      </c>
      <c r="C49" s="6"/>
      <c r="D49" s="12"/>
      <c r="E49" s="6"/>
      <c r="F49" s="13"/>
      <c r="G49" s="6"/>
      <c r="H49" s="8"/>
      <c r="I49" s="5"/>
      <c r="J49" s="14"/>
      <c r="K49" s="5"/>
      <c r="L49" s="5"/>
      <c r="M49" s="5"/>
      <c r="N49" s="8"/>
      <c r="O49" s="5"/>
      <c r="P49" s="12"/>
      <c r="Q49" s="5"/>
      <c r="R49" s="13"/>
      <c r="S49" s="6"/>
    </row>
    <row r="50" spans="2:19" x14ac:dyDescent="0.25">
      <c r="B50" s="8" t="str">
        <f>IF(ISBLANK(A50), "", IF(VLOOKUP(A50, Studies!A:D, 2)="jfr", "dfu", "jfr"))</f>
        <v/>
      </c>
      <c r="C50" s="6"/>
      <c r="D50" s="12"/>
      <c r="E50" s="6"/>
      <c r="F50" s="13"/>
      <c r="G50" s="6"/>
      <c r="H50" s="8"/>
      <c r="I50" s="5"/>
      <c r="J50" s="14"/>
      <c r="K50" s="5"/>
      <c r="L50" s="5"/>
      <c r="M50" s="5"/>
      <c r="N50" s="8"/>
      <c r="O50" s="5"/>
      <c r="P50" s="12"/>
      <c r="Q50" s="5"/>
      <c r="R50" s="13"/>
      <c r="S50" s="6"/>
    </row>
    <row r="51" spans="2:19" x14ac:dyDescent="0.25">
      <c r="B51" s="8" t="str">
        <f>IF(ISBLANK(A51), "", IF(VLOOKUP(A51, Studies!A:D, 2)="jfr", "dfu", "jfr"))</f>
        <v/>
      </c>
      <c r="C51" s="6"/>
      <c r="D51" s="12"/>
      <c r="E51" s="6"/>
      <c r="F51" s="13"/>
      <c r="G51" s="6"/>
      <c r="H51" s="8"/>
      <c r="I51" s="5"/>
      <c r="J51" s="14"/>
      <c r="K51" s="5"/>
      <c r="L51" s="5"/>
      <c r="M51" s="5"/>
      <c r="N51" s="8"/>
      <c r="O51" s="5"/>
      <c r="P51" s="12"/>
      <c r="Q51" s="5"/>
      <c r="R51" s="13"/>
      <c r="S51" s="6"/>
    </row>
    <row r="52" spans="2:19" x14ac:dyDescent="0.25">
      <c r="B52" s="8" t="str">
        <f>IF(ISBLANK(A52), "", IF(VLOOKUP(A52, Studies!A:D, 2)="jfr", "dfu", "jfr"))</f>
        <v/>
      </c>
      <c r="C52" s="6"/>
      <c r="D52" s="12"/>
      <c r="E52" s="6"/>
      <c r="F52" s="13"/>
      <c r="G52" s="6"/>
      <c r="H52" s="8"/>
      <c r="I52" s="5"/>
      <c r="J52" s="14"/>
      <c r="K52" s="5"/>
      <c r="L52" s="5"/>
      <c r="M52" s="5"/>
      <c r="N52" s="8"/>
      <c r="O52" s="5"/>
      <c r="P52" s="12"/>
      <c r="Q52" s="5"/>
      <c r="R52" s="13"/>
      <c r="S52" s="6"/>
    </row>
    <row r="53" spans="2:19" x14ac:dyDescent="0.25">
      <c r="B53" s="8" t="str">
        <f>IF(ISBLANK(A53), "", IF(VLOOKUP(A53, Studies!A:D, 2)="jfr", "dfu", "jfr"))</f>
        <v/>
      </c>
      <c r="C53" s="6"/>
      <c r="D53" s="12"/>
      <c r="E53" s="6"/>
      <c r="F53" s="13"/>
      <c r="G53" s="6"/>
      <c r="H53" s="8"/>
      <c r="I53" s="5"/>
      <c r="J53" s="14"/>
      <c r="K53" s="5"/>
      <c r="L53" s="5"/>
      <c r="M53" s="5"/>
      <c r="N53" s="8"/>
      <c r="O53" s="5"/>
      <c r="P53" s="12"/>
      <c r="Q53" s="5"/>
      <c r="R53" s="13"/>
      <c r="S53" s="6"/>
    </row>
    <row r="54" spans="2:19" x14ac:dyDescent="0.25">
      <c r="B54" s="8" t="str">
        <f>IF(ISBLANK(A54), "", IF(VLOOKUP(A54, Studies!A:D, 2)="jfr", "dfu", "jfr"))</f>
        <v/>
      </c>
      <c r="C54" s="6"/>
      <c r="D54" s="12"/>
      <c r="E54" s="6"/>
      <c r="F54" s="13"/>
      <c r="G54" s="6"/>
      <c r="H54" s="8"/>
      <c r="I54" s="5"/>
      <c r="J54" s="14"/>
      <c r="K54" s="5"/>
      <c r="L54" s="5"/>
      <c r="M54" s="5"/>
      <c r="N54" s="8"/>
      <c r="O54" s="5"/>
      <c r="P54" s="12"/>
      <c r="Q54" s="5"/>
      <c r="R54" s="13"/>
      <c r="S54" s="6"/>
    </row>
    <row r="55" spans="2:19" x14ac:dyDescent="0.25">
      <c r="B55" s="8" t="str">
        <f>IF(ISBLANK(A55), "", IF(VLOOKUP(A55, Studies!A:D, 2)="jfr", "dfu", "jfr"))</f>
        <v/>
      </c>
      <c r="C55" s="6"/>
      <c r="D55" s="12"/>
      <c r="E55" s="6"/>
      <c r="F55" s="13"/>
      <c r="G55" s="6"/>
      <c r="H55" s="8"/>
      <c r="I55" s="5"/>
      <c r="J55" s="14"/>
      <c r="K55" s="5"/>
      <c r="L55" s="5"/>
      <c r="M55" s="5"/>
      <c r="N55" s="8"/>
      <c r="O55" s="5"/>
      <c r="P55" s="12"/>
      <c r="Q55" s="5"/>
      <c r="R55" s="13"/>
      <c r="S55" s="6"/>
    </row>
    <row r="56" spans="2:19" x14ac:dyDescent="0.25">
      <c r="B56" s="8" t="str">
        <f>IF(ISBLANK(A56), "", IF(VLOOKUP(A56, Studies!A:D, 2)="jfr", "dfu", "jfr"))</f>
        <v/>
      </c>
      <c r="C56" s="6"/>
      <c r="D56" s="12"/>
      <c r="E56" s="6"/>
      <c r="F56" s="13"/>
      <c r="G56" s="6"/>
      <c r="H56" s="8"/>
      <c r="I56" s="5"/>
      <c r="J56" s="14"/>
      <c r="K56" s="5"/>
      <c r="L56" s="5"/>
      <c r="M56" s="5"/>
      <c r="N56" s="8"/>
      <c r="O56" s="5"/>
      <c r="P56" s="12"/>
      <c r="Q56" s="5"/>
      <c r="R56" s="13"/>
      <c r="S56" s="6"/>
    </row>
    <row r="57" spans="2:19" x14ac:dyDescent="0.25">
      <c r="B57" s="8" t="str">
        <f>IF(ISBLANK(A57), "", IF(VLOOKUP(A57, Studies!A:D, 2)="jfr", "dfu", "jfr"))</f>
        <v/>
      </c>
      <c r="C57" s="6"/>
      <c r="D57" s="12"/>
      <c r="E57" s="6"/>
      <c r="F57" s="13"/>
      <c r="G57" s="6"/>
      <c r="H57" s="8"/>
      <c r="I57" s="5"/>
      <c r="J57" s="14"/>
      <c r="K57" s="5"/>
      <c r="L57" s="5"/>
      <c r="M57" s="5"/>
      <c r="N57" s="8"/>
      <c r="O57" s="5"/>
      <c r="P57" s="12"/>
      <c r="Q57" s="5"/>
      <c r="R57" s="13"/>
      <c r="S57" s="6"/>
    </row>
    <row r="58" spans="2:19" x14ac:dyDescent="0.25">
      <c r="B58" s="8" t="str">
        <f>IF(ISBLANK(A58), "", IF(VLOOKUP(A58, Studies!A:D, 2)="jfr", "dfu", "jfr"))</f>
        <v/>
      </c>
      <c r="C58" s="6"/>
      <c r="D58" s="12"/>
      <c r="E58" s="6"/>
      <c r="F58" s="13"/>
      <c r="G58" s="6"/>
      <c r="H58" s="8"/>
      <c r="I58" s="5"/>
      <c r="J58" s="14"/>
      <c r="K58" s="5"/>
      <c r="L58" s="5"/>
      <c r="M58" s="5"/>
      <c r="N58" s="8"/>
      <c r="O58" s="5"/>
      <c r="P58" s="12"/>
      <c r="Q58" s="5"/>
      <c r="R58" s="13"/>
      <c r="S58" s="6"/>
    </row>
    <row r="59" spans="2:19" x14ac:dyDescent="0.25">
      <c r="B59" s="8" t="str">
        <f>IF(ISBLANK(A59), "", IF(VLOOKUP(A59, Studies!A:D, 2)="jfr", "dfu", "jfr"))</f>
        <v/>
      </c>
      <c r="C59" s="6"/>
      <c r="D59" s="12"/>
      <c r="E59" s="6"/>
      <c r="F59" s="13"/>
      <c r="G59" s="6"/>
      <c r="H59" s="8"/>
      <c r="I59" s="5"/>
      <c r="J59" s="14"/>
      <c r="K59" s="5"/>
      <c r="L59" s="5"/>
      <c r="M59" s="5"/>
      <c r="N59" s="8"/>
      <c r="O59" s="5"/>
      <c r="P59" s="12"/>
      <c r="Q59" s="5"/>
      <c r="R59" s="13"/>
      <c r="S59" s="6"/>
    </row>
    <row r="60" spans="2:19" x14ac:dyDescent="0.25">
      <c r="B60" s="8" t="str">
        <f>IF(ISBLANK(A60), "", IF(VLOOKUP(A60, Studies!A:D, 2)="jfr", "dfu", "jfr"))</f>
        <v/>
      </c>
      <c r="C60" s="6"/>
      <c r="D60" s="12"/>
      <c r="E60" s="6"/>
      <c r="F60" s="13"/>
      <c r="G60" s="6"/>
      <c r="H60" s="8"/>
      <c r="I60" s="5"/>
      <c r="J60" s="14"/>
      <c r="K60" s="5"/>
      <c r="L60" s="5"/>
      <c r="M60" s="5"/>
      <c r="N60" s="8"/>
      <c r="O60" s="5"/>
      <c r="P60" s="12"/>
      <c r="Q60" s="5"/>
      <c r="R60" s="13"/>
      <c r="S60" s="6"/>
    </row>
    <row r="61" spans="2:19" x14ac:dyDescent="0.25">
      <c r="B61" s="8" t="str">
        <f>IF(ISBLANK(A61), "", IF(VLOOKUP(A61, Studies!A:D, 2)="jfr", "dfu", "jfr"))</f>
        <v/>
      </c>
      <c r="C61" s="6"/>
      <c r="D61" s="12"/>
      <c r="E61" s="6"/>
      <c r="F61" s="13"/>
      <c r="G61" s="6"/>
      <c r="H61" s="8"/>
      <c r="I61" s="5"/>
      <c r="J61" s="14"/>
      <c r="K61" s="5"/>
      <c r="L61" s="5"/>
      <c r="M61" s="5"/>
      <c r="N61" s="8"/>
      <c r="O61" s="5"/>
      <c r="P61" s="12"/>
      <c r="Q61" s="5"/>
      <c r="R61" s="13"/>
      <c r="S61" s="6"/>
    </row>
    <row r="62" spans="2:19" x14ac:dyDescent="0.25">
      <c r="B62" s="8" t="str">
        <f>IF(ISBLANK(A62), "", IF(VLOOKUP(A62, Studies!A:D, 2)="jfr", "dfu", "jfr"))</f>
        <v/>
      </c>
      <c r="C62" s="6"/>
      <c r="D62" s="12"/>
      <c r="E62" s="6"/>
      <c r="F62" s="13"/>
      <c r="G62" s="6"/>
      <c r="H62" s="8"/>
      <c r="I62" s="5"/>
      <c r="J62" s="14"/>
      <c r="K62" s="5"/>
      <c r="L62" s="5"/>
      <c r="M62" s="5"/>
      <c r="N62" s="8"/>
      <c r="O62" s="5"/>
      <c r="P62" s="12"/>
      <c r="Q62" s="5"/>
      <c r="R62" s="13"/>
      <c r="S62" s="6"/>
    </row>
    <row r="63" spans="2:19" x14ac:dyDescent="0.25">
      <c r="B63" s="8" t="str">
        <f>IF(ISBLANK(A63), "", IF(VLOOKUP(A63, Studies!A:D, 2)="jfr", "dfu", "jfr"))</f>
        <v/>
      </c>
      <c r="C63" s="6"/>
      <c r="D63" s="12"/>
      <c r="E63" s="6"/>
      <c r="F63" s="13"/>
      <c r="G63" s="6"/>
      <c r="H63" s="8"/>
      <c r="I63" s="5"/>
      <c r="J63" s="14"/>
      <c r="K63" s="5"/>
      <c r="L63" s="5"/>
      <c r="M63" s="5"/>
      <c r="N63" s="8"/>
      <c r="O63" s="5"/>
      <c r="P63" s="12"/>
      <c r="Q63" s="5"/>
      <c r="R63" s="13"/>
      <c r="S63" s="6"/>
    </row>
    <row r="64" spans="2:19" x14ac:dyDescent="0.25">
      <c r="B64" s="8" t="str">
        <f>IF(ISBLANK(A64), "", IF(VLOOKUP(A64, Studies!A:D, 2)="jfr", "dfu", "jfr"))</f>
        <v/>
      </c>
      <c r="C64" s="6"/>
      <c r="D64" s="12"/>
      <c r="E64" s="6"/>
      <c r="F64" s="13"/>
      <c r="G64" s="6"/>
      <c r="H64" s="8"/>
      <c r="I64" s="5"/>
      <c r="J64" s="14"/>
      <c r="K64" s="5"/>
      <c r="L64" s="5"/>
      <c r="M64" s="5"/>
      <c r="N64" s="8"/>
      <c r="O64" s="5"/>
      <c r="P64" s="12"/>
      <c r="Q64" s="5"/>
      <c r="R64" s="13"/>
      <c r="S64" s="6"/>
    </row>
    <row r="65" spans="2:19" x14ac:dyDescent="0.25">
      <c r="B65" s="8" t="str">
        <f>IF(ISBLANK(A65), "", IF(VLOOKUP(A65, Studies!A:D, 2)="jfr", "dfu", "jfr"))</f>
        <v/>
      </c>
      <c r="C65" s="6"/>
      <c r="D65" s="12"/>
      <c r="E65" s="6"/>
      <c r="F65" s="13"/>
      <c r="G65" s="6"/>
      <c r="H65" s="8"/>
      <c r="I65" s="5"/>
      <c r="J65" s="14"/>
      <c r="K65" s="5"/>
      <c r="L65" s="5"/>
      <c r="M65" s="5"/>
      <c r="N65" s="8"/>
      <c r="O65" s="5"/>
      <c r="P65" s="12"/>
      <c r="Q65" s="5"/>
      <c r="R65" s="13"/>
      <c r="S65" s="6"/>
    </row>
    <row r="66" spans="2:19" x14ac:dyDescent="0.25">
      <c r="B66" s="8" t="str">
        <f>IF(ISBLANK(A66), "", IF(VLOOKUP(A66, Studies!A:D, 2)="jfr", "dfu", "jfr"))</f>
        <v/>
      </c>
      <c r="C66" s="6"/>
      <c r="D66" s="12"/>
      <c r="E66" s="6"/>
      <c r="F66" s="13"/>
      <c r="G66" s="6"/>
      <c r="H66" s="8"/>
      <c r="I66" s="5"/>
      <c r="J66" s="14"/>
      <c r="K66" s="5"/>
      <c r="L66" s="5"/>
      <c r="M66" s="5"/>
      <c r="N66" s="8"/>
      <c r="O66" s="5"/>
      <c r="P66" s="12"/>
      <c r="Q66" s="5"/>
      <c r="R66" s="13"/>
      <c r="S66" s="6"/>
    </row>
    <row r="67" spans="2:19" x14ac:dyDescent="0.25">
      <c r="B67" s="8" t="str">
        <f>IF(ISBLANK(A67), "", IF(VLOOKUP(A67, Studies!A:D, 2)="jfr", "dfu", "jfr"))</f>
        <v/>
      </c>
      <c r="C67" s="6"/>
      <c r="D67" s="12"/>
      <c r="E67" s="6"/>
      <c r="F67" s="13"/>
      <c r="G67" s="6"/>
      <c r="H67" s="8"/>
      <c r="I67" s="5"/>
      <c r="J67" s="14"/>
      <c r="K67" s="5"/>
      <c r="L67" s="5"/>
      <c r="M67" s="5"/>
      <c r="N67" s="8"/>
      <c r="O67" s="5"/>
      <c r="P67" s="12"/>
      <c r="Q67" s="5"/>
      <c r="R67" s="13"/>
      <c r="S67" s="6"/>
    </row>
    <row r="68" spans="2:19" x14ac:dyDescent="0.25">
      <c r="B68" s="8" t="str">
        <f>IF(ISBLANK(A68), "", IF(VLOOKUP(A68, Studies!A:D, 2)="jfr", "dfu", "jfr"))</f>
        <v/>
      </c>
      <c r="C68" s="6"/>
      <c r="D68" s="12"/>
      <c r="E68" s="6"/>
      <c r="F68" s="13"/>
      <c r="G68" s="6"/>
      <c r="H68" s="8"/>
      <c r="I68" s="5"/>
      <c r="J68" s="14"/>
      <c r="K68" s="5"/>
      <c r="L68" s="5"/>
      <c r="M68" s="5"/>
      <c r="N68" s="8"/>
      <c r="O68" s="5"/>
      <c r="P68" s="12"/>
      <c r="Q68" s="5"/>
      <c r="R68" s="13"/>
      <c r="S68" s="6"/>
    </row>
    <row r="69" spans="2:19" x14ac:dyDescent="0.25">
      <c r="B69" s="8" t="str">
        <f>IF(ISBLANK(A69), "", IF(VLOOKUP(A69, Studies!A:D, 2)="jfr", "dfu", "jfr"))</f>
        <v/>
      </c>
      <c r="C69" s="6"/>
      <c r="D69" s="12"/>
      <c r="E69" s="6"/>
      <c r="F69" s="13"/>
      <c r="G69" s="6"/>
      <c r="H69" s="8"/>
      <c r="I69" s="5"/>
      <c r="J69" s="14"/>
      <c r="K69" s="5"/>
      <c r="L69" s="5"/>
      <c r="M69" s="5"/>
      <c r="N69" s="8"/>
      <c r="O69" s="5"/>
      <c r="P69" s="12"/>
      <c r="Q69" s="5"/>
      <c r="R69" s="13"/>
      <c r="S69" s="6"/>
    </row>
    <row r="70" spans="2:19" x14ac:dyDescent="0.25">
      <c r="B70" s="8" t="str">
        <f>IF(ISBLANK(A70), "", IF(VLOOKUP(A70, Studies!A:D, 2)="jfr", "dfu", "jfr"))</f>
        <v/>
      </c>
      <c r="C70" s="6"/>
      <c r="D70" s="12"/>
      <c r="E70" s="6"/>
      <c r="F70" s="13"/>
      <c r="G70" s="6"/>
      <c r="H70" s="8"/>
      <c r="I70" s="5"/>
      <c r="J70" s="14"/>
      <c r="K70" s="5"/>
      <c r="L70" s="5"/>
      <c r="M70" s="5"/>
      <c r="N70" s="8"/>
      <c r="O70" s="5"/>
      <c r="P70" s="12"/>
      <c r="Q70" s="5"/>
      <c r="R70" s="13"/>
      <c r="S70" s="6"/>
    </row>
    <row r="71" spans="2:19" x14ac:dyDescent="0.25">
      <c r="B71" s="8" t="str">
        <f>IF(ISBLANK(A71), "", IF(VLOOKUP(A71, Studies!A:D, 2)="jfr", "dfu", "jfr"))</f>
        <v/>
      </c>
      <c r="C71" s="6"/>
      <c r="D71" s="12"/>
      <c r="E71" s="6"/>
      <c r="F71" s="13"/>
      <c r="G71" s="6"/>
      <c r="H71" s="8"/>
      <c r="I71" s="5"/>
      <c r="J71" s="14"/>
      <c r="K71" s="5"/>
      <c r="L71" s="5"/>
      <c r="M71" s="5"/>
      <c r="N71" s="8"/>
      <c r="O71" s="5"/>
      <c r="P71" s="12"/>
      <c r="Q71" s="5"/>
      <c r="R71" s="13"/>
      <c r="S71" s="6"/>
    </row>
    <row r="72" spans="2:19" x14ac:dyDescent="0.25">
      <c r="B72" s="8" t="str">
        <f>IF(ISBLANK(A72), "", IF(VLOOKUP(A72, Studies!A:D, 2)="jfr", "dfu", "jfr"))</f>
        <v/>
      </c>
      <c r="C72" s="6"/>
      <c r="D72" s="12"/>
      <c r="E72" s="6"/>
      <c r="F72" s="13"/>
      <c r="G72" s="6"/>
      <c r="H72" s="8"/>
      <c r="I72" s="5"/>
      <c r="J72" s="14"/>
      <c r="K72" s="5"/>
      <c r="L72" s="5"/>
      <c r="M72" s="5"/>
      <c r="N72" s="8"/>
      <c r="O72" s="5"/>
      <c r="P72" s="12"/>
      <c r="Q72" s="5"/>
      <c r="R72" s="13"/>
      <c r="S72" s="6"/>
    </row>
    <row r="73" spans="2:19" x14ac:dyDescent="0.25">
      <c r="B73" s="8" t="str">
        <f>IF(ISBLANK(A73), "", IF(VLOOKUP(A73, Studies!A:D, 2)="jfr", "dfu", "jfr"))</f>
        <v/>
      </c>
      <c r="C73" s="6"/>
      <c r="D73" s="12"/>
      <c r="E73" s="6"/>
      <c r="F73" s="13"/>
      <c r="G73" s="6"/>
      <c r="H73" s="8"/>
      <c r="I73" s="5"/>
      <c r="J73" s="14"/>
      <c r="K73" s="5"/>
      <c r="L73" s="5"/>
      <c r="M73" s="5"/>
      <c r="N73" s="8"/>
      <c r="O73" s="5"/>
      <c r="P73" s="12"/>
      <c r="Q73" s="5"/>
      <c r="R73" s="13"/>
      <c r="S73" s="6"/>
    </row>
    <row r="74" spans="2:19" x14ac:dyDescent="0.25">
      <c r="B74" s="8" t="str">
        <f>IF(ISBLANK(A74), "", IF(VLOOKUP(A74, Studies!A:D, 2)="jfr", "dfu", "jfr"))</f>
        <v/>
      </c>
      <c r="C74" s="6"/>
      <c r="D74" s="12"/>
      <c r="E74" s="6"/>
      <c r="F74" s="13"/>
      <c r="G74" s="6"/>
      <c r="H74" s="8"/>
      <c r="I74" s="5"/>
      <c r="J74" s="14"/>
      <c r="K74" s="5"/>
      <c r="L74" s="5"/>
      <c r="M74" s="5"/>
      <c r="N74" s="8"/>
      <c r="O74" s="5"/>
      <c r="P74" s="12"/>
      <c r="Q74" s="5"/>
      <c r="R74" s="13"/>
      <c r="S74" s="6"/>
    </row>
    <row r="75" spans="2:19" x14ac:dyDescent="0.25">
      <c r="B75" s="8" t="str">
        <f>IF(ISBLANK(A75), "", IF(VLOOKUP(A75, Studies!A:D, 2)="jfr", "dfu", "jfr"))</f>
        <v/>
      </c>
      <c r="C75" s="6"/>
      <c r="D75" s="12"/>
      <c r="E75" s="6"/>
      <c r="F75" s="13"/>
      <c r="G75" s="6"/>
      <c r="H75" s="8"/>
      <c r="I75" s="5"/>
      <c r="J75" s="14"/>
      <c r="K75" s="5"/>
      <c r="L75" s="5"/>
      <c r="M75" s="5"/>
      <c r="N75" s="8"/>
      <c r="O75" s="5"/>
      <c r="P75" s="12"/>
      <c r="Q75" s="5"/>
      <c r="R75" s="13"/>
      <c r="S75" s="6"/>
    </row>
    <row r="76" spans="2:19" x14ac:dyDescent="0.25">
      <c r="B76" s="8" t="str">
        <f>IF(ISBLANK(A76), "", IF(VLOOKUP(A76, Studies!A:D, 2)="jfr", "dfu", "jfr"))</f>
        <v/>
      </c>
      <c r="C76" s="6"/>
      <c r="D76" s="12"/>
      <c r="E76" s="6"/>
      <c r="F76" s="13"/>
      <c r="G76" s="6"/>
      <c r="H76" s="8"/>
      <c r="I76" s="5"/>
      <c r="J76" s="14"/>
      <c r="K76" s="5"/>
      <c r="L76" s="5"/>
      <c r="M76" s="5"/>
      <c r="N76" s="8"/>
      <c r="O76" s="5"/>
      <c r="P76" s="12"/>
      <c r="Q76" s="5"/>
      <c r="R76" s="13"/>
      <c r="S76" s="6"/>
    </row>
    <row r="77" spans="2:19" x14ac:dyDescent="0.25">
      <c r="B77" s="8" t="str">
        <f>IF(ISBLANK(A77), "", IF(VLOOKUP(A77, Studies!A:D, 2)="jfr", "dfu", "jfr"))</f>
        <v/>
      </c>
      <c r="C77" s="6"/>
      <c r="D77" s="12"/>
      <c r="E77" s="6"/>
      <c r="F77" s="13"/>
      <c r="G77" s="6"/>
      <c r="H77" s="8"/>
      <c r="I77" s="5"/>
      <c r="J77" s="14"/>
      <c r="K77" s="5"/>
      <c r="L77" s="5"/>
      <c r="M77" s="5"/>
      <c r="N77" s="8"/>
      <c r="O77" s="5"/>
      <c r="P77" s="12"/>
      <c r="Q77" s="5"/>
      <c r="R77" s="13"/>
      <c r="S77" s="6"/>
    </row>
    <row r="78" spans="2:19" x14ac:dyDescent="0.25">
      <c r="B78" s="8" t="str">
        <f>IF(ISBLANK(A78), "", IF(VLOOKUP(A78, Studies!A:D, 2)="jfr", "dfu", "jfr"))</f>
        <v/>
      </c>
      <c r="C78" s="6"/>
      <c r="D78" s="12"/>
      <c r="E78" s="6"/>
      <c r="F78" s="13"/>
      <c r="G78" s="6"/>
      <c r="H78" s="8"/>
      <c r="I78" s="5"/>
      <c r="J78" s="14"/>
      <c r="K78" s="5"/>
      <c r="L78" s="5"/>
      <c r="M78" s="5"/>
      <c r="N78" s="8"/>
      <c r="O78" s="5"/>
      <c r="P78" s="12"/>
      <c r="Q78" s="5"/>
      <c r="R78" s="13"/>
      <c r="S78" s="6"/>
    </row>
    <row r="79" spans="2:19" x14ac:dyDescent="0.25">
      <c r="B79" s="8" t="str">
        <f>IF(ISBLANK(A79), "", IF(VLOOKUP(A79, Studies!A:D, 2)="jfr", "dfu", "jfr"))</f>
        <v/>
      </c>
      <c r="C79" s="6"/>
      <c r="D79" s="12"/>
      <c r="E79" s="6"/>
      <c r="F79" s="13"/>
      <c r="G79" s="6"/>
      <c r="H79" s="8"/>
      <c r="I79" s="5"/>
      <c r="J79" s="14"/>
      <c r="K79" s="5"/>
      <c r="L79" s="5"/>
      <c r="M79" s="5"/>
      <c r="N79" s="8"/>
      <c r="O79" s="5"/>
      <c r="P79" s="12"/>
      <c r="Q79" s="5"/>
      <c r="R79" s="13"/>
      <c r="S79" s="6"/>
    </row>
    <row r="80" spans="2:19" x14ac:dyDescent="0.25">
      <c r="B80" s="8" t="str">
        <f>IF(ISBLANK(A80), "", IF(VLOOKUP(A80, Studies!A:D, 2)="jfr", "dfu", "jfr"))</f>
        <v/>
      </c>
      <c r="C80" s="6"/>
      <c r="D80" s="12"/>
      <c r="E80" s="6"/>
      <c r="F80" s="13"/>
      <c r="G80" s="6"/>
      <c r="H80" s="8"/>
      <c r="I80" s="5"/>
      <c r="J80" s="14"/>
      <c r="K80" s="5"/>
      <c r="L80" s="5"/>
      <c r="M80" s="5"/>
      <c r="N80" s="8"/>
      <c r="O80" s="5"/>
      <c r="P80" s="12"/>
      <c r="Q80" s="5"/>
      <c r="R80" s="13"/>
      <c r="S80" s="6"/>
    </row>
    <row r="81" spans="2:19" x14ac:dyDescent="0.25">
      <c r="B81" s="8" t="str">
        <f>IF(ISBLANK(A81), "", IF(VLOOKUP(A81, Studies!A:D, 2)="jfr", "dfu", "jfr"))</f>
        <v/>
      </c>
      <c r="C81" s="6"/>
      <c r="D81" s="12"/>
      <c r="E81" s="6"/>
      <c r="F81" s="13"/>
      <c r="G81" s="6"/>
      <c r="H81" s="8"/>
      <c r="I81" s="5"/>
      <c r="J81" s="14"/>
      <c r="K81" s="5"/>
      <c r="L81" s="5"/>
      <c r="M81" s="5"/>
      <c r="N81" s="8"/>
      <c r="O81" s="5"/>
      <c r="P81" s="12"/>
      <c r="Q81" s="5"/>
      <c r="R81" s="13"/>
      <c r="S81" s="6"/>
    </row>
    <row r="82" spans="2:19" x14ac:dyDescent="0.25">
      <c r="B82" s="8" t="str">
        <f>IF(ISBLANK(A82), "", IF(VLOOKUP(A82, Studies!A:D, 2)="jfr", "dfu", "jfr"))</f>
        <v/>
      </c>
      <c r="C82" s="6"/>
      <c r="D82" s="12"/>
      <c r="E82" s="6"/>
      <c r="F82" s="13"/>
      <c r="G82" s="6"/>
      <c r="H82" s="8"/>
      <c r="I82" s="5"/>
      <c r="J82" s="14"/>
      <c r="K82" s="5"/>
      <c r="L82" s="5"/>
      <c r="M82" s="5"/>
      <c r="N82" s="8"/>
      <c r="O82" s="5"/>
      <c r="P82" s="12"/>
      <c r="Q82" s="5"/>
      <c r="R82" s="13"/>
      <c r="S82" s="6"/>
    </row>
    <row r="83" spans="2:19" x14ac:dyDescent="0.25">
      <c r="B83" s="8" t="str">
        <f>IF(ISBLANK(A83), "", IF(VLOOKUP(A83, Studies!A:D, 2)="jfr", "dfu", "jfr"))</f>
        <v/>
      </c>
      <c r="C83" s="6"/>
      <c r="D83" s="12"/>
      <c r="E83" s="6"/>
      <c r="F83" s="13"/>
      <c r="G83" s="6"/>
      <c r="H83" s="8"/>
      <c r="I83" s="5"/>
      <c r="J83" s="14"/>
      <c r="K83" s="5"/>
      <c r="L83" s="5"/>
      <c r="M83" s="5"/>
      <c r="N83" s="8"/>
      <c r="O83" s="5"/>
      <c r="P83" s="12"/>
      <c r="Q83" s="5"/>
      <c r="R83" s="13"/>
      <c r="S83" s="6"/>
    </row>
    <row r="84" spans="2:19" x14ac:dyDescent="0.25">
      <c r="B84" s="8" t="str">
        <f>IF(ISBLANK(A84), "", IF(VLOOKUP(A84, Studies!A:D, 2)="jfr", "dfu", "jfr"))</f>
        <v/>
      </c>
      <c r="C84" s="6"/>
      <c r="D84" s="12"/>
      <c r="E84" s="6"/>
      <c r="F84" s="13"/>
      <c r="G84" s="6"/>
      <c r="H84" s="8"/>
      <c r="I84" s="5"/>
      <c r="J84" s="14"/>
      <c r="K84" s="5"/>
      <c r="L84" s="5"/>
      <c r="M84" s="5"/>
      <c r="N84" s="8"/>
      <c r="O84" s="5"/>
      <c r="P84" s="12"/>
      <c r="Q84" s="5"/>
      <c r="R84" s="13"/>
      <c r="S84" s="6"/>
    </row>
    <row r="85" spans="2:19" x14ac:dyDescent="0.25">
      <c r="B85" s="8" t="str">
        <f>IF(ISBLANK(A85), "", IF(VLOOKUP(A85, Studies!A:D, 2)="jfr", "dfu", "jfr"))</f>
        <v/>
      </c>
      <c r="C85" s="6"/>
      <c r="D85" s="12"/>
      <c r="E85" s="6"/>
      <c r="F85" s="13"/>
      <c r="G85" s="6"/>
      <c r="H85" s="8"/>
      <c r="I85" s="5"/>
      <c r="J85" s="14"/>
      <c r="K85" s="5"/>
      <c r="L85" s="5"/>
      <c r="M85" s="5"/>
      <c r="N85" s="8"/>
      <c r="O85" s="5"/>
      <c r="P85" s="12"/>
      <c r="Q85" s="5"/>
      <c r="R85" s="13"/>
      <c r="S85" s="6"/>
    </row>
    <row r="86" spans="2:19" x14ac:dyDescent="0.25">
      <c r="B86" s="8" t="str">
        <f>IF(ISBLANK(A86), "", IF(VLOOKUP(A86, Studies!A:D, 2)="jfr", "dfu", "jfr"))</f>
        <v/>
      </c>
      <c r="C86" s="6"/>
      <c r="D86" s="12"/>
      <c r="E86" s="6"/>
      <c r="F86" s="13"/>
      <c r="G86" s="6"/>
      <c r="H86" s="8"/>
      <c r="I86" s="5"/>
      <c r="J86" s="14"/>
      <c r="K86" s="5"/>
      <c r="L86" s="5"/>
      <c r="M86" s="5"/>
      <c r="N86" s="8"/>
      <c r="O86" s="5"/>
      <c r="P86" s="12"/>
      <c r="Q86" s="5"/>
      <c r="R86" s="13"/>
      <c r="S86" s="6"/>
    </row>
    <row r="87" spans="2:19" x14ac:dyDescent="0.25">
      <c r="B87" s="8" t="str">
        <f>IF(ISBLANK(A87), "", IF(VLOOKUP(A87, Studies!A:D, 2)="jfr", "dfu", "jfr"))</f>
        <v/>
      </c>
      <c r="C87" s="6"/>
      <c r="D87" s="12"/>
      <c r="E87" s="6"/>
      <c r="F87" s="13"/>
      <c r="G87" s="6"/>
      <c r="H87" s="8"/>
      <c r="I87" s="5"/>
      <c r="J87" s="14"/>
      <c r="K87" s="5"/>
      <c r="L87" s="5"/>
      <c r="M87" s="5"/>
      <c r="N87" s="8"/>
      <c r="O87" s="5"/>
      <c r="P87" s="12"/>
      <c r="Q87" s="5"/>
      <c r="R87" s="13"/>
      <c r="S87" s="6"/>
    </row>
    <row r="88" spans="2:19" x14ac:dyDescent="0.25">
      <c r="B88" s="8" t="str">
        <f>IF(ISBLANK(A88), "", IF(VLOOKUP(A88, Studies!A:D, 2)="jfr", "dfu", "jfr"))</f>
        <v/>
      </c>
      <c r="C88" s="6"/>
      <c r="D88" s="12"/>
      <c r="E88" s="6"/>
      <c r="F88" s="13"/>
      <c r="G88" s="6"/>
      <c r="H88" s="8"/>
      <c r="I88" s="5"/>
      <c r="J88" s="14"/>
      <c r="K88" s="5"/>
      <c r="L88" s="5"/>
      <c r="M88" s="5"/>
      <c r="N88" s="8"/>
      <c r="O88" s="5"/>
      <c r="P88" s="12"/>
      <c r="Q88" s="5"/>
      <c r="R88" s="13"/>
      <c r="S88" s="6"/>
    </row>
    <row r="89" spans="2:19" x14ac:dyDescent="0.25">
      <c r="B89" s="8" t="str">
        <f>IF(ISBLANK(A89), "", IF(VLOOKUP(A89, Studies!A:D, 2)="jfr", "dfu", "jfr"))</f>
        <v/>
      </c>
      <c r="C89" s="6"/>
      <c r="D89" s="12"/>
      <c r="E89" s="6"/>
      <c r="F89" s="13"/>
      <c r="G89" s="6"/>
      <c r="H89" s="8"/>
      <c r="I89" s="5"/>
      <c r="J89" s="14"/>
      <c r="K89" s="5"/>
      <c r="L89" s="5"/>
      <c r="M89" s="5"/>
      <c r="N89" s="8"/>
      <c r="O89" s="5"/>
      <c r="P89" s="12"/>
      <c r="Q89" s="5"/>
      <c r="R89" s="13"/>
      <c r="S89" s="6"/>
    </row>
    <row r="90" spans="2:19" x14ac:dyDescent="0.25">
      <c r="B90" s="8" t="str">
        <f>IF(ISBLANK(A90), "", IF(VLOOKUP(A90, Studies!A:D, 2)="jfr", "dfu", "jfr"))</f>
        <v/>
      </c>
      <c r="C90" s="6"/>
      <c r="D90" s="12"/>
      <c r="E90" s="6"/>
      <c r="F90" s="13"/>
      <c r="G90" s="6"/>
      <c r="H90" s="8"/>
      <c r="I90" s="5"/>
      <c r="J90" s="14"/>
      <c r="K90" s="5"/>
      <c r="L90" s="5"/>
      <c r="M90" s="5"/>
      <c r="N90" s="8"/>
      <c r="O90" s="5"/>
      <c r="P90" s="12"/>
      <c r="Q90" s="5"/>
      <c r="R90" s="13"/>
      <c r="S90" s="6"/>
    </row>
    <row r="91" spans="2:19" x14ac:dyDescent="0.25">
      <c r="B91" s="8" t="str">
        <f>IF(ISBLANK(A91), "", IF(VLOOKUP(A91, Studies!A:D, 2)="jfr", "dfu", "jfr"))</f>
        <v/>
      </c>
      <c r="C91" s="6"/>
      <c r="D91" s="12"/>
      <c r="E91" s="6"/>
      <c r="F91" s="13"/>
      <c r="G91" s="6"/>
      <c r="H91" s="8"/>
      <c r="I91" s="5"/>
      <c r="J91" s="14"/>
      <c r="K91" s="5"/>
      <c r="L91" s="5"/>
      <c r="M91" s="5"/>
      <c r="N91" s="8"/>
      <c r="O91" s="5"/>
      <c r="P91" s="12"/>
      <c r="Q91" s="5"/>
      <c r="R91" s="13"/>
      <c r="S91" s="6"/>
    </row>
    <row r="92" spans="2:19" x14ac:dyDescent="0.25">
      <c r="B92" s="8" t="str">
        <f>IF(ISBLANK(A92), "", IF(VLOOKUP(A92, Studies!A:D, 2)="jfr", "dfu", "jfr"))</f>
        <v/>
      </c>
      <c r="C92" s="6"/>
      <c r="D92" s="12"/>
      <c r="E92" s="6"/>
      <c r="F92" s="13"/>
      <c r="G92" s="6"/>
      <c r="H92" s="8"/>
      <c r="I92" s="5"/>
      <c r="J92" s="14"/>
      <c r="K92" s="5"/>
      <c r="L92" s="5"/>
      <c r="M92" s="5"/>
      <c r="N92" s="8"/>
      <c r="O92" s="5"/>
      <c r="P92" s="12"/>
      <c r="Q92" s="5"/>
      <c r="R92" s="13"/>
      <c r="S92" s="6"/>
    </row>
    <row r="93" spans="2:19" x14ac:dyDescent="0.25">
      <c r="B93" s="8" t="str">
        <f>IF(ISBLANK(A93), "", IF(VLOOKUP(A93, Studies!A:D, 2)="jfr", "dfu", "jfr"))</f>
        <v/>
      </c>
      <c r="C93" s="6"/>
      <c r="D93" s="12"/>
      <c r="E93" s="6"/>
      <c r="F93" s="13"/>
      <c r="G93" s="6"/>
      <c r="H93" s="8"/>
      <c r="I93" s="5"/>
      <c r="J93" s="14"/>
      <c r="K93" s="5"/>
      <c r="L93" s="5"/>
      <c r="M93" s="5"/>
      <c r="N93" s="8"/>
      <c r="O93" s="5"/>
      <c r="P93" s="12"/>
      <c r="Q93" s="5"/>
      <c r="R93" s="13"/>
      <c r="S93" s="6"/>
    </row>
    <row r="94" spans="2:19" x14ac:dyDescent="0.25">
      <c r="B94" s="8" t="str">
        <f>IF(ISBLANK(A94), "", IF(VLOOKUP(A94, Studies!A:D, 2)="jfr", "dfu", "jfr"))</f>
        <v/>
      </c>
      <c r="C94" s="6"/>
      <c r="D94" s="12"/>
      <c r="E94" s="6"/>
      <c r="F94" s="13"/>
      <c r="G94" s="6"/>
      <c r="H94" s="8"/>
      <c r="I94" s="5"/>
      <c r="J94" s="14"/>
      <c r="K94" s="5"/>
      <c r="L94" s="5"/>
      <c r="M94" s="5"/>
      <c r="N94" s="8"/>
      <c r="O94" s="5"/>
      <c r="P94" s="12"/>
      <c r="Q94" s="5"/>
      <c r="R94" s="13"/>
      <c r="S94" s="6"/>
    </row>
    <row r="95" spans="2:19" x14ac:dyDescent="0.25">
      <c r="B95" s="8" t="str">
        <f>IF(ISBLANK(A95), "", IF(VLOOKUP(A95, Studies!A:D, 2)="jfr", "dfu", "jfr"))</f>
        <v/>
      </c>
      <c r="C95" s="6"/>
      <c r="D95" s="12"/>
      <c r="E95" s="6"/>
      <c r="F95" s="13"/>
      <c r="G95" s="6"/>
      <c r="H95" s="8"/>
      <c r="I95" s="5"/>
      <c r="J95" s="14"/>
      <c r="K95" s="5"/>
      <c r="L95" s="5"/>
      <c r="M95" s="5"/>
      <c r="N95" s="8"/>
      <c r="O95" s="5"/>
      <c r="P95" s="12"/>
      <c r="Q95" s="5"/>
      <c r="R95" s="13"/>
      <c r="S95" s="6"/>
    </row>
    <row r="96" spans="2:19" x14ac:dyDescent="0.25">
      <c r="B96" s="8" t="str">
        <f>IF(ISBLANK(A96), "", IF(VLOOKUP(A96, Studies!A:D, 2)="jfr", "dfu", "jfr"))</f>
        <v/>
      </c>
      <c r="C96" s="6"/>
      <c r="D96" s="12"/>
      <c r="E96" s="6"/>
      <c r="F96" s="13"/>
      <c r="G96" s="6"/>
      <c r="H96" s="8"/>
      <c r="I96" s="5"/>
      <c r="J96" s="14"/>
      <c r="K96" s="5"/>
      <c r="L96" s="5"/>
      <c r="M96" s="5"/>
      <c r="N96" s="8"/>
      <c r="O96" s="5"/>
      <c r="P96" s="12"/>
      <c r="Q96" s="5"/>
      <c r="R96" s="13"/>
      <c r="S96" s="6"/>
    </row>
    <row r="97" spans="2:19" x14ac:dyDescent="0.25">
      <c r="B97" s="8" t="str">
        <f>IF(ISBLANK(A97), "", IF(VLOOKUP(A97, Studies!A:D, 2)="jfr", "dfu", "jfr"))</f>
        <v/>
      </c>
      <c r="C97" s="6"/>
      <c r="D97" s="12"/>
      <c r="E97" s="6"/>
      <c r="F97" s="13"/>
      <c r="G97" s="6"/>
      <c r="H97" s="8"/>
      <c r="I97" s="5"/>
      <c r="J97" s="14"/>
      <c r="K97" s="5"/>
      <c r="L97" s="5"/>
      <c r="M97" s="5"/>
      <c r="N97" s="8"/>
      <c r="O97" s="5"/>
      <c r="P97" s="12"/>
      <c r="Q97" s="5"/>
      <c r="R97" s="13"/>
      <c r="S97" s="6"/>
    </row>
    <row r="98" spans="2:19" x14ac:dyDescent="0.25">
      <c r="B98" s="8" t="str">
        <f>IF(ISBLANK(A98), "", IF(VLOOKUP(A98, Studies!A:D, 2)="jfr", "dfu", "jfr"))</f>
        <v/>
      </c>
      <c r="C98" s="6"/>
      <c r="D98" s="12"/>
      <c r="E98" s="6"/>
      <c r="F98" s="13"/>
      <c r="G98" s="6"/>
      <c r="H98" s="8"/>
      <c r="I98" s="5"/>
      <c r="J98" s="14"/>
      <c r="K98" s="5"/>
      <c r="L98" s="5"/>
      <c r="M98" s="5"/>
      <c r="N98" s="8"/>
      <c r="O98" s="5"/>
      <c r="P98" s="12"/>
      <c r="Q98" s="5"/>
      <c r="R98" s="13"/>
      <c r="S98" s="6"/>
    </row>
    <row r="99" spans="2:19" x14ac:dyDescent="0.25">
      <c r="B99" s="8" t="str">
        <f>IF(ISBLANK(A99), "", IF(VLOOKUP(A99, Studies!A:D, 2)="jfr", "dfu", "jfr"))</f>
        <v/>
      </c>
      <c r="C99" s="6"/>
      <c r="D99" s="12"/>
      <c r="E99" s="6"/>
      <c r="F99" s="13"/>
      <c r="G99" s="6"/>
      <c r="H99" s="8"/>
      <c r="I99" s="5"/>
      <c r="J99" s="14"/>
      <c r="K99" s="5"/>
      <c r="L99" s="5"/>
      <c r="M99" s="5"/>
      <c r="N99" s="8"/>
      <c r="O99" s="5"/>
      <c r="P99" s="12"/>
      <c r="Q99" s="5"/>
      <c r="R99" s="13"/>
      <c r="S99" s="6"/>
    </row>
    <row r="100" spans="2:19" x14ac:dyDescent="0.25">
      <c r="B100" s="8" t="str">
        <f>IF(ISBLANK(A100), "", IF(VLOOKUP(A100, Studies!A:D, 2)="jfr", "dfu", "jfr"))</f>
        <v/>
      </c>
      <c r="C100" s="6"/>
      <c r="D100" s="12"/>
      <c r="E100" s="6"/>
      <c r="F100" s="13"/>
      <c r="G100" s="6"/>
      <c r="H100" s="8"/>
      <c r="I100" s="5"/>
      <c r="J100" s="14"/>
      <c r="K100" s="5"/>
      <c r="L100" s="5"/>
      <c r="M100" s="5"/>
      <c r="N100" s="8"/>
      <c r="O100" s="5"/>
      <c r="P100" s="12"/>
      <c r="Q100" s="5"/>
      <c r="R100" s="13"/>
      <c r="S100" s="6"/>
    </row>
    <row r="101" spans="2:19" x14ac:dyDescent="0.25">
      <c r="B101" s="8" t="str">
        <f>IF(ISBLANK(A101), "", IF(VLOOKUP(A101, Studies!A:D, 2)="jfr", "dfu", "jfr"))</f>
        <v/>
      </c>
      <c r="C101" s="6"/>
      <c r="D101" s="12"/>
      <c r="E101" s="6"/>
      <c r="F101" s="13"/>
      <c r="G101" s="6"/>
      <c r="H101" s="8"/>
      <c r="I101" s="5"/>
      <c r="J101" s="14"/>
      <c r="K101" s="5"/>
      <c r="L101" s="5"/>
      <c r="M101" s="5"/>
      <c r="N101" s="8"/>
      <c r="O101" s="5"/>
      <c r="P101" s="12"/>
      <c r="Q101" s="5"/>
      <c r="R101" s="13"/>
      <c r="S101" s="6"/>
    </row>
    <row r="102" spans="2:19" x14ac:dyDescent="0.25">
      <c r="B102" s="8" t="str">
        <f>IF(ISBLANK(A102), "", IF(VLOOKUP(A102, Studies!A:D, 2)="jfr", "dfu", "jfr"))</f>
        <v/>
      </c>
      <c r="C102" s="6"/>
      <c r="D102" s="12"/>
      <c r="E102" s="6"/>
      <c r="F102" s="13"/>
      <c r="G102" s="6"/>
      <c r="H102" s="8"/>
      <c r="I102" s="5"/>
      <c r="J102" s="14"/>
      <c r="K102" s="5"/>
      <c r="L102" s="5"/>
      <c r="M102" s="5"/>
      <c r="N102" s="8"/>
      <c r="O102" s="5"/>
      <c r="P102" s="12"/>
      <c r="Q102" s="5"/>
      <c r="R102" s="13"/>
      <c r="S102" s="6"/>
    </row>
    <row r="103" spans="2:19" x14ac:dyDescent="0.25">
      <c r="B103" s="8" t="str">
        <f>IF(ISBLANK(A103), "", IF(VLOOKUP(A103, Studies!A:D, 2)="jfr", "dfu", "jfr"))</f>
        <v/>
      </c>
      <c r="C103" s="6"/>
      <c r="D103" s="12"/>
      <c r="E103" s="6"/>
      <c r="F103" s="13"/>
      <c r="G103" s="6"/>
      <c r="H103" s="8"/>
      <c r="I103" s="5"/>
      <c r="J103" s="14"/>
      <c r="K103" s="5"/>
      <c r="L103" s="5"/>
      <c r="M103" s="5"/>
      <c r="N103" s="8"/>
      <c r="O103" s="5"/>
      <c r="P103" s="12"/>
      <c r="Q103" s="5"/>
      <c r="R103" s="13"/>
      <c r="S103" s="6"/>
    </row>
    <row r="104" spans="2:19" x14ac:dyDescent="0.25">
      <c r="B104" s="8" t="str">
        <f>IF(ISBLANK(A104), "", IF(VLOOKUP(A104, Studies!A:D, 2)="jfr", "dfu", "jfr"))</f>
        <v/>
      </c>
      <c r="C104" s="6"/>
      <c r="D104" s="12"/>
      <c r="E104" s="6"/>
      <c r="F104" s="13"/>
      <c r="G104" s="6"/>
      <c r="H104" s="8"/>
      <c r="I104" s="5"/>
      <c r="J104" s="14"/>
      <c r="K104" s="5"/>
      <c r="L104" s="5"/>
      <c r="M104" s="5"/>
      <c r="N104" s="8"/>
      <c r="O104" s="5"/>
      <c r="P104" s="12"/>
      <c r="Q104" s="5"/>
      <c r="R104" s="13"/>
      <c r="S104" s="6"/>
    </row>
    <row r="105" spans="2:19" x14ac:dyDescent="0.25">
      <c r="B105" s="8" t="str">
        <f>IF(ISBLANK(A105), "", IF(VLOOKUP(A105, Studies!A:D, 2)="jfr", "dfu", "jfr"))</f>
        <v/>
      </c>
      <c r="C105" s="6"/>
      <c r="D105" s="12"/>
      <c r="E105" s="6"/>
      <c r="F105" s="13"/>
      <c r="G105" s="6"/>
      <c r="H105" s="8"/>
      <c r="I105" s="5"/>
      <c r="J105" s="14"/>
      <c r="K105" s="5"/>
      <c r="L105" s="5"/>
      <c r="M105" s="5"/>
      <c r="N105" s="8"/>
      <c r="O105" s="5"/>
      <c r="P105" s="12"/>
      <c r="Q105" s="5"/>
      <c r="R105" s="13"/>
      <c r="S105" s="6"/>
    </row>
    <row r="106" spans="2:19" x14ac:dyDescent="0.25">
      <c r="B106" s="8" t="str">
        <f>IF(ISBLANK(A106), "", IF(VLOOKUP(A106, Studies!A:D, 2)="jfr", "dfu", "jfr"))</f>
        <v/>
      </c>
      <c r="C106" s="6"/>
      <c r="D106" s="12"/>
      <c r="E106" s="6"/>
      <c r="F106" s="13"/>
      <c r="G106" s="6"/>
      <c r="H106" s="8"/>
      <c r="I106" s="5"/>
      <c r="J106" s="14"/>
      <c r="K106" s="5"/>
      <c r="L106" s="5"/>
      <c r="M106" s="5"/>
      <c r="N106" s="8"/>
      <c r="O106" s="5"/>
      <c r="P106" s="12"/>
      <c r="Q106" s="5"/>
      <c r="R106" s="13"/>
      <c r="S106" s="6"/>
    </row>
    <row r="107" spans="2:19" x14ac:dyDescent="0.25">
      <c r="B107" s="8" t="str">
        <f>IF(ISBLANK(A107), "", IF(VLOOKUP(A107, Studies!A:D, 2)="jfr", "dfu", "jfr"))</f>
        <v/>
      </c>
      <c r="C107" s="6"/>
      <c r="D107" s="12"/>
      <c r="E107" s="6"/>
      <c r="F107" s="13"/>
      <c r="G107" s="6"/>
      <c r="H107" s="8"/>
      <c r="I107" s="5"/>
      <c r="J107" s="14"/>
      <c r="K107" s="5"/>
      <c r="L107" s="5"/>
      <c r="M107" s="5"/>
      <c r="N107" s="8"/>
      <c r="O107" s="5"/>
      <c r="P107" s="12"/>
      <c r="Q107" s="5"/>
      <c r="R107" s="13"/>
      <c r="S107" s="6"/>
    </row>
    <row r="108" spans="2:19" x14ac:dyDescent="0.25">
      <c r="B108" s="8" t="str">
        <f>IF(ISBLANK(A108), "", IF(VLOOKUP(A108, Studies!A:D, 2)="jfr", "dfu", "jfr"))</f>
        <v/>
      </c>
      <c r="C108" s="6"/>
      <c r="D108" s="12"/>
      <c r="E108" s="6"/>
      <c r="F108" s="13"/>
      <c r="G108" s="6"/>
      <c r="H108" s="8"/>
      <c r="I108" s="5"/>
      <c r="J108" s="14"/>
      <c r="K108" s="5"/>
      <c r="L108" s="5"/>
      <c r="M108" s="5"/>
      <c r="N108" s="8"/>
      <c r="O108" s="5"/>
      <c r="P108" s="12"/>
      <c r="Q108" s="5"/>
      <c r="R108" s="13"/>
      <c r="S108" s="6"/>
    </row>
    <row r="109" spans="2:19" x14ac:dyDescent="0.25">
      <c r="B109" s="8" t="str">
        <f>IF(ISBLANK(A109), "", IF(VLOOKUP(A109, Studies!A:D, 2)="jfr", "dfu", "jfr"))</f>
        <v/>
      </c>
      <c r="C109" s="6"/>
      <c r="D109" s="12"/>
      <c r="E109" s="6"/>
      <c r="F109" s="13"/>
      <c r="G109" s="6"/>
      <c r="H109" s="8"/>
      <c r="I109" s="5"/>
      <c r="J109" s="14"/>
      <c r="K109" s="5"/>
      <c r="L109" s="5"/>
      <c r="M109" s="5"/>
      <c r="N109" s="8"/>
      <c r="O109" s="5"/>
      <c r="P109" s="12"/>
      <c r="Q109" s="5"/>
      <c r="R109" s="13"/>
      <c r="S109" s="6"/>
    </row>
    <row r="110" spans="2:19" x14ac:dyDescent="0.25">
      <c r="B110" s="8" t="str">
        <f>IF(ISBLANK(A110), "", IF(VLOOKUP(A110, Studies!A:D, 2)="jfr", "dfu", "jfr"))</f>
        <v/>
      </c>
      <c r="C110" s="6"/>
      <c r="D110" s="12"/>
      <c r="E110" s="6"/>
      <c r="F110" s="13"/>
      <c r="G110" s="6"/>
      <c r="H110" s="8"/>
      <c r="I110" s="5"/>
      <c r="J110" s="14"/>
      <c r="K110" s="5"/>
      <c r="L110" s="5"/>
      <c r="M110" s="5"/>
      <c r="N110" s="8"/>
      <c r="O110" s="5"/>
      <c r="P110" s="12"/>
      <c r="Q110" s="5"/>
      <c r="R110" s="13"/>
      <c r="S110" s="6"/>
    </row>
    <row r="111" spans="2:19" x14ac:dyDescent="0.25">
      <c r="B111" s="8" t="str">
        <f>IF(ISBLANK(A111), "", IF(VLOOKUP(A111, Studies!A:D, 2)="jfr", "dfu", "jfr"))</f>
        <v/>
      </c>
      <c r="C111" s="6"/>
      <c r="D111" s="12"/>
      <c r="E111" s="6"/>
      <c r="F111" s="13"/>
      <c r="G111" s="6"/>
      <c r="H111" s="8"/>
      <c r="I111" s="5"/>
      <c r="J111" s="14"/>
      <c r="K111" s="5"/>
      <c r="L111" s="5"/>
      <c r="M111" s="5"/>
      <c r="N111" s="8"/>
      <c r="O111" s="5"/>
      <c r="P111" s="12"/>
      <c r="Q111" s="5"/>
      <c r="R111" s="13"/>
      <c r="S111" s="6"/>
    </row>
    <row r="112" spans="2:19" x14ac:dyDescent="0.25">
      <c r="B112" s="8" t="str">
        <f>IF(ISBLANK(A112), "", IF(VLOOKUP(A112, Studies!A:D, 2)="jfr", "dfu", "jfr"))</f>
        <v/>
      </c>
      <c r="C112" s="6"/>
      <c r="D112" s="12"/>
      <c r="E112" s="6"/>
      <c r="F112" s="13"/>
      <c r="G112" s="6"/>
      <c r="H112" s="8"/>
      <c r="I112" s="5"/>
      <c r="J112" s="14"/>
      <c r="K112" s="5"/>
      <c r="L112" s="5"/>
      <c r="M112" s="5"/>
      <c r="N112" s="8"/>
      <c r="O112" s="5"/>
      <c r="P112" s="12"/>
      <c r="Q112" s="5"/>
      <c r="R112" s="13"/>
      <c r="S112" s="6"/>
    </row>
    <row r="113" spans="2:19" x14ac:dyDescent="0.25">
      <c r="B113" s="8" t="str">
        <f>IF(ISBLANK(A113), "", IF(VLOOKUP(A113, Studies!A:D, 2)="jfr", "dfu", "jfr"))</f>
        <v/>
      </c>
      <c r="C113" s="6"/>
      <c r="D113" s="12"/>
      <c r="E113" s="6"/>
      <c r="F113" s="13"/>
      <c r="G113" s="6"/>
      <c r="H113" s="8"/>
      <c r="I113" s="5"/>
      <c r="J113" s="14"/>
      <c r="K113" s="5"/>
      <c r="L113" s="5"/>
      <c r="M113" s="5"/>
      <c r="N113" s="8"/>
      <c r="O113" s="5"/>
      <c r="P113" s="12"/>
      <c r="Q113" s="5"/>
      <c r="R113" s="13"/>
      <c r="S113" s="6"/>
    </row>
    <row r="114" spans="2:19" x14ac:dyDescent="0.25">
      <c r="B114" s="8" t="str">
        <f>IF(ISBLANK(A114), "", IF(VLOOKUP(A114, Studies!A:D, 2)="jfr", "dfu", "jfr"))</f>
        <v/>
      </c>
      <c r="C114" s="6"/>
      <c r="D114" s="12"/>
      <c r="E114" s="6"/>
      <c r="F114" s="13"/>
      <c r="G114" s="6"/>
      <c r="H114" s="8"/>
      <c r="I114" s="5"/>
      <c r="J114" s="14"/>
      <c r="K114" s="5"/>
      <c r="L114" s="5"/>
      <c r="M114" s="5"/>
      <c r="N114" s="8"/>
      <c r="O114" s="5"/>
      <c r="P114" s="12"/>
      <c r="Q114" s="5"/>
      <c r="R114" s="13"/>
      <c r="S114" s="6"/>
    </row>
    <row r="115" spans="2:19" x14ac:dyDescent="0.25">
      <c r="B115" s="8" t="str">
        <f>IF(ISBLANK(A115), "", IF(VLOOKUP(A115, Studies!A:D, 2)="jfr", "dfu", "jfr"))</f>
        <v/>
      </c>
      <c r="C115" s="6"/>
      <c r="D115" s="12"/>
      <c r="E115" s="6"/>
      <c r="F115" s="13"/>
      <c r="G115" s="6"/>
      <c r="H115" s="8"/>
      <c r="I115" s="5"/>
      <c r="J115" s="14"/>
      <c r="K115" s="5"/>
      <c r="L115" s="5"/>
      <c r="M115" s="5"/>
      <c r="N115" s="8"/>
      <c r="O115" s="5"/>
      <c r="P115" s="12"/>
      <c r="Q115" s="5"/>
      <c r="R115" s="13"/>
      <c r="S115" s="6"/>
    </row>
    <row r="116" spans="2:19" x14ac:dyDescent="0.25">
      <c r="B116" s="8" t="str">
        <f>IF(ISBLANK(A116), "", IF(VLOOKUP(A116, Studies!A:D, 2)="jfr", "dfu", "jfr"))</f>
        <v/>
      </c>
      <c r="C116" s="6"/>
      <c r="D116" s="12"/>
      <c r="E116" s="6"/>
      <c r="F116" s="13"/>
      <c r="G116" s="6"/>
      <c r="H116" s="8"/>
      <c r="I116" s="5"/>
      <c r="J116" s="14"/>
      <c r="K116" s="5"/>
      <c r="L116" s="5"/>
      <c r="M116" s="5"/>
      <c r="N116" s="8"/>
      <c r="O116" s="5"/>
      <c r="P116" s="12"/>
      <c r="Q116" s="5"/>
      <c r="R116" s="13"/>
      <c r="S116" s="6"/>
    </row>
    <row r="117" spans="2:19" x14ac:dyDescent="0.25">
      <c r="B117" s="8" t="str">
        <f>IF(ISBLANK(A117), "", IF(VLOOKUP(A117, Studies!A:D, 2)="jfr", "dfu", "jfr"))</f>
        <v/>
      </c>
      <c r="C117" s="6"/>
      <c r="D117" s="12"/>
      <c r="E117" s="6"/>
      <c r="F117" s="13"/>
      <c r="G117" s="6"/>
      <c r="H117" s="8"/>
      <c r="I117" s="5"/>
      <c r="J117" s="14"/>
      <c r="K117" s="5"/>
      <c r="L117" s="5"/>
      <c r="M117" s="5"/>
      <c r="N117" s="8"/>
      <c r="O117" s="5"/>
      <c r="P117" s="12"/>
      <c r="Q117" s="5"/>
      <c r="R117" s="13"/>
      <c r="S117" s="6"/>
    </row>
    <row r="118" spans="2:19" x14ac:dyDescent="0.25">
      <c r="B118" s="8" t="str">
        <f>IF(ISBLANK(A118), "", IF(VLOOKUP(A118, Studies!A:D, 2)="jfr", "dfu", "jfr"))</f>
        <v/>
      </c>
      <c r="C118" s="6"/>
      <c r="D118" s="12"/>
      <c r="E118" s="6"/>
      <c r="F118" s="13"/>
      <c r="G118" s="6"/>
      <c r="H118" s="8"/>
      <c r="I118" s="5"/>
      <c r="J118" s="14"/>
      <c r="K118" s="5"/>
      <c r="L118" s="5"/>
      <c r="M118" s="5"/>
      <c r="N118" s="8"/>
      <c r="O118" s="5"/>
      <c r="P118" s="12"/>
      <c r="Q118" s="5"/>
      <c r="R118" s="13"/>
      <c r="S118" s="6"/>
    </row>
    <row r="119" spans="2:19" x14ac:dyDescent="0.25">
      <c r="B119" s="8" t="str">
        <f>IF(ISBLANK(A119), "", IF(VLOOKUP(A119, Studies!A:D, 2)="jfr", "dfu", "jfr"))</f>
        <v/>
      </c>
      <c r="C119" s="6"/>
      <c r="D119" s="12"/>
      <c r="E119" s="6"/>
      <c r="F119" s="13"/>
      <c r="G119" s="6"/>
      <c r="H119" s="8"/>
      <c r="I119" s="5"/>
      <c r="J119" s="14"/>
      <c r="K119" s="5"/>
      <c r="L119" s="5"/>
      <c r="M119" s="5"/>
      <c r="N119" s="8"/>
      <c r="O119" s="5"/>
      <c r="P119" s="12"/>
      <c r="Q119" s="5"/>
      <c r="R119" s="13"/>
      <c r="S119" s="6"/>
    </row>
    <row r="120" spans="2:19" x14ac:dyDescent="0.25">
      <c r="B120" s="8" t="str">
        <f>IF(ISBLANK(A120), "", IF(VLOOKUP(A120, Studies!A:D, 2)="jfr", "dfu", "jfr"))</f>
        <v/>
      </c>
      <c r="C120" s="6"/>
      <c r="D120" s="12"/>
      <c r="E120" s="6"/>
      <c r="F120" s="13"/>
      <c r="G120" s="6"/>
      <c r="H120" s="8"/>
      <c r="I120" s="5"/>
      <c r="J120" s="14"/>
      <c r="K120" s="5"/>
      <c r="L120" s="5"/>
      <c r="M120" s="5"/>
      <c r="N120" s="8"/>
      <c r="O120" s="5"/>
      <c r="P120" s="12"/>
      <c r="Q120" s="5"/>
      <c r="R120" s="13"/>
      <c r="S120" s="6"/>
    </row>
    <row r="121" spans="2:19" x14ac:dyDescent="0.25">
      <c r="B121" s="8" t="str">
        <f>IF(ISBLANK(A121), "", IF(VLOOKUP(A121, Studies!A:D, 2)="jfr", "dfu", "jfr"))</f>
        <v/>
      </c>
      <c r="C121" s="6"/>
      <c r="D121" s="12"/>
      <c r="E121" s="6"/>
      <c r="F121" s="13"/>
      <c r="G121" s="6"/>
      <c r="H121" s="8"/>
      <c r="I121" s="5"/>
      <c r="J121" s="14"/>
      <c r="K121" s="5"/>
      <c r="L121" s="5"/>
      <c r="M121" s="5"/>
      <c r="N121" s="8"/>
      <c r="O121" s="5"/>
      <c r="P121" s="12"/>
      <c r="Q121" s="5"/>
      <c r="R121" s="13"/>
      <c r="S121" s="6"/>
    </row>
    <row r="122" spans="2:19" x14ac:dyDescent="0.25">
      <c r="B122" s="8" t="str">
        <f>IF(ISBLANK(A122), "", IF(VLOOKUP(A122, Studies!A:D, 2)="jfr", "dfu", "jfr"))</f>
        <v/>
      </c>
      <c r="C122" s="6"/>
      <c r="D122" s="12"/>
      <c r="E122" s="6"/>
      <c r="F122" s="13"/>
      <c r="G122" s="6"/>
      <c r="H122" s="8"/>
      <c r="I122" s="5"/>
      <c r="J122" s="14"/>
      <c r="K122" s="5"/>
      <c r="L122" s="5"/>
      <c r="M122" s="5"/>
      <c r="N122" s="8"/>
      <c r="O122" s="5"/>
      <c r="P122" s="12"/>
      <c r="Q122" s="5"/>
      <c r="R122" s="13"/>
      <c r="S122" s="6"/>
    </row>
    <row r="123" spans="2:19" x14ac:dyDescent="0.25">
      <c r="B123" s="8" t="str">
        <f>IF(ISBLANK(A123), "", IF(VLOOKUP(A123, Studies!A:D, 2)="jfr", "dfu", "jfr"))</f>
        <v/>
      </c>
      <c r="C123" s="6"/>
      <c r="D123" s="12"/>
      <c r="E123" s="6"/>
      <c r="F123" s="13"/>
      <c r="G123" s="6"/>
      <c r="H123" s="8"/>
      <c r="I123" s="5"/>
      <c r="J123" s="14"/>
      <c r="K123" s="5"/>
      <c r="L123" s="5"/>
      <c r="M123" s="5"/>
      <c r="N123" s="8"/>
      <c r="O123" s="5"/>
      <c r="P123" s="12"/>
      <c r="Q123" s="5"/>
      <c r="R123" s="13"/>
      <c r="S123" s="6"/>
    </row>
    <row r="124" spans="2:19" x14ac:dyDescent="0.25">
      <c r="B124" s="8" t="str">
        <f>IF(ISBLANK(A124), "", IF(VLOOKUP(A124, Studies!A:D, 2)="jfr", "dfu", "jfr"))</f>
        <v/>
      </c>
      <c r="C124" s="6"/>
      <c r="D124" s="12"/>
      <c r="E124" s="6"/>
      <c r="F124" s="13"/>
      <c r="G124" s="6"/>
      <c r="H124" s="8"/>
      <c r="I124" s="5"/>
      <c r="J124" s="14"/>
      <c r="K124" s="5"/>
      <c r="L124" s="5"/>
      <c r="M124" s="5"/>
      <c r="N124" s="8"/>
      <c r="O124" s="5"/>
      <c r="P124" s="12"/>
      <c r="Q124" s="5"/>
      <c r="R124" s="13"/>
      <c r="S124" s="6"/>
    </row>
    <row r="125" spans="2:19" x14ac:dyDescent="0.25">
      <c r="B125" s="8" t="str">
        <f>IF(ISBLANK(A125), "", IF(VLOOKUP(A125, Studies!A:D, 2)="jfr", "dfu", "jfr"))</f>
        <v/>
      </c>
      <c r="C125" s="6"/>
      <c r="D125" s="12"/>
      <c r="E125" s="6"/>
      <c r="F125" s="13"/>
      <c r="G125" s="6"/>
      <c r="H125" s="8"/>
      <c r="I125" s="5"/>
      <c r="J125" s="14"/>
      <c r="K125" s="5"/>
      <c r="L125" s="5"/>
      <c r="M125" s="5"/>
      <c r="N125" s="8"/>
      <c r="O125" s="5"/>
      <c r="P125" s="12"/>
      <c r="Q125" s="5"/>
      <c r="R125" s="13"/>
      <c r="S125" s="6"/>
    </row>
    <row r="126" spans="2:19" x14ac:dyDescent="0.25">
      <c r="B126" s="8" t="str">
        <f>IF(ISBLANK(A126), "", IF(VLOOKUP(A126, Studies!A:D, 2)="jfr", "dfu", "jfr"))</f>
        <v/>
      </c>
      <c r="C126" s="6"/>
      <c r="D126" s="12"/>
      <c r="E126" s="6"/>
      <c r="F126" s="13"/>
      <c r="G126" s="6"/>
      <c r="H126" s="8"/>
      <c r="I126" s="5"/>
      <c r="J126" s="14"/>
      <c r="K126" s="5"/>
      <c r="L126" s="5"/>
      <c r="M126" s="5"/>
      <c r="N126" s="8"/>
      <c r="O126" s="5"/>
      <c r="P126" s="12"/>
      <c r="Q126" s="5"/>
      <c r="R126" s="13"/>
      <c r="S126" s="6"/>
    </row>
    <row r="127" spans="2:19" x14ac:dyDescent="0.25">
      <c r="B127" s="8" t="str">
        <f>IF(ISBLANK(A127), "", IF(VLOOKUP(A127, Studies!A:D, 2)="jfr", "dfu", "jfr"))</f>
        <v/>
      </c>
      <c r="C127" s="6"/>
      <c r="D127" s="12"/>
      <c r="E127" s="6"/>
      <c r="F127" s="13"/>
      <c r="G127" s="6"/>
      <c r="H127" s="8"/>
      <c r="I127" s="5"/>
      <c r="J127" s="14"/>
      <c r="K127" s="5"/>
      <c r="L127" s="5"/>
      <c r="M127" s="5"/>
      <c r="N127" s="8"/>
      <c r="O127" s="5"/>
      <c r="P127" s="12"/>
      <c r="Q127" s="5"/>
      <c r="R127" s="13"/>
      <c r="S127" s="6"/>
    </row>
    <row r="128" spans="2:19" x14ac:dyDescent="0.25">
      <c r="B128" s="8" t="str">
        <f>IF(ISBLANK(A128), "", IF(VLOOKUP(A128, Studies!A:D, 2)="jfr", "dfu", "jfr"))</f>
        <v/>
      </c>
      <c r="C128" s="6"/>
      <c r="D128" s="12"/>
      <c r="E128" s="6"/>
      <c r="F128" s="13"/>
      <c r="G128" s="6"/>
      <c r="H128" s="8"/>
      <c r="I128" s="5"/>
      <c r="J128" s="14"/>
      <c r="K128" s="5"/>
      <c r="L128" s="5"/>
      <c r="M128" s="5"/>
      <c r="N128" s="8"/>
      <c r="O128" s="5"/>
      <c r="P128" s="12"/>
      <c r="Q128" s="5"/>
      <c r="R128" s="13"/>
      <c r="S128" s="6"/>
    </row>
    <row r="129" spans="2:19" x14ac:dyDescent="0.25">
      <c r="B129" s="8" t="str">
        <f>IF(ISBLANK(A129), "", IF(VLOOKUP(A129, Studies!A:D, 2)="jfr", "dfu", "jfr"))</f>
        <v/>
      </c>
      <c r="C129" s="6"/>
      <c r="D129" s="12"/>
      <c r="E129" s="6"/>
      <c r="F129" s="13"/>
      <c r="G129" s="6"/>
      <c r="H129" s="8"/>
      <c r="I129" s="5"/>
      <c r="J129" s="14"/>
      <c r="K129" s="5"/>
      <c r="L129" s="5"/>
      <c r="M129" s="5"/>
      <c r="N129" s="8"/>
      <c r="O129" s="5"/>
      <c r="P129" s="12"/>
      <c r="Q129" s="5"/>
      <c r="R129" s="13"/>
      <c r="S129" s="6"/>
    </row>
    <row r="130" spans="2:19" x14ac:dyDescent="0.25">
      <c r="B130" s="8" t="str">
        <f>IF(ISBLANK(A130), "", IF(VLOOKUP(A130, Studies!A:D, 2)="jfr", "dfu", "jfr"))</f>
        <v/>
      </c>
      <c r="C130" s="6"/>
      <c r="D130" s="12"/>
      <c r="E130" s="6"/>
      <c r="F130" s="13"/>
      <c r="G130" s="6"/>
      <c r="H130" s="8"/>
      <c r="I130" s="5"/>
      <c r="J130" s="14"/>
      <c r="K130" s="5"/>
      <c r="L130" s="5"/>
      <c r="M130" s="5"/>
      <c r="N130" s="8"/>
      <c r="O130" s="5"/>
      <c r="P130" s="12"/>
      <c r="Q130" s="5"/>
      <c r="R130" s="13"/>
      <c r="S130" s="6"/>
    </row>
    <row r="131" spans="2:19" x14ac:dyDescent="0.25">
      <c r="B131" s="8" t="str">
        <f>IF(ISBLANK(A131), "", IF(VLOOKUP(A131, Studies!A:D, 2)="jfr", "dfu", "jfr"))</f>
        <v/>
      </c>
      <c r="C131" s="6"/>
      <c r="D131" s="12"/>
      <c r="E131" s="6"/>
      <c r="F131" s="13"/>
      <c r="G131" s="6"/>
      <c r="H131" s="8"/>
      <c r="I131" s="5"/>
      <c r="J131" s="14"/>
      <c r="K131" s="5"/>
      <c r="L131" s="5"/>
      <c r="M131" s="5"/>
      <c r="N131" s="8"/>
      <c r="O131" s="5"/>
      <c r="P131" s="12"/>
      <c r="Q131" s="5"/>
      <c r="R131" s="13"/>
      <c r="S131" s="6"/>
    </row>
    <row r="132" spans="2:19" x14ac:dyDescent="0.25">
      <c r="B132" s="8" t="str">
        <f>IF(ISBLANK(A132), "", IF(VLOOKUP(A132, Studies!A:D, 2)="jfr", "dfu", "jfr"))</f>
        <v/>
      </c>
      <c r="C132" s="6"/>
      <c r="D132" s="12"/>
      <c r="E132" s="6"/>
      <c r="F132" s="13"/>
      <c r="G132" s="6"/>
      <c r="H132" s="8"/>
      <c r="I132" s="5"/>
      <c r="J132" s="14"/>
      <c r="K132" s="5"/>
      <c r="L132" s="5"/>
      <c r="M132" s="5"/>
      <c r="N132" s="8"/>
      <c r="O132" s="5"/>
      <c r="P132" s="12"/>
      <c r="Q132" s="5"/>
      <c r="R132" s="13"/>
      <c r="S132" s="6"/>
    </row>
    <row r="133" spans="2:19" x14ac:dyDescent="0.25">
      <c r="B133" s="8" t="str">
        <f>IF(ISBLANK(A133), "", IF(VLOOKUP(A133, Studies!A:D, 2)="jfr", "dfu", "jfr"))</f>
        <v/>
      </c>
      <c r="C133" s="6"/>
      <c r="D133" s="12"/>
      <c r="E133" s="6"/>
      <c r="F133" s="13"/>
      <c r="G133" s="6"/>
      <c r="H133" s="8"/>
      <c r="I133" s="5"/>
      <c r="J133" s="14"/>
      <c r="K133" s="5"/>
      <c r="L133" s="5"/>
      <c r="M133" s="5"/>
      <c r="N133" s="8"/>
      <c r="O133" s="5"/>
      <c r="P133" s="12"/>
      <c r="Q133" s="5"/>
      <c r="R133" s="13"/>
      <c r="S133" s="6"/>
    </row>
    <row r="134" spans="2:19" x14ac:dyDescent="0.25">
      <c r="B134" s="8" t="str">
        <f>IF(ISBLANK(A134), "", IF(VLOOKUP(A134, Studies!A:D, 2)="jfr", "dfu", "jfr"))</f>
        <v/>
      </c>
      <c r="C134" s="6"/>
      <c r="D134" s="12"/>
      <c r="E134" s="6"/>
      <c r="F134" s="13"/>
      <c r="G134" s="6"/>
      <c r="H134" s="8"/>
      <c r="I134" s="5"/>
      <c r="J134" s="14"/>
      <c r="K134" s="5"/>
      <c r="L134" s="5"/>
      <c r="M134" s="5"/>
      <c r="N134" s="8"/>
      <c r="O134" s="5"/>
      <c r="P134" s="12"/>
      <c r="Q134" s="5"/>
      <c r="R134" s="13"/>
      <c r="S134" s="6"/>
    </row>
    <row r="135" spans="2:19" x14ac:dyDescent="0.25">
      <c r="B135" s="8" t="str">
        <f>IF(ISBLANK(A135), "", IF(VLOOKUP(A135, Studies!A:D, 2)="jfr", "dfu", "jfr"))</f>
        <v/>
      </c>
      <c r="C135" s="6"/>
      <c r="D135" s="12"/>
      <c r="E135" s="6"/>
      <c r="F135" s="13"/>
      <c r="G135" s="6"/>
      <c r="H135" s="8"/>
      <c r="I135" s="5"/>
      <c r="J135" s="14"/>
      <c r="K135" s="5"/>
      <c r="L135" s="5"/>
      <c r="M135" s="5"/>
      <c r="N135" s="8"/>
      <c r="O135" s="5"/>
      <c r="P135" s="12"/>
      <c r="Q135" s="5"/>
      <c r="R135" s="13"/>
      <c r="S135" s="6"/>
    </row>
    <row r="136" spans="2:19" x14ac:dyDescent="0.25">
      <c r="B136" s="8" t="str">
        <f>IF(ISBLANK(A136), "", IF(VLOOKUP(A136, Studies!A:D, 2)="jfr", "dfu", "jfr"))</f>
        <v/>
      </c>
      <c r="C136" s="6"/>
      <c r="D136" s="12"/>
      <c r="E136" s="6"/>
      <c r="F136" s="13"/>
      <c r="G136" s="6"/>
      <c r="H136" s="8"/>
      <c r="I136" s="5"/>
      <c r="J136" s="14"/>
      <c r="K136" s="5"/>
      <c r="L136" s="5"/>
      <c r="M136" s="5"/>
      <c r="N136" s="8"/>
      <c r="O136" s="5"/>
      <c r="P136" s="12"/>
      <c r="Q136" s="5"/>
      <c r="R136" s="13"/>
      <c r="S136" s="6"/>
    </row>
    <row r="137" spans="2:19" x14ac:dyDescent="0.25">
      <c r="B137" s="8" t="str">
        <f>IF(ISBLANK(A137), "", IF(VLOOKUP(A137, Studies!A:D, 2)="jfr", "dfu", "jfr"))</f>
        <v/>
      </c>
      <c r="C137" s="6"/>
      <c r="D137" s="12"/>
      <c r="E137" s="6"/>
      <c r="F137" s="13"/>
      <c r="G137" s="6"/>
      <c r="H137" s="8"/>
      <c r="I137" s="5"/>
      <c r="J137" s="14"/>
      <c r="K137" s="5"/>
      <c r="L137" s="5"/>
      <c r="M137" s="5"/>
      <c r="N137" s="8"/>
      <c r="O137" s="5"/>
      <c r="P137" s="12"/>
      <c r="Q137" s="5"/>
      <c r="R137" s="13"/>
      <c r="S137" s="6"/>
    </row>
    <row r="138" spans="2:19" x14ac:dyDescent="0.25">
      <c r="B138" s="8" t="str">
        <f>IF(ISBLANK(A138), "", IF(VLOOKUP(A138, Studies!A:D, 2)="jfr", "dfu", "jfr"))</f>
        <v/>
      </c>
      <c r="C138" s="6"/>
      <c r="D138" s="12"/>
      <c r="E138" s="6"/>
      <c r="F138" s="13"/>
      <c r="G138" s="6"/>
      <c r="H138" s="8"/>
      <c r="I138" s="5"/>
      <c r="J138" s="14"/>
      <c r="K138" s="5"/>
      <c r="L138" s="5"/>
      <c r="M138" s="5"/>
      <c r="N138" s="8"/>
      <c r="O138" s="5"/>
      <c r="P138" s="12"/>
      <c r="Q138" s="5"/>
      <c r="R138" s="13"/>
      <c r="S138" s="6"/>
    </row>
    <row r="139" spans="2:19" x14ac:dyDescent="0.25">
      <c r="B139" s="8" t="str">
        <f>IF(ISBLANK(A139), "", IF(VLOOKUP(A139, Studies!A:D, 2)="jfr", "dfu", "jfr"))</f>
        <v/>
      </c>
      <c r="C139" s="6"/>
      <c r="D139" s="12"/>
      <c r="E139" s="6"/>
      <c r="F139" s="13"/>
      <c r="G139" s="6"/>
      <c r="H139" s="8"/>
      <c r="I139" s="5"/>
      <c r="J139" s="14"/>
      <c r="K139" s="5"/>
      <c r="L139" s="5"/>
      <c r="M139" s="5"/>
      <c r="N139" s="8"/>
      <c r="O139" s="5"/>
      <c r="P139" s="12"/>
      <c r="Q139" s="5"/>
      <c r="R139" s="13"/>
      <c r="S139" s="6"/>
    </row>
    <row r="140" spans="2:19" x14ac:dyDescent="0.25">
      <c r="B140" s="8" t="str">
        <f>IF(ISBLANK(A140), "", IF(VLOOKUP(A140, Studies!A:D, 2)="jfr", "dfu", "jfr"))</f>
        <v/>
      </c>
      <c r="C140" s="6"/>
      <c r="D140" s="12"/>
      <c r="E140" s="6"/>
      <c r="F140" s="13"/>
      <c r="G140" s="6"/>
      <c r="H140" s="8"/>
      <c r="I140" s="5"/>
      <c r="J140" s="14"/>
      <c r="K140" s="5"/>
      <c r="L140" s="5"/>
      <c r="M140" s="5"/>
      <c r="N140" s="8"/>
      <c r="O140" s="5"/>
      <c r="P140" s="12"/>
      <c r="Q140" s="5"/>
      <c r="R140" s="13"/>
      <c r="S140" s="6"/>
    </row>
    <row r="141" spans="2:19" x14ac:dyDescent="0.25">
      <c r="B141" s="8" t="str">
        <f>IF(ISBLANK(A141), "", IF(VLOOKUP(A141, Studies!A:D, 2)="jfr", "dfu", "jfr"))</f>
        <v/>
      </c>
      <c r="C141" s="6"/>
      <c r="D141" s="12"/>
      <c r="E141" s="6"/>
      <c r="F141" s="13"/>
      <c r="G141" s="6"/>
      <c r="H141" s="8"/>
      <c r="I141" s="5"/>
      <c r="J141" s="14"/>
      <c r="K141" s="5"/>
      <c r="L141" s="5"/>
      <c r="M141" s="5"/>
      <c r="N141" s="8"/>
      <c r="O141" s="5"/>
      <c r="P141" s="12"/>
      <c r="Q141" s="5"/>
      <c r="R141" s="13"/>
      <c r="S141" s="6"/>
    </row>
    <row r="142" spans="2:19" x14ac:dyDescent="0.25">
      <c r="B142" s="8" t="str">
        <f>IF(ISBLANK(A142), "", IF(VLOOKUP(A142, Studies!A:D, 2)="jfr", "dfu", "jfr"))</f>
        <v/>
      </c>
      <c r="C142" s="6"/>
      <c r="D142" s="12"/>
      <c r="E142" s="6"/>
      <c r="F142" s="13"/>
      <c r="G142" s="6"/>
      <c r="H142" s="8"/>
      <c r="I142" s="5"/>
      <c r="J142" s="14"/>
      <c r="K142" s="5"/>
      <c r="L142" s="5"/>
      <c r="M142" s="5"/>
      <c r="N142" s="8"/>
      <c r="O142" s="5"/>
      <c r="P142" s="12"/>
      <c r="Q142" s="5"/>
      <c r="R142" s="13"/>
      <c r="S142" s="6"/>
    </row>
    <row r="143" spans="2:19" x14ac:dyDescent="0.25">
      <c r="B143" s="8" t="str">
        <f>IF(ISBLANK(A143), "", IF(VLOOKUP(A143, Studies!A:D, 2)="jfr", "dfu", "jfr"))</f>
        <v/>
      </c>
      <c r="C143" s="6"/>
      <c r="D143" s="12"/>
      <c r="E143" s="6"/>
      <c r="F143" s="13"/>
      <c r="G143" s="6"/>
      <c r="H143" s="8"/>
      <c r="I143" s="5"/>
      <c r="J143" s="14"/>
      <c r="K143" s="5"/>
      <c r="L143" s="5"/>
      <c r="M143" s="5"/>
      <c r="N143" s="8"/>
      <c r="O143" s="5"/>
      <c r="P143" s="12"/>
      <c r="Q143" s="5"/>
      <c r="R143" s="13"/>
      <c r="S143" s="6"/>
    </row>
    <row r="144" spans="2:19" x14ac:dyDescent="0.25">
      <c r="B144" s="8" t="str">
        <f>IF(ISBLANK(A144), "", IF(VLOOKUP(A144, Studies!A:D, 2)="jfr", "dfu", "jfr"))</f>
        <v/>
      </c>
      <c r="C144" s="6"/>
      <c r="D144" s="12"/>
      <c r="E144" s="6"/>
      <c r="F144" s="13"/>
      <c r="G144" s="6"/>
      <c r="H144" s="8"/>
      <c r="I144" s="5"/>
      <c r="J144" s="14"/>
      <c r="K144" s="5"/>
      <c r="L144" s="5"/>
      <c r="M144" s="5"/>
      <c r="N144" s="8"/>
      <c r="O144" s="5"/>
      <c r="P144" s="12"/>
      <c r="Q144" s="5"/>
      <c r="R144" s="13"/>
      <c r="S144" s="6"/>
    </row>
    <row r="145" spans="2:19" x14ac:dyDescent="0.25">
      <c r="B145" s="8" t="str">
        <f>IF(ISBLANK(A145), "", IF(VLOOKUP(A145, Studies!A:D, 2)="jfr", "dfu", "jfr"))</f>
        <v/>
      </c>
      <c r="C145" s="6"/>
      <c r="D145" s="12"/>
      <c r="E145" s="6"/>
      <c r="F145" s="13"/>
      <c r="G145" s="6"/>
      <c r="H145" s="8"/>
      <c r="I145" s="5"/>
      <c r="J145" s="14"/>
      <c r="K145" s="5"/>
      <c r="L145" s="5"/>
      <c r="M145" s="5"/>
      <c r="N145" s="8"/>
      <c r="O145" s="5"/>
      <c r="P145" s="12"/>
      <c r="Q145" s="5"/>
      <c r="R145" s="13"/>
      <c r="S145" s="6"/>
    </row>
    <row r="146" spans="2:19" x14ac:dyDescent="0.25">
      <c r="B146" s="8" t="str">
        <f>IF(ISBLANK(A146), "", IF(VLOOKUP(A146, Studies!A:D, 2)="jfr", "dfu", "jfr"))</f>
        <v/>
      </c>
      <c r="C146" s="6"/>
      <c r="D146" s="12"/>
      <c r="E146" s="6"/>
      <c r="F146" s="13"/>
      <c r="G146" s="6"/>
      <c r="H146" s="8"/>
      <c r="I146" s="5"/>
      <c r="J146" s="14"/>
      <c r="K146" s="5"/>
      <c r="L146" s="5"/>
      <c r="M146" s="5"/>
      <c r="N146" s="8"/>
      <c r="O146" s="5"/>
      <c r="P146" s="12"/>
      <c r="Q146" s="5"/>
      <c r="R146" s="13"/>
      <c r="S146" s="6"/>
    </row>
    <row r="147" spans="2:19" x14ac:dyDescent="0.25">
      <c r="B147" s="8" t="str">
        <f>IF(ISBLANK(A147), "", IF(VLOOKUP(A147, Studies!A:D, 2)="jfr", "dfu", "jfr"))</f>
        <v/>
      </c>
      <c r="C147" s="6"/>
      <c r="D147" s="12"/>
      <c r="E147" s="6"/>
      <c r="F147" s="13"/>
      <c r="G147" s="6"/>
      <c r="H147" s="8"/>
      <c r="I147" s="5"/>
      <c r="J147" s="14"/>
      <c r="K147" s="5"/>
      <c r="L147" s="5"/>
      <c r="M147" s="5"/>
      <c r="N147" s="8"/>
      <c r="O147" s="5"/>
      <c r="P147" s="12"/>
      <c r="Q147" s="5"/>
      <c r="R147" s="13"/>
      <c r="S147" s="6"/>
    </row>
    <row r="148" spans="2:19" x14ac:dyDescent="0.25">
      <c r="B148" s="8" t="str">
        <f>IF(ISBLANK(A148), "", IF(VLOOKUP(A148, Studies!A:D, 2)="jfr", "dfu", "jfr"))</f>
        <v/>
      </c>
      <c r="C148" s="6"/>
      <c r="D148" s="12"/>
      <c r="E148" s="6"/>
      <c r="F148" s="13"/>
      <c r="G148" s="6"/>
      <c r="H148" s="8"/>
      <c r="I148" s="5"/>
      <c r="J148" s="14"/>
      <c r="K148" s="5"/>
      <c r="L148" s="5"/>
      <c r="M148" s="5"/>
      <c r="N148" s="8"/>
      <c r="O148" s="5"/>
      <c r="P148" s="12"/>
      <c r="Q148" s="5"/>
      <c r="R148" s="13"/>
      <c r="S148" s="6"/>
    </row>
    <row r="149" spans="2:19" x14ac:dyDescent="0.25">
      <c r="B149" s="8" t="str">
        <f>IF(ISBLANK(A149), "", IF(VLOOKUP(A149, Studies!A:D, 2)="jfr", "dfu", "jfr"))</f>
        <v/>
      </c>
      <c r="C149" s="6"/>
      <c r="D149" s="12"/>
      <c r="E149" s="6"/>
      <c r="F149" s="13"/>
      <c r="G149" s="6"/>
      <c r="H149" s="8"/>
      <c r="I149" s="5"/>
      <c r="J149" s="14"/>
      <c r="K149" s="5"/>
      <c r="L149" s="5"/>
      <c r="M149" s="5"/>
      <c r="N149" s="8"/>
      <c r="O149" s="5"/>
      <c r="P149" s="12"/>
      <c r="Q149" s="5"/>
      <c r="R149" s="13"/>
      <c r="S149" s="6"/>
    </row>
    <row r="150" spans="2:19" x14ac:dyDescent="0.25">
      <c r="B150" s="8" t="str">
        <f>IF(ISBLANK(A150), "", IF(VLOOKUP(A150, Studies!A:D, 2)="jfr", "dfu", "jfr"))</f>
        <v/>
      </c>
      <c r="C150" s="6"/>
      <c r="D150" s="12"/>
      <c r="E150" s="6"/>
      <c r="F150" s="13"/>
      <c r="G150" s="6"/>
      <c r="H150" s="8"/>
      <c r="I150" s="5"/>
      <c r="J150" s="14"/>
      <c r="K150" s="5"/>
      <c r="L150" s="5"/>
      <c r="M150" s="5"/>
      <c r="N150" s="8"/>
      <c r="O150" s="5"/>
      <c r="P150" s="12"/>
      <c r="Q150" s="5"/>
      <c r="R150" s="13"/>
      <c r="S150" s="6"/>
    </row>
    <row r="151" spans="2:19" x14ac:dyDescent="0.25">
      <c r="B151" s="8" t="str">
        <f>IF(ISBLANK(A151), "", IF(VLOOKUP(A151, Studies!A:D, 2)="jfr", "dfu", "jfr"))</f>
        <v/>
      </c>
      <c r="C151" s="6"/>
      <c r="D151" s="12"/>
      <c r="E151" s="6"/>
      <c r="F151" s="13"/>
      <c r="G151" s="6"/>
      <c r="H151" s="8"/>
      <c r="I151" s="5"/>
      <c r="J151" s="14"/>
      <c r="K151" s="5"/>
      <c r="L151" s="5"/>
      <c r="M151" s="5"/>
      <c r="N151" s="8"/>
      <c r="O151" s="5"/>
      <c r="P151" s="12"/>
      <c r="Q151" s="5"/>
      <c r="R151" s="13"/>
      <c r="S151" s="6"/>
    </row>
    <row r="152" spans="2:19" x14ac:dyDescent="0.25">
      <c r="B152" s="8" t="str">
        <f>IF(ISBLANK(A152), "", IF(VLOOKUP(A152, Studies!A:D, 2)="jfr", "dfu", "jfr"))</f>
        <v/>
      </c>
      <c r="C152" s="6"/>
      <c r="D152" s="12"/>
      <c r="E152" s="6"/>
      <c r="F152" s="13"/>
      <c r="G152" s="6"/>
      <c r="H152" s="8"/>
      <c r="I152" s="5"/>
      <c r="J152" s="14"/>
      <c r="K152" s="5"/>
      <c r="L152" s="5"/>
      <c r="M152" s="5"/>
      <c r="N152" s="8"/>
      <c r="O152" s="5"/>
      <c r="P152" s="12"/>
      <c r="Q152" s="5"/>
      <c r="R152" s="13"/>
      <c r="S152" s="6"/>
    </row>
    <row r="153" spans="2:19" x14ac:dyDescent="0.25">
      <c r="B153" s="8" t="str">
        <f>IF(ISBLANK(A153), "", IF(VLOOKUP(A153, Studies!A:D, 2)="jfr", "dfu", "jfr"))</f>
        <v/>
      </c>
      <c r="C153" s="6"/>
      <c r="D153" s="12"/>
      <c r="E153" s="6"/>
      <c r="F153" s="13"/>
      <c r="G153" s="6"/>
      <c r="H153" s="8"/>
      <c r="I153" s="5"/>
      <c r="J153" s="14"/>
      <c r="K153" s="5"/>
      <c r="L153" s="5"/>
      <c r="M153" s="5"/>
      <c r="N153" s="8"/>
      <c r="O153" s="5"/>
      <c r="P153" s="12"/>
      <c r="Q153" s="5"/>
      <c r="R153" s="13"/>
      <c r="S153" s="6"/>
    </row>
  </sheetData>
  <mergeCells count="10">
    <mergeCell ref="K2:N2"/>
    <mergeCell ref="O2:P2"/>
    <mergeCell ref="C1:F1"/>
    <mergeCell ref="G1:H1"/>
    <mergeCell ref="I1:N1"/>
    <mergeCell ref="O1:R1"/>
    <mergeCell ref="C2:D2"/>
    <mergeCell ref="E2:F2"/>
    <mergeCell ref="G2:G3"/>
    <mergeCell ref="Q2:R2"/>
  </mergeCells>
  <dataValidations count="3">
    <dataValidation type="list" allowBlank="1" showErrorMessage="1" sqref="K4:N153" xr:uid="{00000000-0002-0000-0200-000000000000}">
      <formula1>"Parameter,Stratification,Isolation,Acknowledged,Ignored"</formula1>
    </dataValidation>
    <dataValidation type="list" allowBlank="1" showErrorMessage="1" sqref="B4:B153" xr:uid="{00000000-0002-0000-0200-000002000000}">
      <formula1>"jfr,dju"</formula1>
    </dataValidation>
    <dataValidation type="list" allowBlank="1" showErrorMessage="1" sqref="O4:O153 Q4:Q153" xr:uid="{00000000-0002-0000-0200-000004000000}">
      <formula1>"Archived,Open Source,Reachable,Upon Request,Broken,Unavailable,Private,Proprietary"</formula1>
    </dataValidation>
  </dataValidations>
  <hyperlinks>
    <hyperlink ref="P5" r:id="rId1" xr:uid="{00000000-0004-0000-0200-000000000000}"/>
    <hyperlink ref="R5" r:id="rId2" xr:uid="{00000000-0004-0000-0200-000001000000}"/>
    <hyperlink ref="P8" r:id="rId3" xr:uid="{00000000-0004-0000-0200-000002000000}"/>
    <hyperlink ref="P10" r:id="rId4" xr:uid="{00000000-0004-0000-0200-000003000000}"/>
    <hyperlink ref="P11" r:id="rId5" xr:uid="{00000000-0004-0000-0200-000004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1000000}">
          <x14:formula1>
            <xm:f>CategoriesMethod!$A$2:$A153</xm:f>
          </x14:formula1>
          <xm:sqref>I4:I153</xm:sqref>
        </x14:dataValidation>
        <x14:dataValidation type="list" allowBlank="1" showErrorMessage="1" xr:uid="{00000000-0002-0000-0200-000003000000}">
          <x14:formula1>
            <xm:f>CategoriesTesttype!$A$2:$A153</xm:f>
          </x14:formula1>
          <xm:sqref>J4:J153</xm:sqref>
        </x14:dataValidation>
        <x14:dataValidation type="list" allowBlank="1" showErrorMessage="1" xr:uid="{00000000-0002-0000-0200-000005000000}">
          <x14:formula1>
            <xm:f>CategoriesSubjects!$A$2:$A153</xm:f>
          </x14:formula1>
          <xm:sqref>H4:H153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5"/>
  <sheetViews>
    <sheetView workbookViewId="0"/>
  </sheetViews>
  <sheetFormatPr defaultColWidth="12.6640625" defaultRowHeight="15.75" customHeight="1" x14ac:dyDescent="0.25"/>
  <cols>
    <col min="1" max="1" width="8.88671875" customWidth="1"/>
    <col min="3" max="14" width="7.6640625" customWidth="1"/>
  </cols>
  <sheetData>
    <row r="1" spans="1:14" x14ac:dyDescent="0.25">
      <c r="A1" s="18" t="s">
        <v>121</v>
      </c>
      <c r="B1" s="18" t="s">
        <v>122</v>
      </c>
      <c r="C1" s="41" t="s">
        <v>123</v>
      </c>
      <c r="D1" s="38"/>
      <c r="E1" s="38"/>
      <c r="F1" s="41" t="s">
        <v>124</v>
      </c>
      <c r="G1" s="38"/>
      <c r="H1" s="38"/>
      <c r="I1" s="41" t="s">
        <v>125</v>
      </c>
      <c r="J1" s="38"/>
      <c r="K1" s="38"/>
      <c r="L1" s="41" t="s">
        <v>126</v>
      </c>
      <c r="M1" s="38"/>
      <c r="N1" s="38"/>
    </row>
    <row r="2" spans="1:14" x14ac:dyDescent="0.25">
      <c r="A2" s="18"/>
      <c r="B2" s="18"/>
      <c r="C2" s="19" t="s">
        <v>127</v>
      </c>
      <c r="D2" s="18" t="s">
        <v>5</v>
      </c>
      <c r="E2" s="20" t="s">
        <v>128</v>
      </c>
      <c r="F2" s="19" t="s">
        <v>127</v>
      </c>
      <c r="G2" s="18" t="s">
        <v>5</v>
      </c>
      <c r="H2" s="20" t="s">
        <v>128</v>
      </c>
      <c r="I2" s="19" t="s">
        <v>127</v>
      </c>
      <c r="J2" s="18" t="s">
        <v>5</v>
      </c>
      <c r="K2" s="20" t="s">
        <v>128</v>
      </c>
      <c r="L2" s="19" t="s">
        <v>127</v>
      </c>
      <c r="M2" s="18" t="s">
        <v>5</v>
      </c>
      <c r="N2" s="20" t="s">
        <v>128</v>
      </c>
    </row>
    <row r="3" spans="1:14" x14ac:dyDescent="0.25">
      <c r="A3" s="21" t="s">
        <v>129</v>
      </c>
      <c r="B3" s="22" t="s">
        <v>130</v>
      </c>
      <c r="C3" s="23">
        <f ca="1">SUMPRODUCT((Studies!D:D = A3) * (Studies!C:C = TRUE))</f>
        <v>28</v>
      </c>
      <c r="D3" s="24">
        <f ca="1">SUMPRODUCT((Studies!G:G=A3) * (Studies!C:C = TRUE))</f>
        <v>4</v>
      </c>
      <c r="E3" s="25">
        <f t="shared" ref="E3:E5" ca="1" si="0">C3+D3</f>
        <v>32</v>
      </c>
      <c r="F3" s="23">
        <f ca="1">SUMPRODUCT((Studies!D:D = A3) * (Studies!C:C = TRUE) * (Studies!E:E &gt; 0))</f>
        <v>5</v>
      </c>
      <c r="G3" s="24">
        <f ca="1">SUMPRODUCT((Studies!G:G = A3) * (Studies!C:C = TRUE) * (Studies!H:H &gt; 0))</f>
        <v>4</v>
      </c>
      <c r="H3" s="25">
        <f t="shared" ref="H3:H5" ca="1" si="1">F3+G3</f>
        <v>9</v>
      </c>
      <c r="I3" s="26">
        <f t="shared" ref="I3:K3" ca="1" si="2">F3/C3</f>
        <v>0.17857142857142858</v>
      </c>
      <c r="J3" s="27">
        <f t="shared" ca="1" si="2"/>
        <v>1</v>
      </c>
      <c r="K3" s="28">
        <f t="shared" ca="1" si="2"/>
        <v>0.28125</v>
      </c>
      <c r="L3" s="23">
        <f t="shared" ref="L3:M3" ca="1" si="3">C3-F3</f>
        <v>23</v>
      </c>
      <c r="M3" s="24">
        <f t="shared" ca="1" si="3"/>
        <v>0</v>
      </c>
      <c r="N3" s="25">
        <f t="shared" ref="N3:N5" ca="1" si="4">L3+M3</f>
        <v>23</v>
      </c>
    </row>
    <row r="4" spans="1:14" x14ac:dyDescent="0.25">
      <c r="A4" s="29" t="s">
        <v>131</v>
      </c>
      <c r="B4" s="22" t="s">
        <v>132</v>
      </c>
      <c r="C4" s="23">
        <f ca="1">SUMPRODUCT((Studies!D:D = A4) * (Studies!C:C = TRUE))</f>
        <v>30</v>
      </c>
      <c r="D4" s="24">
        <f ca="1">SUMPRODUCT((Studies!G:G=A4) * (Studies!C:C = TRUE))</f>
        <v>4</v>
      </c>
      <c r="E4" s="25">
        <f t="shared" ca="1" si="0"/>
        <v>34</v>
      </c>
      <c r="F4" s="23">
        <f ca="1">SUMPRODUCT((Studies!D:D = A4) * (Studies!C:C = TRUE) * (Studies!E:E &gt; 0))</f>
        <v>4</v>
      </c>
      <c r="G4" s="24">
        <f ca="1">SUMPRODUCT((Studies!G:G = A4) * (Studies!C:C = TRUE) * (Studies!H:H &gt; 0))</f>
        <v>4</v>
      </c>
      <c r="H4" s="25">
        <f t="shared" ca="1" si="1"/>
        <v>8</v>
      </c>
      <c r="I4" s="26">
        <f t="shared" ref="I4:K4" ca="1" si="5">F4/C4</f>
        <v>0.13333333333333333</v>
      </c>
      <c r="J4" s="27">
        <f t="shared" ca="1" si="5"/>
        <v>1</v>
      </c>
      <c r="K4" s="28">
        <f t="shared" ca="1" si="5"/>
        <v>0.23529411764705882</v>
      </c>
      <c r="L4" s="23">
        <f t="shared" ref="L4:M4" ca="1" si="6">C4-F4</f>
        <v>26</v>
      </c>
      <c r="M4" s="24">
        <f t="shared" ca="1" si="6"/>
        <v>0</v>
      </c>
      <c r="N4" s="25">
        <f t="shared" ca="1" si="4"/>
        <v>26</v>
      </c>
    </row>
    <row r="5" spans="1:14" x14ac:dyDescent="0.25">
      <c r="A5" s="18"/>
      <c r="B5" s="18"/>
      <c r="C5" s="30">
        <f t="shared" ref="C5:D5" ca="1" si="7">SUM(C3:C4)</f>
        <v>58</v>
      </c>
      <c r="D5" s="31">
        <f t="shared" ca="1" si="7"/>
        <v>8</v>
      </c>
      <c r="E5" s="32">
        <f t="shared" ca="1" si="0"/>
        <v>66</v>
      </c>
      <c r="F5" s="30">
        <f t="shared" ref="F5:G5" ca="1" si="8">SUM(F3:F4)</f>
        <v>9</v>
      </c>
      <c r="G5" s="31">
        <f t="shared" ca="1" si="8"/>
        <v>8</v>
      </c>
      <c r="H5" s="32">
        <f t="shared" ca="1" si="1"/>
        <v>17</v>
      </c>
      <c r="I5" s="33">
        <f t="shared" ref="I5:M5" ca="1" si="9">SUM(I3:I4)</f>
        <v>0.31190476190476191</v>
      </c>
      <c r="J5" s="34">
        <f t="shared" ca="1" si="9"/>
        <v>2</v>
      </c>
      <c r="K5" s="35">
        <f t="shared" ca="1" si="9"/>
        <v>0.51654411764705888</v>
      </c>
      <c r="L5" s="30">
        <f t="shared" ca="1" si="9"/>
        <v>49</v>
      </c>
      <c r="M5" s="31">
        <f t="shared" ca="1" si="9"/>
        <v>0</v>
      </c>
      <c r="N5" s="32">
        <f t="shared" ca="1" si="4"/>
        <v>49</v>
      </c>
    </row>
  </sheetData>
  <mergeCells count="4">
    <mergeCell ref="C1:E1"/>
    <mergeCell ref="F1:H1"/>
    <mergeCell ref="I1:K1"/>
    <mergeCell ref="L1:N1"/>
  </mergeCells>
  <conditionalFormatting sqref="F3">
    <cfRule type="colorScale" priority="1">
      <colorScale>
        <cfvo type="formula" val="0"/>
        <cfvo type="formula" val="C3/2"/>
        <cfvo type="formula" val="C3"/>
        <color rgb="FF990000"/>
        <color rgb="FFF1C232"/>
        <color rgb="FF38761D"/>
      </colorScale>
    </cfRule>
  </conditionalFormatting>
  <conditionalFormatting sqref="F4">
    <cfRule type="colorScale" priority="3">
      <colorScale>
        <cfvo type="formula" val="0"/>
        <cfvo type="formula" val="C4/2"/>
        <cfvo type="formula" val="C4"/>
        <color rgb="FF990000"/>
        <color rgb="FFF1C232"/>
        <color rgb="FF38761D"/>
      </colorScale>
    </cfRule>
  </conditionalFormatting>
  <conditionalFormatting sqref="G3">
    <cfRule type="colorScale" priority="2">
      <colorScale>
        <cfvo type="formula" val="0"/>
        <cfvo type="percent" val="50"/>
        <cfvo type="formula" val="D3"/>
        <color rgb="FF990000"/>
        <color rgb="FFF1C232"/>
        <color rgb="FF38761D"/>
      </colorScale>
    </cfRule>
  </conditionalFormatting>
  <conditionalFormatting sqref="G4">
    <cfRule type="colorScale" priority="4">
      <colorScale>
        <cfvo type="formula" val="0"/>
        <cfvo type="formula" val="D4/2"/>
        <cfvo type="formula" val="D4"/>
        <color rgb="FF990000"/>
        <color rgb="FFF1C232"/>
        <color rgb="FF38761D"/>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5"/>
  <sheetViews>
    <sheetView workbookViewId="0"/>
  </sheetViews>
  <sheetFormatPr defaultColWidth="12.6640625" defaultRowHeight="15.75" customHeight="1" x14ac:dyDescent="0.25"/>
  <cols>
    <col min="2" max="2" width="62.6640625" customWidth="1"/>
    <col min="3" max="3" width="5.109375" customWidth="1"/>
  </cols>
  <sheetData>
    <row r="1" spans="1:3" x14ac:dyDescent="0.25">
      <c r="A1" s="1" t="s">
        <v>19</v>
      </c>
      <c r="B1" s="2" t="s">
        <v>133</v>
      </c>
      <c r="C1" s="1" t="s">
        <v>134</v>
      </c>
    </row>
    <row r="2" spans="1:3" x14ac:dyDescent="0.25">
      <c r="A2" s="36" t="s">
        <v>39</v>
      </c>
      <c r="B2" s="6"/>
      <c r="C2" s="5">
        <f>COUNTIF(Extraction!I:I, A2)</f>
        <v>0</v>
      </c>
    </row>
    <row r="3" spans="1:3" x14ac:dyDescent="0.25">
      <c r="A3" s="36" t="s">
        <v>135</v>
      </c>
      <c r="B3" s="6"/>
      <c r="C3" s="5">
        <f>COUNTIF(Extraction!I:I, A3)</f>
        <v>0</v>
      </c>
    </row>
    <row r="4" spans="1:3" x14ac:dyDescent="0.25">
      <c r="A4" s="36" t="s">
        <v>49</v>
      </c>
      <c r="B4" s="6"/>
      <c r="C4" s="5">
        <f>COUNTIF(Extraction!I:I, A4)</f>
        <v>0</v>
      </c>
    </row>
    <row r="5" spans="1:3" x14ac:dyDescent="0.25">
      <c r="A5" s="36" t="s">
        <v>80</v>
      </c>
      <c r="B5" s="6"/>
      <c r="C5" s="5">
        <f>COUNTIF(Extraction!I:I, A5)</f>
        <v>0</v>
      </c>
    </row>
  </sheetData>
  <conditionalFormatting sqref="C2:C5">
    <cfRule type="colorScale" priority="1">
      <colorScale>
        <cfvo type="min"/>
        <cfvo type="percent" val="50"/>
        <cfvo type="max"/>
        <color rgb="FFFFFFFF"/>
        <color rgb="FF9EC2E3"/>
        <color rgb="FF3D85C6"/>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7"/>
  <sheetViews>
    <sheetView workbookViewId="0"/>
  </sheetViews>
  <sheetFormatPr defaultColWidth="12.6640625" defaultRowHeight="15.75" customHeight="1" x14ac:dyDescent="0.25"/>
  <cols>
    <col min="2" max="2" width="25.109375" customWidth="1"/>
    <col min="3" max="3" width="62.6640625" customWidth="1"/>
    <col min="4" max="4" width="5.109375" customWidth="1"/>
  </cols>
  <sheetData>
    <row r="1" spans="1:4" x14ac:dyDescent="0.25">
      <c r="A1" s="1" t="s">
        <v>136</v>
      </c>
      <c r="B1" s="1" t="s">
        <v>20</v>
      </c>
      <c r="C1" s="2" t="s">
        <v>133</v>
      </c>
      <c r="D1" s="1" t="s">
        <v>134</v>
      </c>
    </row>
    <row r="2" spans="1:4" x14ac:dyDescent="0.25">
      <c r="A2" s="36" t="s">
        <v>40</v>
      </c>
      <c r="B2" s="5" t="s">
        <v>137</v>
      </c>
      <c r="C2" s="6" t="s">
        <v>138</v>
      </c>
      <c r="D2" s="5">
        <f>COUNTIF(Extraction!I:I, A2)</f>
        <v>4</v>
      </c>
    </row>
    <row r="3" spans="1:4" x14ac:dyDescent="0.25">
      <c r="A3" s="36" t="s">
        <v>139</v>
      </c>
      <c r="B3" s="5" t="s">
        <v>140</v>
      </c>
      <c r="C3" s="6" t="s">
        <v>141</v>
      </c>
      <c r="D3" s="5">
        <f>COUNTIF(Extraction!I:I, A3)</f>
        <v>0</v>
      </c>
    </row>
    <row r="4" spans="1:4" x14ac:dyDescent="0.25">
      <c r="A4" s="36" t="s">
        <v>67</v>
      </c>
      <c r="B4" s="5" t="s">
        <v>142</v>
      </c>
      <c r="C4" s="6" t="s">
        <v>143</v>
      </c>
      <c r="D4" s="5">
        <f>COUNTIF(Extraction!I:I, A4)</f>
        <v>4</v>
      </c>
    </row>
    <row r="5" spans="1:4" x14ac:dyDescent="0.25">
      <c r="A5" s="36" t="s">
        <v>144</v>
      </c>
      <c r="B5" s="5" t="s">
        <v>145</v>
      </c>
      <c r="C5" s="6" t="s">
        <v>146</v>
      </c>
      <c r="D5" s="5">
        <f>COUNTIF(Extraction!I:I, A5)</f>
        <v>0</v>
      </c>
    </row>
    <row r="6" spans="1:4" x14ac:dyDescent="0.25">
      <c r="A6" s="36" t="s">
        <v>62</v>
      </c>
      <c r="B6" s="5"/>
      <c r="C6" s="6" t="s">
        <v>147</v>
      </c>
      <c r="D6" s="5">
        <f>COUNTIF(Extraction!I:I, A6)</f>
        <v>2</v>
      </c>
    </row>
    <row r="7" spans="1:4" x14ac:dyDescent="0.25">
      <c r="A7" s="36" t="s">
        <v>80</v>
      </c>
      <c r="B7" s="5"/>
      <c r="C7" s="6" t="s">
        <v>148</v>
      </c>
      <c r="D7" s="5">
        <f>COUNTIF(Extraction!I:I, A7)</f>
        <v>0</v>
      </c>
    </row>
  </sheetData>
  <conditionalFormatting sqref="D2:D7">
    <cfRule type="colorScale" priority="1">
      <colorScale>
        <cfvo type="min"/>
        <cfvo type="percent" val="50"/>
        <cfvo type="max"/>
        <color rgb="FFFFFFFF"/>
        <color rgb="FF9EC2E3"/>
        <color rgb="FF3D85C6"/>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6"/>
  <sheetViews>
    <sheetView workbookViewId="0"/>
  </sheetViews>
  <sheetFormatPr defaultColWidth="12.6640625" defaultRowHeight="15.75" customHeight="1" x14ac:dyDescent="0.25"/>
  <cols>
    <col min="1" max="1" width="25.109375" customWidth="1"/>
    <col min="2" max="2" width="62.6640625" customWidth="1"/>
    <col min="3" max="3" width="5.109375" customWidth="1"/>
  </cols>
  <sheetData>
    <row r="1" spans="1:3" x14ac:dyDescent="0.25">
      <c r="A1" s="1" t="s">
        <v>136</v>
      </c>
      <c r="B1" s="2" t="s">
        <v>133</v>
      </c>
      <c r="C1" s="1" t="s">
        <v>134</v>
      </c>
    </row>
    <row r="2" spans="1:3" x14ac:dyDescent="0.25">
      <c r="A2" s="36" t="s">
        <v>149</v>
      </c>
      <c r="B2" s="6"/>
      <c r="C2" s="5">
        <f>COUNTIF(Extraction!J:J, A2)</f>
        <v>0</v>
      </c>
    </row>
    <row r="3" spans="1:3" x14ac:dyDescent="0.25">
      <c r="A3" s="36" t="s">
        <v>150</v>
      </c>
      <c r="B3" s="6"/>
      <c r="C3" s="5">
        <f>COUNTIF(Extraction!J:J, A3)</f>
        <v>0</v>
      </c>
    </row>
    <row r="4" spans="1:3" x14ac:dyDescent="0.25">
      <c r="A4" s="36" t="s">
        <v>41</v>
      </c>
      <c r="B4" s="6"/>
      <c r="C4" s="5">
        <f>COUNTIF(Extraction!J:J, A4)</f>
        <v>2</v>
      </c>
    </row>
    <row r="5" spans="1:3" x14ac:dyDescent="0.25">
      <c r="A5" s="36" t="s">
        <v>56</v>
      </c>
      <c r="B5" s="6"/>
      <c r="C5" s="5">
        <f>COUNTIF(Extraction!J:J, A5)</f>
        <v>1</v>
      </c>
    </row>
    <row r="6" spans="1:3" x14ac:dyDescent="0.25">
      <c r="A6" s="36" t="s">
        <v>75</v>
      </c>
      <c r="B6" s="6"/>
      <c r="C6" s="5">
        <f>COUNTIF(Extraction!J:J, A6)</f>
        <v>1</v>
      </c>
    </row>
  </sheetData>
  <conditionalFormatting sqref="C2:C6">
    <cfRule type="colorScale" priority="1">
      <colorScale>
        <cfvo type="min"/>
        <cfvo type="percent" val="50"/>
        <cfvo type="max"/>
        <color rgb="FFFFFFFF"/>
        <color rgb="FF9EC2E3"/>
        <color rgb="FF3D85C6"/>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Studies</vt:lpstr>
      <vt:lpstr>Extraction</vt:lpstr>
      <vt:lpstr>Overlap</vt:lpstr>
      <vt:lpstr>Progress</vt:lpstr>
      <vt:lpstr>CategoriesSubjects</vt:lpstr>
      <vt:lpstr>CategoriesMethod</vt:lpstr>
      <vt:lpstr>CategoriesTesttype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Julian Frattini</cp:lastModifiedBy>
  <dcterms:modified xsi:type="dcterms:W3CDTF">2024-05-10T07:39:16Z</dcterms:modified>
</cp:coreProperties>
</file>